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.bin" ContentType="application/vnd.openxmlformats-officedocument.spreadsheetml.customProperty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# 2024 GRC\04 Rebuttal\#Susan's testimony\#SEF rebuttal exhibit\Ready for review\"/>
    </mc:Choice>
  </mc:AlternateContent>
  <bookViews>
    <workbookView xWindow="0" yWindow="0" windowWidth="28770" windowHeight="11175" tabRatio="929" firstSheet="1" activeTab="15"/>
  </bookViews>
  <sheets>
    <sheet name="SEF-29 pg 1-2" sheetId="1" r:id="rId1"/>
    <sheet name="SEF-30 pg 1" sheetId="2" r:id="rId2"/>
    <sheet name="SEF-30 pg 2 - 36 " sheetId="3" r:id="rId3"/>
    <sheet name="SEF-31" sheetId="9" r:id="rId4"/>
    <sheet name="SEF-32 pg 1-34, 46" sheetId="4" r:id="rId5"/>
    <sheet name="SEF-32 pg 35-45" sheetId="5" r:id="rId6"/>
    <sheet name="SEF-33 pg 1-2" sheetId="10" r:id="rId7"/>
    <sheet name="SEF-34 pg 1" sheetId="11" r:id="rId8"/>
    <sheet name="SEF-34 pg 2-36" sheetId="17" r:id="rId9"/>
    <sheet name="SEF-35" sheetId="12" r:id="rId10"/>
    <sheet name="SEF-36 pg 1-33, 37" sheetId="13" r:id="rId11"/>
    <sheet name="SEF-36 pg 34-36" sheetId="14" r:id="rId12"/>
    <sheet name="SEF-37 pg 1" sheetId="6" r:id="rId13"/>
    <sheet name="SEF-37 pg 2" sheetId="7" r:id="rId14"/>
    <sheet name="SEF-37 pg 3" sheetId="15" r:id="rId15"/>
    <sheet name="SEF-37 pg 4" sheetId="16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www1" localSheetId="6" hidden="1">{#N/A,#N/A,FALSE,"schA"}</definedName>
    <definedName name="___www1" localSheetId="8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hidden="1">#REF!</definedName>
    <definedName name="__123Graph_ECURRENT" localSheetId="6" hidden="1">[2]ConsolidatingPL!#REF!</definedName>
    <definedName name="__123Graph_ECURRENT" localSheetId="8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localSheetId="6" hidden="1">{#N/A,#N/A,FALSE,"schA"}</definedName>
    <definedName name="__www1" localSheetId="8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hidden="1">[3]Quant!#REF!</definedName>
    <definedName name="_3__123Graph_ABUDG6_Dtons_inv" hidden="1">[4]Quant!#REF!</definedName>
    <definedName name="_3__123Graph_BBUDG6_D_ESCRPR" hidden="1">[1]Quant!$D$72:$O$72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hidden="1">'[5]Area D 2011'!#REF!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hidden="1">'[5]Area D 2011'!#REF!</definedName>
    <definedName name="_8__123Graph_XBUDG6_Dtons_inv" hidden="1">[1]Quant!$D$5:$O$5</definedName>
    <definedName name="_AnnualizeRent_E">'SEF-32 pg 1-34, 46'!$NM$5:$NT$38</definedName>
    <definedName name="_BeforeAfter">'SEF-34 pg 2-36'!$B$469:$BC$489</definedName>
    <definedName name="_D_And_O_E">'SEF-32 pg 1-34, 46'!$JI$5:$JP$24</definedName>
    <definedName name="_DefGain_E">'SEF-32 pg 1-34, 46'!$IQ$5:$IX$22</definedName>
    <definedName name="_EmplInsurance_E">'SEF-32 pg 1-34, 46'!$EM$5:$ET$28</definedName>
    <definedName name="_EnvRemed_E">'SEF-32 pg 1-34, 46'!$PS$5:$PZ$21</definedName>
    <definedName name="_ExcTax_E">'SEF-32 pg 1-34, 46'!$DU$5:$EB$23</definedName>
    <definedName name="_Fill" localSheetId="6" hidden="1">#REF!</definedName>
    <definedName name="_Fill" localSheetId="8" hidden="1">#REF!</definedName>
    <definedName name="_Fill" hidden="1">#REF!</definedName>
    <definedName name="_xlnm._FilterDatabase" localSheetId="2" hidden="1">'SEF-30 pg 2 - 36 '!$A$10:$BI$512</definedName>
    <definedName name="_xlnm._FilterDatabase" localSheetId="8" hidden="1">'SEF-34 pg 2-36'!$A$10:$BC$512</definedName>
    <definedName name="_FIT_E">'SEF-32 pg 1-34, 46'!$BA$5:$BH$21</definedName>
    <definedName name="_Incentives_E">'SEF-32 pg 1-34, 46'!$FW$5:$GD$32</definedName>
    <definedName name="_InjAndDam_E">'SEF-32 pg 1-34, 46'!$FV$5:$FV$24</definedName>
    <definedName name="_IntOnCustDeposits_E">'SEF-32 pg 1-34, 46'!$HG$5:$HN$19</definedName>
    <definedName name="_Investment_E">'SEF-32 pg 1-34, 46'!$GO$5:$GV$36</definedName>
    <definedName name="_Key1" localSheetId="6" hidden="1">#REF!</definedName>
    <definedName name="_Key1" localSheetId="8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hidden="1">#REF!</definedName>
    <definedName name="_Order1" hidden="1">255</definedName>
    <definedName name="_Order2" hidden="1">255</definedName>
    <definedName name="_Parse_In" localSheetId="6" hidden="1">#REF!</definedName>
    <definedName name="_Parse_In" localSheetId="8" hidden="1">#REF!</definedName>
    <definedName name="_Parse_In" hidden="1">#REF!</definedName>
    <definedName name="_PassThru_E">'SEF-32 pg 1-34, 46'!$S$5:$Z$56</definedName>
    <definedName name="_Pension_E">'SEF-32 pg 1-34, 46'!$KA$5:$KH$21</definedName>
    <definedName name="_PropAndLiab_E">'SEF-32 pg 1-34, 46'!$HY$5:$IF$22</definedName>
    <definedName name="_RateCaseExp_E">'SEF-32 pg 1-34, 46'!$DC$5:$DJ$26</definedName>
    <definedName name="_Regression_Int" hidden="1">1</definedName>
    <definedName name="_RevAndExp_E">'SEF-32 pg 1-34, 46'!$A$5:$H$67</definedName>
    <definedName name="_six6" localSheetId="6" hidden="1">{#N/A,#N/A,FALSE,"CRPT";#N/A,#N/A,FALSE,"TREND";#N/A,#N/A,FALSE,"%Curve"}</definedName>
    <definedName name="_six6" localSheetId="8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TBOPI_E">'SEF-32 pg 1-34, 46'!$BS$5:$BZ$26</definedName>
    <definedName name="_TempNorm_E">'SEF-32 pg 1-34, 46'!$AK$5:$AR$35</definedName>
    <definedName name="_UnprotcdFFIT_E">'SEF-32 pg 1-34, 46'!$SM$5:$ST$26</definedName>
    <definedName name="_WageInc_E">'SEF-32 pg 1-34, 46'!$KS$5:$KZ$32</definedName>
    <definedName name="_www1" localSheetId="6" hidden="1">{#N/A,#N/A,FALSE,"schA"}</definedName>
    <definedName name="_www1" localSheetId="8" hidden="1">{#N/A,#N/A,FALSE,"schA"}</definedName>
    <definedName name="_www1" hidden="1">{#N/A,#N/A,FALSE,"schA"}</definedName>
    <definedName name="a" localSheetId="6" hidden="1">{#N/A,#N/A,FALSE,"Coversheet";#N/A,#N/A,FALSE,"QA"}</definedName>
    <definedName name="a" localSheetId="8" hidden="1">{#N/A,#N/A,FALSE,"Coversheet";#N/A,#N/A,FALSE,"QA"}</definedName>
    <definedName name="a" hidden="1">{#N/A,#N/A,FALSE,"Coversheet";#N/A,#N/A,FALSE,"QA"}</definedName>
    <definedName name="aaa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ccessDatabase" hidden="1">"I:\COMTREL\FINICLE\TradeSummary.mdb"</definedName>
    <definedName name="AS2DocOpenMode" hidden="1">"AS2DocumentEdit"</definedName>
    <definedName name="b" localSheetId="6" hidden="1">{#N/A,#N/A,FALSE,"Coversheet";#N/A,#N/A,FALSE,"QA"}</definedName>
    <definedName name="b" localSheetId="8" hidden="1">{#N/A,#N/A,FALSE,"Coversheet";#N/A,#N/A,FALSE,"QA"}</definedName>
    <definedName name="b" hidden="1">{#N/A,#N/A,FALSE,"Coversheet";#N/A,#N/A,FALSE,"QA"}</definedName>
    <definedName name="Before_After">'SEF-30 pg 2 - 36 '!$B$469:$BI$483</definedName>
    <definedName name="BL" localSheetId="6" hidden="1">{#N/A,#N/A,FALSE,"Cover Sheet";"Use of Equipment",#N/A,FALSE,"Area C";"Equipment Hours",#N/A,FALSE,"All";"Summary",#N/A,FALSE,"All"}</definedName>
    <definedName name="BL" localSheetId="8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6" hidden="1">{#N/A,#N/A,FALSE,"Cover Sheet";"Use of Equipment",#N/A,FALSE,"Area C";"Equipment Hours",#N/A,FALSE,"All";"Summary",#N/A,FALSE,"All"}</definedName>
    <definedName name="blet" localSheetId="8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6" hidden="1">{#N/A,#N/A,FALSE,"Cover Sheet";"Use of Equipment",#N/A,FALSE,"Area C";"Equipment Hours",#N/A,FALSE,"All";"Summary",#N/A,FALSE,"All"}</definedName>
    <definedName name="bleth" localSheetId="8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 localSheetId="6">'[7]Named Ranges E'!$B$2</definedName>
    <definedName name="Company" localSheetId="8">'[7]Named Ranges E'!$B$2</definedName>
    <definedName name="Company" localSheetId="14">'[8]Named Ranges E'!$B$2</definedName>
    <definedName name="Company" localSheetId="15">'[8]Named Ranges E'!$B$2</definedName>
    <definedName name="Company">'[9]Named Ranges E'!$B$2</definedName>
    <definedName name="DELETE01" localSheetId="6" hidden="1">{#N/A,#N/A,FALSE,"Coversheet";#N/A,#N/A,FALSE,"QA"}</definedName>
    <definedName name="DELETE01" localSheetId="8" hidden="1">{#N/A,#N/A,FALSE,"Coversheet";#N/A,#N/A,FALSE,"QA"}</definedName>
    <definedName name="DELETE01" hidden="1">{#N/A,#N/A,FALSE,"Coversheet";#N/A,#N/A,FALSE,"QA"}</definedName>
    <definedName name="DELETE02" localSheetId="6" hidden="1">{#N/A,#N/A,FALSE,"Schedule F";#N/A,#N/A,FALSE,"Schedule G"}</definedName>
    <definedName name="DELETE02" localSheetId="8" hidden="1">{#N/A,#N/A,FALSE,"Schedule F";#N/A,#N/A,FALSE,"Schedule G"}</definedName>
    <definedName name="DELETE02" hidden="1">{#N/A,#N/A,FALSE,"Schedule F";#N/A,#N/A,FALSE,"Schedule G"}</definedName>
    <definedName name="Delete06" localSheetId="6" hidden="1">{#N/A,#N/A,FALSE,"Coversheet";#N/A,#N/A,FALSE,"QA"}</definedName>
    <definedName name="Delete06" localSheetId="8" hidden="1">{#N/A,#N/A,FALSE,"Coversheet";#N/A,#N/A,FALSE,"QA"}</definedName>
    <definedName name="Delete06" hidden="1">{#N/A,#N/A,FALSE,"Coversheet";#N/A,#N/A,FALSE,"QA"}</definedName>
    <definedName name="Delete09" localSheetId="6" hidden="1">{#N/A,#N/A,FALSE,"Coversheet";#N/A,#N/A,FALSE,"QA"}</definedName>
    <definedName name="Delete09" localSheetId="8" hidden="1">{#N/A,#N/A,FALSE,"Coversheet";#N/A,#N/A,FALSE,"QA"}</definedName>
    <definedName name="Delete09" hidden="1">{#N/A,#N/A,FALSE,"Coversheet";#N/A,#N/A,FALSE,"QA"}</definedName>
    <definedName name="Delete1" localSheetId="6" hidden="1">{#N/A,#N/A,FALSE,"Coversheet";#N/A,#N/A,FALSE,"QA"}</definedName>
    <definedName name="Delete1" localSheetId="8" hidden="1">{#N/A,#N/A,FALSE,"Coversheet";#N/A,#N/A,FALSE,"QA"}</definedName>
    <definedName name="Delete1" hidden="1">{#N/A,#N/A,FALSE,"Coversheet";#N/A,#N/A,FALSE,"QA"}</definedName>
    <definedName name="Delete10" localSheetId="6" hidden="1">{#N/A,#N/A,FALSE,"Schedule F";#N/A,#N/A,FALSE,"Schedule G"}</definedName>
    <definedName name="Delete10" localSheetId="8" hidden="1">{#N/A,#N/A,FALSE,"Schedule F";#N/A,#N/A,FALSE,"Schedule G"}</definedName>
    <definedName name="Delete10" hidden="1">{#N/A,#N/A,FALSE,"Schedule F";#N/A,#N/A,FALSE,"Schedule G"}</definedName>
    <definedName name="Delete21" localSheetId="6" hidden="1">{#N/A,#N/A,FALSE,"Coversheet";#N/A,#N/A,FALSE,"QA"}</definedName>
    <definedName name="Delete21" localSheetId="8" hidden="1">{#N/A,#N/A,FALSE,"Coversheet";#N/A,#N/A,FALSE,"QA"}</definedName>
    <definedName name="Delete21" hidden="1">{#N/A,#N/A,FALSE,"Coversheet";#N/A,#N/A,FALSE,"QA"}</definedName>
    <definedName name="DETAIL" localSheetId="8">'SEF-34 pg 2-36'!$B$10:$BB$60</definedName>
    <definedName name="DETAIL">'SEF-30 pg 2 - 36 '!$B$10:$BH$60</definedName>
    <definedName name="DETAIL2" localSheetId="8">'SEF-34 pg 2-36'!$B$1:$BB$60</definedName>
    <definedName name="DETAIL2">'SEF-30 pg 2 - 36 '!$B$1:$BH$60</definedName>
    <definedName name="DFIT" localSheetId="6" hidden="1">{#N/A,#N/A,FALSE,"Coversheet";#N/A,#N/A,FALSE,"QA"}</definedName>
    <definedName name="DFIT" localSheetId="8" hidden="1">{#N/A,#N/A,FALSE,"Coversheet";#N/A,#N/A,FALSE,"QA"}</definedName>
    <definedName name="DFIT" hidden="1">{#N/A,#N/A,FALSE,"Coversheet";#N/A,#N/A,FALSE,"QA"}</definedName>
    <definedName name="Docket">'[7]Named Ranges E'!$B$9</definedName>
    <definedName name="ee" localSheetId="6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hidden="1">{#N/A,#N/A,FALSE,"Month ";#N/A,#N/A,FALSE,"YTD";#N/A,#N/A,FALSE,"12 mo ended"}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stimate" localSheetId="6" hidden="1">{#N/A,#N/A,FALSE,"Summ";#N/A,#N/A,FALSE,"General"}</definedName>
    <definedName name="Estimate" localSheetId="8" hidden="1">{#N/A,#N/A,FALSE,"Summ";#N/A,#N/A,FALSE,"General"}</definedName>
    <definedName name="Estimate" hidden="1">{#N/A,#N/A,FALSE,"Summ";#N/A,#N/A,FALSE,"General"}</definedName>
    <definedName name="ex" localSheetId="6" hidden="1">{#N/A,#N/A,FALSE,"Summ";#N/A,#N/A,FALSE,"General"}</definedName>
    <definedName name="ex" localSheetId="8" hidden="1">{#N/A,#N/A,FALSE,"Summ";#N/A,#N/A,FALSE,"General"}</definedName>
    <definedName name="ex" hidden="1">{#N/A,#N/A,FALSE,"Summ";#N/A,#N/A,FALSE,"General"}</definedName>
    <definedName name="ExhibitNo">'[7]Named Ranges E'!$B$10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6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hidden="1">{#N/A,#N/A,FALSE,"Month ";#N/A,#N/A,FALSE,"YTD";#N/A,#N/A,FALSE,"12 mo ended"}</definedName>
    <definedName name="FF_E">'SEF-32 pg 1-34, 46'!$LM$16</definedName>
    <definedName name="FIT" localSheetId="6">'[7]Named Ranges E'!$B$11</definedName>
    <definedName name="FIT" localSheetId="8">'[7]Named Ranges E'!$B$11</definedName>
    <definedName name="FIT" localSheetId="14">'[8]Named Ranges E'!$B$11</definedName>
    <definedName name="FIT" localSheetId="15">'[8]Named Ranges E'!$B$11</definedName>
    <definedName name="FIT">'[9]Named Ranges E'!$B$11</definedName>
    <definedName name="gary" localSheetId="6" hidden="1">{#N/A,#N/A,FALSE,"Cover Sheet";"Use of Equipment",#N/A,FALSE,"Area C";"Equipment Hours",#N/A,FALSE,"All";"Summary",#N/A,FALSE,"All"}</definedName>
    <definedName name="gary" localSheetId="8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localSheetId="6" hidden="1">{"'Sheet1'!$A$1:$J$121"}</definedName>
    <definedName name="HTML_Control" localSheetId="8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6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Miller" localSheetId="6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6" hidden="1">{#N/A,#N/A,FALSE,"Summ";#N/A,#N/A,FALSE,"General"}</definedName>
    <definedName name="new" localSheetId="8" hidden="1">{#N/A,#N/A,FALSE,"Summ";#N/A,#N/A,FALSE,"General"}</definedName>
    <definedName name="new" hidden="1">{#N/A,#N/A,FALSE,"Summ";#N/A,#N/A,FALSE,"General"}</definedName>
    <definedName name="NOYT" localSheetId="6" hidden="1">{#N/A,#N/A,FALSE,"Cover Sheet";"Use of Equipment",#N/A,FALSE,"Area C";"Equipment Hours",#N/A,FALSE,"All";"Summary",#N/A,FALSE,"All"}</definedName>
    <definedName name="NOYT" localSheetId="8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1">'SEF-30 pg 1'!$A$1:$Q$82</definedName>
    <definedName name="_xlnm.Print_Area" localSheetId="2">'SEF-30 pg 2 - 36 '!$A$1:$BH$69</definedName>
    <definedName name="_xlnm.Print_Area" localSheetId="8">'SEF-34 pg 2-36'!$A$1:$BB$305</definedName>
    <definedName name="_xlnm.Print_Area" localSheetId="10">'SEF-36 pg 1-33, 37'!$WN$4:$XA$23</definedName>
    <definedName name="_xlnm.Print_Area" localSheetId="11">'SEF-36 pg 34-36'!$CM$4:$CZ$31</definedName>
    <definedName name="_xlnm.Print_Area" localSheetId="12">'SEF-37 pg 1'!$A$1:$N$55</definedName>
    <definedName name="_xlnm.Print_Area" localSheetId="13">'SEF-37 pg 2'!$A$1:$H$57</definedName>
    <definedName name="_xlnm.Print_Area" localSheetId="14">'SEF-37 pg 3'!$A$1:$N$46</definedName>
    <definedName name="_xlnm.Print_Area" localSheetId="15">'SEF-37 pg 4'!$A$1:$H$50</definedName>
    <definedName name="Print_Area_Reset" localSheetId="6">OFFSET(Full_Print,0,0,Last_Row)</definedName>
    <definedName name="Print_Area_Reset" localSheetId="8">OFFSET(Full_Print,0,0,Last_Row)</definedName>
    <definedName name="Print_Area_Reset">OFFSET(Full_Print,0,0,Last_Row)</definedName>
    <definedName name="_xlnm.Print_Titles" localSheetId="2">'SEF-30 pg 2 - 36 '!$A:$B</definedName>
    <definedName name="_xlnm.Print_Titles" localSheetId="8">'SEF-34 pg 2-36'!$A:$B</definedName>
    <definedName name="qqq" localSheetId="6" hidden="1">{#N/A,#N/A,FALSE,"schA"}</definedName>
    <definedName name="qqq" localSheetId="8" hidden="1">{#N/A,#N/A,FALSE,"schA"}</definedName>
    <definedName name="qqq" hidden="1">{#N/A,#N/A,FALSE,"schA"}</definedName>
    <definedName name="RateCase" localSheetId="6">'[7]Named Ranges E'!$B$8</definedName>
    <definedName name="RateCase" localSheetId="8">'[7]Named Ranges E'!$B$8</definedName>
    <definedName name="RateCase" localSheetId="14">'[8]Named Ranges E'!$B$8</definedName>
    <definedName name="RateCase" localSheetId="15">'[8]Named Ranges E'!$B$8</definedName>
    <definedName name="RateCase">'[9]Named Ranges E'!$B$8</definedName>
    <definedName name="RateYear1">'[7]Named Ranges E'!$B$4</definedName>
    <definedName name="RateYear2">'[7]Named Ranges E'!$B$5</definedName>
    <definedName name="RateYear3">'[7]Named Ranges E'!$B$6</definedName>
    <definedName name="re" localSheetId="8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c_weco_gl_contract_aug99" localSheetId="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six" localSheetId="6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localSheetId="6" hidden="1">{#N/A,#N/A,FALSE,"Cover Sheet";"Use of Equipment",#N/A,FALSE,"Area C";"Equipment Hours",#N/A,FALSE,"All";"Summary",#N/A,FALSE,"All"}</definedName>
    <definedName name="sue" localSheetId="8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6" hidden="1">{#N/A,#N/A,FALSE,"Cover Sheet";"Use of Equipment",#N/A,FALSE,"Area C";"Equipment Hours",#N/A,FALSE,"All";"Summary",#N/A,FALSE,"All"}</definedName>
    <definedName name="susan" localSheetId="8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8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6" hidden="1">{#N/A,#N/A,FALSE,"Summ";#N/A,#N/A,FALSE,"General"}</definedName>
    <definedName name="TEMP" localSheetId="8" hidden="1">{#N/A,#N/A,FALSE,"Summ";#N/A,#N/A,FALSE,"General"}</definedName>
    <definedName name="TEMP" hidden="1">{#N/A,#N/A,FALSE,"Summ";#N/A,#N/A,FALSE,"General"}</definedName>
    <definedName name="Temp1" localSheetId="6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stYear" localSheetId="6">'[7]Named Ranges E'!$B$3</definedName>
    <definedName name="TestYear" localSheetId="8">'[7]Named Ranges E'!$B$3</definedName>
    <definedName name="TestYear" localSheetId="14">'[8]Named Ranges E'!$B$3</definedName>
    <definedName name="TestYear" localSheetId="15">'[8]Named Ranges E'!$B$3</definedName>
    <definedName name="TestYear">'[9]Named Ranges E'!$B$3</definedName>
    <definedName name="Transfer" hidden="1">#REF!</definedName>
    <definedName name="Transfers" hidden="1">#REF!</definedName>
    <definedName name="u" localSheetId="6" hidden="1">{#N/A,#N/A,FALSE,"Coversheet";#N/A,#N/A,FALSE,"QA"}</definedName>
    <definedName name="u" localSheetId="8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N_E">'SEF-32 pg 1-34, 46'!$LM$17</definedName>
    <definedName name="v" localSheetId="6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w" localSheetId="6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6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6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6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6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6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8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6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8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6" hidden="1">{#N/A,#N/A,FALSE,"Cost Adjustment "}</definedName>
    <definedName name="wrn.Cost._.Adjustment." localSheetId="8" hidden="1">{#N/A,#N/A,FALSE,"Cost Adjustment "}</definedName>
    <definedName name="wrn.Cost._.Adjustment." hidden="1">{#N/A,#N/A,FALSE,"Cost Adjustment 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6" hidden="1">{#N/A,#N/A,TRUE,"Depreciation Summary";#N/A,#N/A,TRUE,"18, 21 &amp; 22 Depreciation";#N/A,#N/A,TRUE,"11 &amp; 12 Depreciation"}</definedName>
    <definedName name="wrn.Depreciation." localSheetId="8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6" hidden="1">{#N/A,#N/A,FALSE,"schA"}</definedName>
    <definedName name="wrn.ECR." localSheetId="8" hidden="1">{#N/A,#N/A,FALSE,"schA"}</definedName>
    <definedName name="wrn.ECR." hidden="1">{#N/A,#N/A,FALSE,"schA"}</definedName>
    <definedName name="wrn.ESTIMATE." localSheetId="6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6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8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6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6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6" hidden="1">{#N/A,#N/A,FALSE,"Coversheet";#N/A,#N/A,FALSE,"QA"}</definedName>
    <definedName name="wrn.Incentive._.Overhead." localSheetId="8" hidden="1">{#N/A,#N/A,FALSE,"Coversheet";#N/A,#N/A,FALSE,"QA"}</definedName>
    <definedName name="wrn.Incentive._.Overhead." hidden="1">{#N/A,#N/A,FALSE,"Coversheet";#N/A,#N/A,FALSE,"QA"}</definedName>
    <definedName name="wrn.limit_reports." localSheetId="6" hidden="1">{#N/A,#N/A,FALSE,"Schedule F";#N/A,#N/A,FALSE,"Schedule G"}</definedName>
    <definedName name="wrn.limit_reports." localSheetId="8" hidden="1">{#N/A,#N/A,FALSE,"Schedule F";#N/A,#N/A,FALSE,"Schedule G"}</definedName>
    <definedName name="wrn.limit_reports." hidden="1">{#N/A,#N/A,FALSE,"Schedule F";#N/A,#N/A,FALSE,"Schedule G"}</definedName>
    <definedName name="wrn.MARGIN_WO_QTR." localSheetId="6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6" hidden="1">{#N/A,#N/A,FALSE,"Cover Sheet";"Use of Equipment",#N/A,FALSE,"Area C";"Equipment Hours",#N/A,FALSE,"All";"Summary",#N/A,FALSE,"All"}</definedName>
    <definedName name="wrn.Mining._.Flexibility." localSheetId="8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6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8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6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8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6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8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6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6" hidden="1">{#N/A,#N/A,FALSE,"7617 Fab";#N/A,#N/A,FALSE,"7617 NSK"}</definedName>
    <definedName name="wrn.SCHEDULE." localSheetId="8" hidden="1">{#N/A,#N/A,FALSE,"7617 Fab";#N/A,#N/A,FALSE,"7617 NSK"}</definedName>
    <definedName name="wrn.SCHEDULE." hidden="1">{#N/A,#N/A,FALSE,"7617 Fab";#N/A,#N/A,FALSE,"7617 NSK"}</definedName>
    <definedName name="wrn.Semi._.Annual._.Cost._.Adj." localSheetId="6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8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6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8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6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hidden="1">{#N/A,#N/A,FALSE,"2002 Small Tool OH";#N/A,#N/A,FALSE,"QA"}</definedName>
    <definedName name="wrn.Summary." localSheetId="6" hidden="1">{#N/A,#N/A,FALSE,"Summ";#N/A,#N/A,FALSE,"General"}</definedName>
    <definedName name="wrn.Summary." localSheetId="8" hidden="1">{#N/A,#N/A,FALSE,"Summ";#N/A,#N/A,FALSE,"General"}</definedName>
    <definedName name="wrn.Summary." hidden="1">{#N/A,#N/A,FALSE,"Summ";#N/A,#N/A,FALSE,"General"}</definedName>
    <definedName name="wrn.test." localSheetId="6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8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6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8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6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6" hidden="1">{#N/A,#N/A,FALSE,"schA"}</definedName>
    <definedName name="www" localSheetId="8" hidden="1">{#N/A,#N/A,FALSE,"schA"}</definedName>
    <definedName name="www" hidden="1">{#N/A,#N/A,FALSE,"schA"}</definedName>
    <definedName name="x" localSheetId="6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XXX" localSheetId="8" hidden="1">{#N/A,#N/A,FALSE,"2002 Small Tool OH";#N/A,#N/A,FALSE,"QA"}</definedName>
    <definedName name="XXXX" hidden="1">{#N/A,#N/A,FALSE,"2002 Small Tool OH";#N/A,#N/A,FALSE,"QA"}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6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zz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17" l="1"/>
  <c r="A16" i="17"/>
  <c r="E16" i="17"/>
  <c r="F16" i="17"/>
  <c r="G16" i="17"/>
  <c r="A17" i="17"/>
  <c r="BA17" i="17"/>
  <c r="BB17" i="17" s="1"/>
  <c r="A18" i="17"/>
  <c r="BA18" i="17"/>
  <c r="BB18" i="17" s="1"/>
  <c r="A19" i="17"/>
  <c r="E19" i="17"/>
  <c r="BA19" i="17" s="1"/>
  <c r="BB19" i="17" s="1"/>
  <c r="D80" i="17" s="1"/>
  <c r="F19" i="17"/>
  <c r="AB19" i="17"/>
  <c r="AB20" i="17" s="1"/>
  <c r="AK19" i="17"/>
  <c r="A20" i="17"/>
  <c r="D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C20" i="17"/>
  <c r="AD20" i="17"/>
  <c r="AE20" i="17"/>
  <c r="AF20" i="17"/>
  <c r="AG20" i="17"/>
  <c r="AH20" i="17"/>
  <c r="AI20" i="17"/>
  <c r="AK20" i="17"/>
  <c r="AL20" i="17"/>
  <c r="AM20" i="17"/>
  <c r="AN20" i="17"/>
  <c r="AO20" i="17"/>
  <c r="AP20" i="17"/>
  <c r="AP47" i="17" s="1"/>
  <c r="AQ20" i="17"/>
  <c r="AR20" i="17"/>
  <c r="AS20" i="17"/>
  <c r="A21" i="17"/>
  <c r="A22" i="17"/>
  <c r="A23" i="17"/>
  <c r="A24" i="17"/>
  <c r="A25" i="17"/>
  <c r="BA25" i="17"/>
  <c r="BB25" i="17" s="1"/>
  <c r="A26" i="17"/>
  <c r="E26" i="17"/>
  <c r="E29" i="17" s="1"/>
  <c r="F26" i="17"/>
  <c r="AK26" i="17"/>
  <c r="AK29" i="17" s="1"/>
  <c r="A27" i="17"/>
  <c r="BA27" i="17"/>
  <c r="BB27" i="17"/>
  <c r="D88" i="17" s="1"/>
  <c r="A28" i="17"/>
  <c r="BA28" i="17"/>
  <c r="BB28" i="17"/>
  <c r="D89" i="17" s="1"/>
  <c r="A29" i="17"/>
  <c r="D29" i="17"/>
  <c r="F29" i="17"/>
  <c r="G29" i="17"/>
  <c r="H29" i="17"/>
  <c r="H45" i="17" s="1"/>
  <c r="H47" i="17" s="1"/>
  <c r="H64" i="17" s="1"/>
  <c r="H65" i="17" s="1"/>
  <c r="I29" i="17"/>
  <c r="J29" i="17"/>
  <c r="K29" i="17"/>
  <c r="L29" i="17"/>
  <c r="M29" i="17"/>
  <c r="N29" i="17"/>
  <c r="O29" i="17"/>
  <c r="P29" i="17"/>
  <c r="P45" i="17" s="1"/>
  <c r="P47" i="17" s="1"/>
  <c r="P70" i="17" s="1"/>
  <c r="Q29" i="17"/>
  <c r="R29" i="17"/>
  <c r="S29" i="17"/>
  <c r="T29" i="17"/>
  <c r="U29" i="17"/>
  <c r="V29" i="17"/>
  <c r="W29" i="17"/>
  <c r="W45" i="17" s="1"/>
  <c r="X29" i="17"/>
  <c r="Y29" i="17"/>
  <c r="Z29" i="17"/>
  <c r="Z45" i="17" s="1"/>
  <c r="AA29" i="17"/>
  <c r="AB29" i="17"/>
  <c r="AC29" i="17"/>
  <c r="AD29" i="17"/>
  <c r="AI29" i="17"/>
  <c r="AI45" i="17" s="1"/>
  <c r="AI47" i="17" s="1"/>
  <c r="AI70" i="17" s="1"/>
  <c r="AL29" i="17"/>
  <c r="AM29" i="17"/>
  <c r="AN29" i="17"/>
  <c r="AO29" i="17"/>
  <c r="AP29" i="17"/>
  <c r="AQ29" i="17"/>
  <c r="AR29" i="17"/>
  <c r="AR45" i="17" s="1"/>
  <c r="AR47" i="17" s="1"/>
  <c r="AS29" i="17"/>
  <c r="AS45" i="17" s="1"/>
  <c r="AS47" i="17" s="1"/>
  <c r="A30" i="17"/>
  <c r="A31" i="17"/>
  <c r="O31" i="17"/>
  <c r="V31" i="17"/>
  <c r="BA31" i="17"/>
  <c r="BB31" i="17"/>
  <c r="D92" i="17" s="1"/>
  <c r="A32" i="17"/>
  <c r="V32" i="17"/>
  <c r="BA32" i="17"/>
  <c r="BB32" i="17" s="1"/>
  <c r="D93" i="17" s="1"/>
  <c r="A33" i="17"/>
  <c r="O33" i="17"/>
  <c r="V33" i="17"/>
  <c r="BA33" i="17"/>
  <c r="BB33" i="17" s="1"/>
  <c r="D94" i="17" s="1"/>
  <c r="A34" i="17"/>
  <c r="E34" i="17"/>
  <c r="F34" i="17"/>
  <c r="G34" i="17"/>
  <c r="G45" i="17" s="1"/>
  <c r="J34" i="17"/>
  <c r="O34" i="17"/>
  <c r="V34" i="17"/>
  <c r="AB34" i="17"/>
  <c r="AK34" i="17"/>
  <c r="A35" i="17"/>
  <c r="F35" i="17"/>
  <c r="O35" i="17"/>
  <c r="Q35" i="17"/>
  <c r="R35" i="17"/>
  <c r="V35" i="17"/>
  <c r="A36" i="17"/>
  <c r="F36" i="17"/>
  <c r="BA36" i="17" s="1"/>
  <c r="BB36" i="17" s="1"/>
  <c r="D97" i="17" s="1"/>
  <c r="V36" i="17"/>
  <c r="A37" i="17"/>
  <c r="E37" i="17"/>
  <c r="F37" i="17"/>
  <c r="G37" i="17"/>
  <c r="K37" i="17"/>
  <c r="M37" i="17"/>
  <c r="N37" i="17"/>
  <c r="O37" i="17"/>
  <c r="P37" i="17"/>
  <c r="T37" i="17"/>
  <c r="U37" i="17"/>
  <c r="V37" i="17"/>
  <c r="Y37" i="17"/>
  <c r="AB37" i="17"/>
  <c r="AB45" i="17" s="1"/>
  <c r="AB47" i="17" s="1"/>
  <c r="AK37" i="17"/>
  <c r="AM37" i="17"/>
  <c r="A38" i="17"/>
  <c r="X38" i="17"/>
  <c r="AA38" i="17"/>
  <c r="AF38" i="17"/>
  <c r="AR38" i="17"/>
  <c r="A39" i="17"/>
  <c r="X39" i="17"/>
  <c r="AF39" i="17"/>
  <c r="AR39" i="17"/>
  <c r="A40" i="17"/>
  <c r="BA40" i="17"/>
  <c r="BB40" i="17" s="1"/>
  <c r="A41" i="17"/>
  <c r="S41" i="17"/>
  <c r="AC41" i="17"/>
  <c r="AC45" i="17" s="1"/>
  <c r="AC47" i="17" s="1"/>
  <c r="AK41" i="17"/>
  <c r="AL41" i="17"/>
  <c r="AN41" i="17"/>
  <c r="AP41" i="17"/>
  <c r="AQ41" i="17"/>
  <c r="A42" i="17"/>
  <c r="E42" i="17"/>
  <c r="F42" i="17"/>
  <c r="BA42" i="17" s="1"/>
  <c r="BB42" i="17" s="1"/>
  <c r="D103" i="17" s="1"/>
  <c r="G42" i="17"/>
  <c r="L42" i="17"/>
  <c r="O42" i="17"/>
  <c r="V42" i="17"/>
  <c r="AB42" i="17"/>
  <c r="AK42" i="17"/>
  <c r="A43" i="17"/>
  <c r="E43" i="17"/>
  <c r="F43" i="17"/>
  <c r="G43" i="17"/>
  <c r="H43" i="17"/>
  <c r="J43" i="17"/>
  <c r="K43" i="17"/>
  <c r="L43" i="17"/>
  <c r="M43" i="17"/>
  <c r="N43" i="17"/>
  <c r="N45" i="17" s="1"/>
  <c r="N47" i="17" s="1"/>
  <c r="O43" i="17"/>
  <c r="P43" i="17"/>
  <c r="R43" i="17"/>
  <c r="S43" i="17"/>
  <c r="T43" i="17"/>
  <c r="U43" i="17"/>
  <c r="V43" i="17"/>
  <c r="X43" i="17"/>
  <c r="X45" i="17" s="1"/>
  <c r="X47" i="17" s="1"/>
  <c r="Y43" i="17"/>
  <c r="AA43" i="17"/>
  <c r="AB43" i="17"/>
  <c r="AC43" i="17"/>
  <c r="AF43" i="17"/>
  <c r="AK43" i="17"/>
  <c r="AL43" i="17"/>
  <c r="AM43" i="17"/>
  <c r="AN43" i="17"/>
  <c r="AP43" i="17"/>
  <c r="AQ43" i="17"/>
  <c r="AR43" i="17"/>
  <c r="A44" i="17"/>
  <c r="BA44" i="17"/>
  <c r="BB44" i="17" s="1"/>
  <c r="D105" i="17" s="1"/>
  <c r="A45" i="17"/>
  <c r="D45" i="17"/>
  <c r="Q45" i="17"/>
  <c r="U45" i="17"/>
  <c r="AD45" i="17"/>
  <c r="AO45" i="17"/>
  <c r="AP45" i="17"/>
  <c r="A46" i="17"/>
  <c r="A47" i="17"/>
  <c r="AD47" i="17"/>
  <c r="AO47" i="17"/>
  <c r="AO70" i="17" s="1"/>
  <c r="A48" i="17"/>
  <c r="A49" i="17"/>
  <c r="J49" i="17"/>
  <c r="L49" i="17"/>
  <c r="R49" i="17"/>
  <c r="T49" i="17"/>
  <c r="Z49" i="17"/>
  <c r="A50" i="17"/>
  <c r="A51" i="17"/>
  <c r="A52" i="17"/>
  <c r="A53" i="17"/>
  <c r="A54" i="17"/>
  <c r="W54" i="17"/>
  <c r="AA54" i="17"/>
  <c r="AA60" i="17" s="1"/>
  <c r="AA49" i="17" s="1"/>
  <c r="AB54" i="17"/>
  <c r="AP54" i="17"/>
  <c r="AR54" i="17"/>
  <c r="A55" i="17"/>
  <c r="W55" i="17"/>
  <c r="BA55" i="17" s="1"/>
  <c r="BB55" i="17" s="1"/>
  <c r="D116" i="17" s="1"/>
  <c r="X55" i="17"/>
  <c r="AA55" i="17"/>
  <c r="AB55" i="17"/>
  <c r="AF55" i="17"/>
  <c r="AP55" i="17"/>
  <c r="AR55" i="17"/>
  <c r="A56" i="17"/>
  <c r="W56" i="17"/>
  <c r="AL56" i="17"/>
  <c r="AP56" i="17"/>
  <c r="AP60" i="17" s="1"/>
  <c r="AP49" i="17" s="1"/>
  <c r="AQ56" i="17"/>
  <c r="A57" i="17"/>
  <c r="W57" i="17"/>
  <c r="X57" i="17"/>
  <c r="AA57" i="17"/>
  <c r="AB57" i="17"/>
  <c r="AF57" i="17"/>
  <c r="AL57" i="17"/>
  <c r="AP57" i="17"/>
  <c r="AQ57" i="17"/>
  <c r="AQ60" i="17" s="1"/>
  <c r="AR57" i="17"/>
  <c r="A58" i="17"/>
  <c r="W58" i="17"/>
  <c r="BA58" i="17"/>
  <c r="BB58" i="17"/>
  <c r="A59" i="17"/>
  <c r="W59" i="17"/>
  <c r="BA59" i="17" s="1"/>
  <c r="BB59" i="17" s="1"/>
  <c r="D120" i="17" s="1"/>
  <c r="A60" i="17"/>
  <c r="D60" i="17"/>
  <c r="D49" i="17" s="1"/>
  <c r="E60" i="17"/>
  <c r="E49" i="17" s="1"/>
  <c r="F60" i="17"/>
  <c r="F49" i="17" s="1"/>
  <c r="G60" i="17"/>
  <c r="G49" i="17" s="1"/>
  <c r="H60" i="17"/>
  <c r="H49" i="17" s="1"/>
  <c r="I60" i="17"/>
  <c r="I49" i="17" s="1"/>
  <c r="J60" i="17"/>
  <c r="K60" i="17"/>
  <c r="K49" i="17" s="1"/>
  <c r="L60" i="17"/>
  <c r="M60" i="17"/>
  <c r="M49" i="17" s="1"/>
  <c r="N60" i="17"/>
  <c r="N49" i="17" s="1"/>
  <c r="O60" i="17"/>
  <c r="O49" i="17" s="1"/>
  <c r="P60" i="17"/>
  <c r="P49" i="17" s="1"/>
  <c r="Q60" i="17"/>
  <c r="Q49" i="17" s="1"/>
  <c r="R60" i="17"/>
  <c r="S60" i="17"/>
  <c r="S49" i="17" s="1"/>
  <c r="T60" i="17"/>
  <c r="U60" i="17"/>
  <c r="U49" i="17" s="1"/>
  <c r="V60" i="17"/>
  <c r="V49" i="17" s="1"/>
  <c r="X60" i="17"/>
  <c r="X49" i="17" s="1"/>
  <c r="Y60" i="17"/>
  <c r="Y49" i="17" s="1"/>
  <c r="Z60" i="17"/>
  <c r="AC60" i="17"/>
  <c r="AC49" i="17" s="1"/>
  <c r="AD60" i="17"/>
  <c r="AD49" i="17" s="1"/>
  <c r="AD70" i="17" s="1"/>
  <c r="AI60" i="17"/>
  <c r="AM60" i="17"/>
  <c r="AM49" i="17" s="1"/>
  <c r="AN60" i="17"/>
  <c r="AN49" i="17" s="1"/>
  <c r="AO60" i="17"/>
  <c r="AS60" i="17"/>
  <c r="A61" i="17"/>
  <c r="A62" i="17"/>
  <c r="D62" i="17"/>
  <c r="E62" i="17"/>
  <c r="F62" i="17"/>
  <c r="G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A62" i="17"/>
  <c r="AB62" i="17"/>
  <c r="AC62" i="17"/>
  <c r="AD62" i="17"/>
  <c r="AI62" i="17"/>
  <c r="AK62" i="17"/>
  <c r="AL62" i="17"/>
  <c r="AM62" i="17"/>
  <c r="AN62" i="17"/>
  <c r="AO62" i="17"/>
  <c r="AP62" i="17"/>
  <c r="AQ62" i="17"/>
  <c r="AR62" i="17"/>
  <c r="BA62" i="17"/>
  <c r="BB62" i="17"/>
  <c r="A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A63" i="17"/>
  <c r="AB63" i="17"/>
  <c r="AC63" i="17"/>
  <c r="AD63" i="17"/>
  <c r="AI63" i="17"/>
  <c r="AK63" i="17"/>
  <c r="AL63" i="17"/>
  <c r="AM63" i="17"/>
  <c r="AN63" i="17"/>
  <c r="AO63" i="17"/>
  <c r="AP63" i="17"/>
  <c r="AQ63" i="17"/>
  <c r="AR63" i="17"/>
  <c r="BA63" i="17"/>
  <c r="BB63" i="17"/>
  <c r="A64" i="17"/>
  <c r="AI64" i="17"/>
  <c r="AI65" i="17" s="1"/>
  <c r="AO64" i="17"/>
  <c r="A65" i="17"/>
  <c r="A66" i="17"/>
  <c r="A67" i="17"/>
  <c r="A68" i="17"/>
  <c r="A69" i="17"/>
  <c r="A70" i="17"/>
  <c r="AE70" i="17"/>
  <c r="AG70" i="17"/>
  <c r="AH70" i="17"/>
  <c r="AJ70" i="17"/>
  <c r="A71" i="17"/>
  <c r="A72" i="17"/>
  <c r="A73" i="17"/>
  <c r="A74" i="17"/>
  <c r="A75" i="17"/>
  <c r="A76" i="17"/>
  <c r="A77" i="17"/>
  <c r="E77" i="17"/>
  <c r="G77" i="17"/>
  <c r="G81" i="17" s="1"/>
  <c r="A78" i="17"/>
  <c r="D78" i="17"/>
  <c r="BA78" i="17"/>
  <c r="BB78" i="17" s="1"/>
  <c r="D139" i="17" s="1"/>
  <c r="A79" i="17"/>
  <c r="BA79" i="17"/>
  <c r="A80" i="17"/>
  <c r="E80" i="17"/>
  <c r="AB80" i="17"/>
  <c r="AB81" i="17" s="1"/>
  <c r="AP80" i="17"/>
  <c r="AP81" i="17" s="1"/>
  <c r="AQ80" i="17"/>
  <c r="A81" i="17"/>
  <c r="F81" i="17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Z81" i="17"/>
  <c r="AA81" i="17"/>
  <c r="AC81" i="17"/>
  <c r="AD81" i="17"/>
  <c r="AE81" i="17"/>
  <c r="AF81" i="17"/>
  <c r="AG81" i="17"/>
  <c r="AH81" i="17"/>
  <c r="AI81" i="17"/>
  <c r="AK81" i="17"/>
  <c r="AL81" i="17"/>
  <c r="AM81" i="17"/>
  <c r="AN81" i="17"/>
  <c r="AO81" i="17"/>
  <c r="AO108" i="17" s="1"/>
  <c r="AQ81" i="17"/>
  <c r="AR81" i="17"/>
  <c r="AS81" i="17"/>
  <c r="A82" i="17"/>
  <c r="A83" i="17"/>
  <c r="A84" i="17"/>
  <c r="A85" i="17"/>
  <c r="A86" i="17"/>
  <c r="D86" i="17"/>
  <c r="BA86" i="17"/>
  <c r="BB86" i="17" s="1"/>
  <c r="A87" i="17"/>
  <c r="BA87" i="17"/>
  <c r="A88" i="17"/>
  <c r="BA88" i="17"/>
  <c r="A89" i="17"/>
  <c r="BA89" i="17"/>
  <c r="BB89" i="17" s="1"/>
  <c r="D150" i="17" s="1"/>
  <c r="A90" i="17"/>
  <c r="E90" i="17"/>
  <c r="F90" i="17"/>
  <c r="G90" i="17"/>
  <c r="G106" i="17" s="1"/>
  <c r="G108" i="17" s="1"/>
  <c r="H90" i="17"/>
  <c r="I90" i="17"/>
  <c r="J90" i="17"/>
  <c r="J106" i="17" s="1"/>
  <c r="K90" i="17"/>
  <c r="L90" i="17"/>
  <c r="L106" i="17" s="1"/>
  <c r="M90" i="17"/>
  <c r="N90" i="17"/>
  <c r="N106" i="17" s="1"/>
  <c r="N108" i="17" s="1"/>
  <c r="O90" i="17"/>
  <c r="P90" i="17"/>
  <c r="P106" i="17" s="1"/>
  <c r="Q90" i="17"/>
  <c r="R90" i="17"/>
  <c r="S90" i="17"/>
  <c r="T90" i="17"/>
  <c r="T106" i="17" s="1"/>
  <c r="U90" i="17"/>
  <c r="U106" i="17" s="1"/>
  <c r="V90" i="17"/>
  <c r="V106" i="17" s="1"/>
  <c r="V108" i="17" s="1"/>
  <c r="W90" i="17"/>
  <c r="W106" i="17" s="1"/>
  <c r="W108" i="17" s="1"/>
  <c r="X90" i="17"/>
  <c r="Y90" i="17"/>
  <c r="Z90" i="17"/>
  <c r="Z106" i="17" s="1"/>
  <c r="AA90" i="17"/>
  <c r="AB90" i="17"/>
  <c r="AC90" i="17"/>
  <c r="AD90" i="17"/>
  <c r="AD106" i="17" s="1"/>
  <c r="AD108" i="17" s="1"/>
  <c r="AE90" i="17"/>
  <c r="AE106" i="17" s="1"/>
  <c r="AE108" i="17" s="1"/>
  <c r="AF90" i="17"/>
  <c r="AG90" i="17"/>
  <c r="AH90" i="17"/>
  <c r="AI90" i="17"/>
  <c r="AK90" i="17"/>
  <c r="AK106" i="17" s="1"/>
  <c r="AL90" i="17"/>
  <c r="AM90" i="17"/>
  <c r="AM106" i="17" s="1"/>
  <c r="AN90" i="17"/>
  <c r="AN106" i="17" s="1"/>
  <c r="AO90" i="17"/>
  <c r="AP90" i="17"/>
  <c r="AQ90" i="17"/>
  <c r="AR90" i="17"/>
  <c r="AS90" i="17"/>
  <c r="AS106" i="17" s="1"/>
  <c r="A91" i="17"/>
  <c r="A92" i="17"/>
  <c r="O92" i="17"/>
  <c r="BA92" i="17" s="1"/>
  <c r="BB92" i="17" s="1"/>
  <c r="A93" i="17"/>
  <c r="BA93" i="17"/>
  <c r="A94" i="17"/>
  <c r="O94" i="17"/>
  <c r="BA94" i="17" s="1"/>
  <c r="BB94" i="17" s="1"/>
  <c r="A95" i="17"/>
  <c r="E95" i="17"/>
  <c r="G95" i="17"/>
  <c r="O95" i="17"/>
  <c r="AP95" i="17"/>
  <c r="A96" i="17"/>
  <c r="O96" i="17"/>
  <c r="BA96" i="17" s="1"/>
  <c r="A97" i="17"/>
  <c r="BA97" i="17"/>
  <c r="A98" i="17"/>
  <c r="E98" i="17"/>
  <c r="G98" i="17"/>
  <c r="M98" i="17"/>
  <c r="O98" i="17"/>
  <c r="R98" i="17"/>
  <c r="AP98" i="17"/>
  <c r="A99" i="17"/>
  <c r="AA99" i="17"/>
  <c r="AE99" i="17"/>
  <c r="AF99" i="17"/>
  <c r="AG99" i="17"/>
  <c r="AH99" i="17"/>
  <c r="AI99" i="17"/>
  <c r="AJ99" i="17"/>
  <c r="AP99" i="17"/>
  <c r="AR99" i="17"/>
  <c r="A100" i="17"/>
  <c r="AE100" i="17"/>
  <c r="AF100" i="17"/>
  <c r="AG100" i="17"/>
  <c r="AH100" i="17"/>
  <c r="AI100" i="17"/>
  <c r="AJ100" i="17"/>
  <c r="AR100" i="17"/>
  <c r="A101" i="17"/>
  <c r="BA101" i="17"/>
  <c r="A102" i="17"/>
  <c r="AC102" i="17"/>
  <c r="AL102" i="17"/>
  <c r="AP102" i="17"/>
  <c r="AQ102" i="17"/>
  <c r="A103" i="17"/>
  <c r="E103" i="17"/>
  <c r="G103" i="17"/>
  <c r="O103" i="17"/>
  <c r="AP103" i="17"/>
  <c r="A104" i="17"/>
  <c r="E104" i="17"/>
  <c r="G104" i="17"/>
  <c r="M104" i="17"/>
  <c r="O104" i="17"/>
  <c r="R104" i="17"/>
  <c r="AA104" i="17"/>
  <c r="AB104" i="17"/>
  <c r="AC104" i="17"/>
  <c r="AE104" i="17"/>
  <c r="AF104" i="17"/>
  <c r="AG104" i="17"/>
  <c r="AH104" i="17"/>
  <c r="AI104" i="17"/>
  <c r="AJ104" i="17"/>
  <c r="AL104" i="17"/>
  <c r="AL106" i="17" s="1"/>
  <c r="AP104" i="17"/>
  <c r="AQ104" i="17"/>
  <c r="AR104" i="17"/>
  <c r="A105" i="17"/>
  <c r="H105" i="17"/>
  <c r="BA105" i="17"/>
  <c r="BB105" i="17"/>
  <c r="A106" i="17"/>
  <c r="F106" i="17"/>
  <c r="F108" i="17" s="1"/>
  <c r="H106" i="17"/>
  <c r="H108" i="17" s="1"/>
  <c r="K106" i="17"/>
  <c r="K108" i="17" s="1"/>
  <c r="Q106" i="17"/>
  <c r="S106" i="17"/>
  <c r="S108" i="17" s="1"/>
  <c r="X106" i="17"/>
  <c r="X108" i="17" s="1"/>
  <c r="Y106" i="17"/>
  <c r="AG106" i="17"/>
  <c r="AG108" i="17" s="1"/>
  <c r="AI106" i="17"/>
  <c r="AI108" i="17" s="1"/>
  <c r="AO106" i="17"/>
  <c r="A107" i="17"/>
  <c r="A108" i="17"/>
  <c r="L108" i="17"/>
  <c r="AM108" i="17"/>
  <c r="A109" i="17"/>
  <c r="A110" i="17"/>
  <c r="Y110" i="17"/>
  <c r="AD110" i="17"/>
  <c r="AD131" i="17" s="1"/>
  <c r="AS110" i="17"/>
  <c r="A111" i="17"/>
  <c r="A112" i="17"/>
  <c r="A113" i="17"/>
  <c r="A114" i="17"/>
  <c r="A115" i="17"/>
  <c r="AA115" i="17"/>
  <c r="AB115" i="17"/>
  <c r="AD115" i="17"/>
  <c r="AD121" i="17" s="1"/>
  <c r="AG115" i="17"/>
  <c r="AH115" i="17"/>
  <c r="AI115" i="17"/>
  <c r="AJ115" i="17"/>
  <c r="AN115" i="17"/>
  <c r="AN121" i="17" s="1"/>
  <c r="AN110" i="17" s="1"/>
  <c r="AP115" i="17"/>
  <c r="AR115" i="17"/>
  <c r="A116" i="17"/>
  <c r="AA116" i="17"/>
  <c r="AB116" i="17"/>
  <c r="AD116" i="17"/>
  <c r="AE116" i="17"/>
  <c r="AF116" i="17"/>
  <c r="AG116" i="17"/>
  <c r="AH116" i="17"/>
  <c r="AI116" i="17"/>
  <c r="AJ116" i="17"/>
  <c r="AJ121" i="17" s="1"/>
  <c r="AJ110" i="17" s="1"/>
  <c r="AN116" i="17"/>
  <c r="AP116" i="17"/>
  <c r="AR116" i="17"/>
  <c r="A117" i="17"/>
  <c r="AB117" i="17"/>
  <c r="AF117" i="17"/>
  <c r="AL117" i="17"/>
  <c r="AL121" i="17" s="1"/>
  <c r="AL110" i="17" s="1"/>
  <c r="AQ117" i="17"/>
  <c r="A118" i="17"/>
  <c r="H118" i="17"/>
  <c r="H121" i="17" s="1"/>
  <c r="H110" i="17" s="1"/>
  <c r="AA118" i="17"/>
  <c r="AE118" i="17"/>
  <c r="AG118" i="17"/>
  <c r="BA118" i="17" s="1"/>
  <c r="AH118" i="17"/>
  <c r="AI118" i="17"/>
  <c r="AJ118" i="17"/>
  <c r="AL118" i="17"/>
  <c r="AN118" i="17"/>
  <c r="AP118" i="17"/>
  <c r="AQ118" i="17"/>
  <c r="AQ121" i="17" s="1"/>
  <c r="AQ110" i="17" s="1"/>
  <c r="AR118" i="17"/>
  <c r="A119" i="17"/>
  <c r="BA119" i="17"/>
  <c r="A120" i="17"/>
  <c r="BA120" i="17"/>
  <c r="BB120" i="17" s="1"/>
  <c r="A121" i="17"/>
  <c r="E121" i="17"/>
  <c r="E110" i="17" s="1"/>
  <c r="F121" i="17"/>
  <c r="F110" i="17" s="1"/>
  <c r="F131" i="17" s="1"/>
  <c r="G121" i="17"/>
  <c r="G110" i="17" s="1"/>
  <c r="I121" i="17"/>
  <c r="I110" i="17" s="1"/>
  <c r="J121" i="17"/>
  <c r="J110" i="17" s="1"/>
  <c r="K121" i="17"/>
  <c r="K110" i="17" s="1"/>
  <c r="L121" i="17"/>
  <c r="L110" i="17" s="1"/>
  <c r="M121" i="17"/>
  <c r="M110" i="17" s="1"/>
  <c r="N121" i="17"/>
  <c r="N110" i="17" s="1"/>
  <c r="N131" i="17" s="1"/>
  <c r="O121" i="17"/>
  <c r="O110" i="17" s="1"/>
  <c r="P121" i="17"/>
  <c r="P110" i="17" s="1"/>
  <c r="Q121" i="17"/>
  <c r="Q110" i="17" s="1"/>
  <c r="R121" i="17"/>
  <c r="R110" i="17" s="1"/>
  <c r="S121" i="17"/>
  <c r="S110" i="17" s="1"/>
  <c r="T121" i="17"/>
  <c r="T110" i="17" s="1"/>
  <c r="U121" i="17"/>
  <c r="U110" i="17" s="1"/>
  <c r="V121" i="17"/>
  <c r="V110" i="17" s="1"/>
  <c r="V131" i="17" s="1"/>
  <c r="W121" i="17"/>
  <c r="W110" i="17" s="1"/>
  <c r="X121" i="17"/>
  <c r="X110" i="17" s="1"/>
  <c r="Y121" i="17"/>
  <c r="Z121" i="17"/>
  <c r="Z110" i="17" s="1"/>
  <c r="AC121" i="17"/>
  <c r="AC110" i="17" s="1"/>
  <c r="AE121" i="17"/>
  <c r="AE110" i="17" s="1"/>
  <c r="AK121" i="17"/>
  <c r="AK110" i="17" s="1"/>
  <c r="AM121" i="17"/>
  <c r="AM110" i="17" s="1"/>
  <c r="AO121" i="17"/>
  <c r="AS121" i="17"/>
  <c r="A122" i="17"/>
  <c r="A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BA123" i="17"/>
  <c r="BB123" i="17"/>
  <c r="A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BA124" i="17"/>
  <c r="BB124" i="17"/>
  <c r="A125" i="17"/>
  <c r="N125" i="17"/>
  <c r="N126" i="17" s="1"/>
  <c r="V125" i="17"/>
  <c r="V126" i="17" s="1"/>
  <c r="X125" i="17"/>
  <c r="X126" i="17" s="1"/>
  <c r="A126" i="17"/>
  <c r="A127" i="17"/>
  <c r="BB127" i="17"/>
  <c r="BB188" i="17" s="1"/>
  <c r="BB249" i="17" s="1"/>
  <c r="BB310" i="17" s="1"/>
  <c r="BB371" i="17" s="1"/>
  <c r="BB432" i="17" s="1"/>
  <c r="A128" i="17"/>
  <c r="A129" i="17"/>
  <c r="A130" i="17"/>
  <c r="BA130" i="17"/>
  <c r="BB130" i="17"/>
  <c r="A131" i="17"/>
  <c r="X131" i="17"/>
  <c r="A132" i="17"/>
  <c r="A133" i="17"/>
  <c r="A134" i="17"/>
  <c r="A135" i="17"/>
  <c r="A136" i="17"/>
  <c r="A137" i="17"/>
  <c r="A138" i="17"/>
  <c r="E138" i="17"/>
  <c r="BA138" i="17" s="1"/>
  <c r="A139" i="17"/>
  <c r="BA139" i="17"/>
  <c r="A140" i="17"/>
  <c r="BA140" i="17"/>
  <c r="A141" i="17"/>
  <c r="AQ141" i="17"/>
  <c r="BA141" i="17" s="1"/>
  <c r="A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P169" i="17" s="1"/>
  <c r="Q142" i="17"/>
  <c r="R142" i="17"/>
  <c r="S142" i="17"/>
  <c r="T142" i="17"/>
  <c r="U142" i="17"/>
  <c r="V142" i="17"/>
  <c r="W142" i="17"/>
  <c r="X142" i="17"/>
  <c r="X169" i="17" s="1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M169" i="17" s="1"/>
  <c r="AN142" i="17"/>
  <c r="AN169" i="17" s="1"/>
  <c r="AO142" i="17"/>
  <c r="AP142" i="17"/>
  <c r="AQ142" i="17"/>
  <c r="AR142" i="17"/>
  <c r="AS142" i="17"/>
  <c r="A143" i="17"/>
  <c r="A144" i="17"/>
  <c r="A145" i="17"/>
  <c r="A146" i="17"/>
  <c r="A147" i="17"/>
  <c r="D147" i="17"/>
  <c r="BA147" i="17"/>
  <c r="BB147" i="17" s="1"/>
  <c r="A148" i="17"/>
  <c r="BA148" i="17"/>
  <c r="A149" i="17"/>
  <c r="BA149" i="17"/>
  <c r="A150" i="17"/>
  <c r="BA150" i="17"/>
  <c r="BB150" i="17"/>
  <c r="A151" i="17"/>
  <c r="E151" i="17"/>
  <c r="F151" i="17"/>
  <c r="F167" i="17" s="1"/>
  <c r="G151" i="17"/>
  <c r="H151" i="17"/>
  <c r="I151" i="17"/>
  <c r="J151" i="17"/>
  <c r="J167" i="17" s="1"/>
  <c r="J169" i="17" s="1"/>
  <c r="K151" i="17"/>
  <c r="K167" i="17" s="1"/>
  <c r="L151" i="17"/>
  <c r="L167" i="17" s="1"/>
  <c r="M151" i="17"/>
  <c r="M167" i="17" s="1"/>
  <c r="N151" i="17"/>
  <c r="N167" i="17" s="1"/>
  <c r="O151" i="17"/>
  <c r="P151" i="17"/>
  <c r="Q151" i="17"/>
  <c r="R151" i="17"/>
  <c r="R167" i="17" s="1"/>
  <c r="R169" i="17" s="1"/>
  <c r="S151" i="17"/>
  <c r="T151" i="17"/>
  <c r="T167" i="17" s="1"/>
  <c r="U151" i="17"/>
  <c r="V151" i="17"/>
  <c r="V167" i="17" s="1"/>
  <c r="W151" i="17"/>
  <c r="X151" i="17"/>
  <c r="Y151" i="17"/>
  <c r="Z151" i="17"/>
  <c r="Z167" i="17" s="1"/>
  <c r="Z169" i="17" s="1"/>
  <c r="AA151" i="17"/>
  <c r="AA167" i="17" s="1"/>
  <c r="AB151" i="17"/>
  <c r="AB167" i="17" s="1"/>
  <c r="AC151" i="17"/>
  <c r="AD151" i="17"/>
  <c r="AE151" i="17"/>
  <c r="AF151" i="17"/>
  <c r="AG151" i="17"/>
  <c r="AH151" i="17"/>
  <c r="AI151" i="17"/>
  <c r="AI167" i="17" s="1"/>
  <c r="AJ151" i="17"/>
  <c r="AK151" i="17"/>
  <c r="AL151" i="17"/>
  <c r="AM151" i="17"/>
  <c r="AN151" i="17"/>
  <c r="AO151" i="17"/>
  <c r="AP151" i="17"/>
  <c r="AP167" i="17" s="1"/>
  <c r="AP169" i="17" s="1"/>
  <c r="AP186" i="17" s="1"/>
  <c r="AP187" i="17" s="1"/>
  <c r="AQ151" i="17"/>
  <c r="AR151" i="17"/>
  <c r="AS151" i="17"/>
  <c r="A152" i="17"/>
  <c r="A153" i="17"/>
  <c r="O153" i="17"/>
  <c r="BA153" i="17"/>
  <c r="A154" i="17"/>
  <c r="O154" i="17"/>
  <c r="BA154" i="17" s="1"/>
  <c r="A155" i="17"/>
  <c r="O155" i="17"/>
  <c r="BA155" i="17" s="1"/>
  <c r="A156" i="17"/>
  <c r="E156" i="17"/>
  <c r="O156" i="17"/>
  <c r="A157" i="17"/>
  <c r="O157" i="17"/>
  <c r="BA157" i="17" s="1"/>
  <c r="A158" i="17"/>
  <c r="BA158" i="17"/>
  <c r="A159" i="17"/>
  <c r="E159" i="17"/>
  <c r="BA159" i="17" s="1"/>
  <c r="O159" i="17"/>
  <c r="A160" i="17"/>
  <c r="AE160" i="17"/>
  <c r="AF160" i="17"/>
  <c r="AG160" i="17"/>
  <c r="AH160" i="17"/>
  <c r="AI160" i="17"/>
  <c r="AJ160" i="17"/>
  <c r="AR160" i="17"/>
  <c r="A161" i="17"/>
  <c r="AE161" i="17"/>
  <c r="AF161" i="17"/>
  <c r="AG161" i="17"/>
  <c r="AG167" i="17" s="1"/>
  <c r="AG169" i="17" s="1"/>
  <c r="AH161" i="17"/>
  <c r="AI161" i="17"/>
  <c r="AJ161" i="17"/>
  <c r="AR161" i="17"/>
  <c r="A162" i="17"/>
  <c r="BA162" i="17"/>
  <c r="A163" i="17"/>
  <c r="AC163" i="17"/>
  <c r="AL163" i="17"/>
  <c r="AQ163" i="17"/>
  <c r="A164" i="17"/>
  <c r="E164" i="17"/>
  <c r="BA164" i="17" s="1"/>
  <c r="O164" i="17"/>
  <c r="A165" i="17"/>
  <c r="E165" i="17"/>
  <c r="O165" i="17"/>
  <c r="AC165" i="17"/>
  <c r="AC167" i="17" s="1"/>
  <c r="AE165" i="17"/>
  <c r="AF165" i="17"/>
  <c r="AF167" i="17" s="1"/>
  <c r="AF169" i="17" s="1"/>
  <c r="AG165" i="17"/>
  <c r="AH165" i="17"/>
  <c r="AI165" i="17"/>
  <c r="AJ165" i="17"/>
  <c r="AL165" i="17"/>
  <c r="AQ165" i="17"/>
  <c r="AR165" i="17"/>
  <c r="A166" i="17"/>
  <c r="H166" i="17"/>
  <c r="BA166" i="17" s="1"/>
  <c r="A167" i="17"/>
  <c r="G167" i="17"/>
  <c r="H167" i="17"/>
  <c r="P167" i="17"/>
  <c r="Q167" i="17"/>
  <c r="Q169" i="17" s="1"/>
  <c r="S167" i="17"/>
  <c r="U167" i="17"/>
  <c r="W167" i="17"/>
  <c r="X167" i="17"/>
  <c r="Y167" i="17"/>
  <c r="AD167" i="17"/>
  <c r="AK167" i="17"/>
  <c r="AK169" i="17" s="1"/>
  <c r="AM167" i="17"/>
  <c r="AN167" i="17"/>
  <c r="AO167" i="17"/>
  <c r="AQ167" i="17"/>
  <c r="AS167" i="17"/>
  <c r="A168" i="17"/>
  <c r="A169" i="17"/>
  <c r="M169" i="17"/>
  <c r="U169" i="17"/>
  <c r="W169" i="17"/>
  <c r="Y169" i="17"/>
  <c r="AO169" i="17"/>
  <c r="AO186" i="17" s="1"/>
  <c r="A170" i="17"/>
  <c r="A171" i="17"/>
  <c r="G171" i="17"/>
  <c r="A172" i="17"/>
  <c r="A173" i="17"/>
  <c r="A174" i="17"/>
  <c r="A175" i="17"/>
  <c r="A176" i="17"/>
  <c r="AD176" i="17"/>
  <c r="AG176" i="17"/>
  <c r="AH176" i="17"/>
  <c r="AI176" i="17"/>
  <c r="AJ176" i="17"/>
  <c r="AN176" i="17"/>
  <c r="AR176" i="17"/>
  <c r="A177" i="17"/>
  <c r="AD177" i="17"/>
  <c r="AE177" i="17"/>
  <c r="AF177" i="17"/>
  <c r="AG177" i="17"/>
  <c r="AH177" i="17"/>
  <c r="AH182" i="17" s="1"/>
  <c r="AH171" i="17" s="1"/>
  <c r="AI177" i="17"/>
  <c r="AJ177" i="17"/>
  <c r="AR177" i="17"/>
  <c r="AR182" i="17" s="1"/>
  <c r="AR171" i="17" s="1"/>
  <c r="A178" i="17"/>
  <c r="AF178" i="17"/>
  <c r="AL178" i="17"/>
  <c r="AQ178" i="17"/>
  <c r="A179" i="17"/>
  <c r="H179" i="17"/>
  <c r="H182" i="17" s="1"/>
  <c r="AE179" i="17"/>
  <c r="AE182" i="17" s="1"/>
  <c r="AE171" i="17" s="1"/>
  <c r="AG179" i="17"/>
  <c r="AG182" i="17" s="1"/>
  <c r="AG171" i="17" s="1"/>
  <c r="AH179" i="17"/>
  <c r="AI179" i="17"/>
  <c r="AJ179" i="17"/>
  <c r="AL179" i="17"/>
  <c r="AN179" i="17"/>
  <c r="BA179" i="17" s="1"/>
  <c r="AQ179" i="17"/>
  <c r="AR179" i="17"/>
  <c r="A180" i="17"/>
  <c r="BA180" i="17"/>
  <c r="BG180" i="17"/>
  <c r="A181" i="17"/>
  <c r="D181" i="17"/>
  <c r="BA181" i="17"/>
  <c r="BB181" i="17"/>
  <c r="A182" i="17"/>
  <c r="E182" i="17"/>
  <c r="E171" i="17" s="1"/>
  <c r="F182" i="17"/>
  <c r="F171" i="17" s="1"/>
  <c r="G182" i="17"/>
  <c r="I182" i="17"/>
  <c r="I171" i="17" s="1"/>
  <c r="J182" i="17"/>
  <c r="J171" i="17" s="1"/>
  <c r="K182" i="17"/>
  <c r="K171" i="17" s="1"/>
  <c r="L182" i="17"/>
  <c r="L171" i="17" s="1"/>
  <c r="M182" i="17"/>
  <c r="M171" i="17" s="1"/>
  <c r="N182" i="17"/>
  <c r="N171" i="17" s="1"/>
  <c r="O182" i="17"/>
  <c r="O171" i="17" s="1"/>
  <c r="P182" i="17"/>
  <c r="Q182" i="17"/>
  <c r="Q171" i="17" s="1"/>
  <c r="R182" i="17"/>
  <c r="R171" i="17" s="1"/>
  <c r="S182" i="17"/>
  <c r="S171" i="17" s="1"/>
  <c r="T182" i="17"/>
  <c r="T171" i="17" s="1"/>
  <c r="U182" i="17"/>
  <c r="U171" i="17" s="1"/>
  <c r="V182" i="17"/>
  <c r="V171" i="17" s="1"/>
  <c r="W182" i="17"/>
  <c r="W171" i="17" s="1"/>
  <c r="X182" i="17"/>
  <c r="X186" i="17" s="1"/>
  <c r="X187" i="17" s="1"/>
  <c r="Y182" i="17"/>
  <c r="Y171" i="17" s="1"/>
  <c r="Z182" i="17"/>
  <c r="Z171" i="17" s="1"/>
  <c r="AA182" i="17"/>
  <c r="AA171" i="17" s="1"/>
  <c r="AB182" i="17"/>
  <c r="AB171" i="17" s="1"/>
  <c r="AC182" i="17"/>
  <c r="AC171" i="17" s="1"/>
  <c r="AF182" i="17"/>
  <c r="AK182" i="17"/>
  <c r="AK171" i="17" s="1"/>
  <c r="AM182" i="17"/>
  <c r="AM171" i="17" s="1"/>
  <c r="AN182" i="17"/>
  <c r="AN186" i="17" s="1"/>
  <c r="AN187" i="17" s="1"/>
  <c r="AO182" i="17"/>
  <c r="AP182" i="17"/>
  <c r="AP171" i="17" s="1"/>
  <c r="AS182" i="17"/>
  <c r="AS171" i="17" s="1"/>
  <c r="A183" i="17"/>
  <c r="A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BA184" i="17"/>
  <c r="BB184" i="17"/>
  <c r="A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BA185" i="17"/>
  <c r="BB185" i="17"/>
  <c r="A186" i="17"/>
  <c r="W186" i="17"/>
  <c r="W187" i="17" s="1"/>
  <c r="A187" i="17"/>
  <c r="AO187" i="17"/>
  <c r="A188" i="17"/>
  <c r="A189" i="17"/>
  <c r="A190" i="17"/>
  <c r="A191" i="17"/>
  <c r="BA191" i="17"/>
  <c r="BB191" i="17"/>
  <c r="A192" i="17"/>
  <c r="Y192" i="17"/>
  <c r="A193" i="17"/>
  <c r="A194" i="17"/>
  <c r="A195" i="17"/>
  <c r="A196" i="17"/>
  <c r="A197" i="17"/>
  <c r="A198" i="17"/>
  <c r="A199" i="17"/>
  <c r="E199" i="17"/>
  <c r="BA199" i="17" s="1"/>
  <c r="A200" i="17"/>
  <c r="BA200" i="17"/>
  <c r="A201" i="17"/>
  <c r="BA201" i="17"/>
  <c r="A202" i="17"/>
  <c r="AP202" i="17"/>
  <c r="AQ202" i="17"/>
  <c r="AQ203" i="17" s="1"/>
  <c r="A203" i="17"/>
  <c r="E203" i="17"/>
  <c r="F203" i="17"/>
  <c r="F230" i="17" s="1"/>
  <c r="F247" i="17" s="1"/>
  <c r="G203" i="17"/>
  <c r="H203" i="17"/>
  <c r="I203" i="17"/>
  <c r="J203" i="17"/>
  <c r="K203" i="17"/>
  <c r="L203" i="17"/>
  <c r="M203" i="17"/>
  <c r="M230" i="17" s="1"/>
  <c r="M247" i="17" s="1"/>
  <c r="M248" i="17" s="1"/>
  <c r="N203" i="17"/>
  <c r="N230" i="17" s="1"/>
  <c r="N247" i="17" s="1"/>
  <c r="O203" i="17"/>
  <c r="P203" i="17"/>
  <c r="Q203" i="17"/>
  <c r="R203" i="17"/>
  <c r="S203" i="17"/>
  <c r="T203" i="17"/>
  <c r="U203" i="17"/>
  <c r="V203" i="17"/>
  <c r="V230" i="17" s="1"/>
  <c r="V247" i="17" s="1"/>
  <c r="W203" i="17"/>
  <c r="X203" i="17"/>
  <c r="Y203" i="17"/>
  <c r="Z203" i="17"/>
  <c r="AA203" i="17"/>
  <c r="AB203" i="17"/>
  <c r="AC203" i="17"/>
  <c r="AC230" i="17" s="1"/>
  <c r="AC247" i="17" s="1"/>
  <c r="AC248" i="17" s="1"/>
  <c r="AD203" i="17"/>
  <c r="AD230" i="17" s="1"/>
  <c r="AE203" i="17"/>
  <c r="AF203" i="17"/>
  <c r="AG203" i="17"/>
  <c r="AH203" i="17"/>
  <c r="AI203" i="17"/>
  <c r="AJ203" i="17"/>
  <c r="AK203" i="17"/>
  <c r="AK230" i="17" s="1"/>
  <c r="AL203" i="17"/>
  <c r="AL230" i="17" s="1"/>
  <c r="AM203" i="17"/>
  <c r="AN203" i="17"/>
  <c r="AO203" i="17"/>
  <c r="AR203" i="17"/>
  <c r="A204" i="17"/>
  <c r="A205" i="17"/>
  <c r="A206" i="17"/>
  <c r="A207" i="17"/>
  <c r="A208" i="17"/>
  <c r="BA208" i="17"/>
  <c r="A209" i="17"/>
  <c r="BA209" i="17"/>
  <c r="A210" i="17"/>
  <c r="BA210" i="17"/>
  <c r="A211" i="17"/>
  <c r="D211" i="17"/>
  <c r="BA211" i="17"/>
  <c r="A212" i="17"/>
  <c r="E212" i="17"/>
  <c r="F212" i="17"/>
  <c r="G212" i="17"/>
  <c r="H212" i="17"/>
  <c r="I212" i="17"/>
  <c r="J212" i="17"/>
  <c r="J228" i="17" s="1"/>
  <c r="J230" i="17" s="1"/>
  <c r="K212" i="17"/>
  <c r="K228" i="17" s="1"/>
  <c r="K230" i="17" s="1"/>
  <c r="L212" i="17"/>
  <c r="L228" i="17" s="1"/>
  <c r="L230" i="17" s="1"/>
  <c r="M212" i="17"/>
  <c r="N212" i="17"/>
  <c r="O212" i="17"/>
  <c r="P212" i="17"/>
  <c r="P228" i="17" s="1"/>
  <c r="Q212" i="17"/>
  <c r="Q228" i="17" s="1"/>
  <c r="R212" i="17"/>
  <c r="R228" i="17" s="1"/>
  <c r="R230" i="17" s="1"/>
  <c r="S212" i="17"/>
  <c r="S228" i="17" s="1"/>
  <c r="S230" i="17" s="1"/>
  <c r="T212" i="17"/>
  <c r="T228" i="17" s="1"/>
  <c r="T230" i="17" s="1"/>
  <c r="U212" i="17"/>
  <c r="V212" i="17"/>
  <c r="W212" i="17"/>
  <c r="X212" i="17"/>
  <c r="X228" i="17" s="1"/>
  <c r="Y212" i="17"/>
  <c r="Y228" i="17" s="1"/>
  <c r="Z212" i="17"/>
  <c r="AA212" i="17"/>
  <c r="AA228" i="17" s="1"/>
  <c r="AA230" i="17" s="1"/>
  <c r="AB212" i="17"/>
  <c r="AB228" i="17" s="1"/>
  <c r="AB230" i="17" s="1"/>
  <c r="AC212" i="17"/>
  <c r="AD212" i="17"/>
  <c r="AE212" i="17"/>
  <c r="AF212" i="17"/>
  <c r="AF228" i="17" s="1"/>
  <c r="AG212" i="17"/>
  <c r="AG228" i="17" s="1"/>
  <c r="AH212" i="17"/>
  <c r="AH228" i="17" s="1"/>
  <c r="AH230" i="17" s="1"/>
  <c r="AI212" i="17"/>
  <c r="AJ212" i="17"/>
  <c r="AK212" i="17"/>
  <c r="AL212" i="17"/>
  <c r="AM212" i="17"/>
  <c r="AN212" i="17"/>
  <c r="AO212" i="17"/>
  <c r="AP212" i="17"/>
  <c r="AQ212" i="17"/>
  <c r="AR212" i="17"/>
  <c r="A213" i="17"/>
  <c r="A214" i="17"/>
  <c r="O214" i="17"/>
  <c r="Z214" i="17"/>
  <c r="BA214" i="17"/>
  <c r="A215" i="17"/>
  <c r="O215" i="17"/>
  <c r="Z215" i="17"/>
  <c r="BA215" i="17"/>
  <c r="A216" i="17"/>
  <c r="O216" i="17"/>
  <c r="Z216" i="17"/>
  <c r="A217" i="17"/>
  <c r="E217" i="17"/>
  <c r="BA217" i="17" s="1"/>
  <c r="O217" i="17"/>
  <c r="Z217" i="17"/>
  <c r="A218" i="17"/>
  <c r="O218" i="17"/>
  <c r="BA218" i="17" s="1"/>
  <c r="Z218" i="17"/>
  <c r="A219" i="17"/>
  <c r="Z219" i="17"/>
  <c r="BA219" i="17" s="1"/>
  <c r="A220" i="17"/>
  <c r="E220" i="17"/>
  <c r="O220" i="17"/>
  <c r="Z220" i="17"/>
  <c r="AM220" i="17"/>
  <c r="AM228" i="17" s="1"/>
  <c r="AM230" i="17" s="1"/>
  <c r="AO220" i="17"/>
  <c r="A221" i="17"/>
  <c r="AE221" i="17"/>
  <c r="AE228" i="17" s="1"/>
  <c r="AE230" i="17" s="1"/>
  <c r="AF221" i="17"/>
  <c r="AG221" i="17"/>
  <c r="AH221" i="17"/>
  <c r="AI221" i="17"/>
  <c r="AJ221" i="17"/>
  <c r="BA221" i="17" s="1"/>
  <c r="AR221" i="17"/>
  <c r="A222" i="17"/>
  <c r="AE222" i="17"/>
  <c r="AF222" i="17"/>
  <c r="AG222" i="17"/>
  <c r="AH222" i="17"/>
  <c r="AI222" i="17"/>
  <c r="AJ222" i="17"/>
  <c r="AN222" i="17"/>
  <c r="AR222" i="17"/>
  <c r="A223" i="17"/>
  <c r="BA223" i="17"/>
  <c r="A224" i="17"/>
  <c r="AB224" i="17"/>
  <c r="AC224" i="17"/>
  <c r="AL224" i="17"/>
  <c r="AL228" i="17" s="1"/>
  <c r="AP224" i="17"/>
  <c r="AQ224" i="17"/>
  <c r="AS224" i="17"/>
  <c r="A225" i="17"/>
  <c r="E225" i="17"/>
  <c r="O225" i="17"/>
  <c r="Z225" i="17"/>
  <c r="A226" i="17"/>
  <c r="E226" i="17"/>
  <c r="O226" i="17"/>
  <c r="Z226" i="17"/>
  <c r="AB226" i="17"/>
  <c r="AC226" i="17"/>
  <c r="AE226" i="17"/>
  <c r="AF226" i="17"/>
  <c r="AG226" i="17"/>
  <c r="AH226" i="17"/>
  <c r="AI226" i="17"/>
  <c r="AJ226" i="17"/>
  <c r="AL226" i="17"/>
  <c r="AM226" i="17"/>
  <c r="AN226" i="17"/>
  <c r="AO226" i="17"/>
  <c r="AP226" i="17"/>
  <c r="AQ226" i="17"/>
  <c r="AR226" i="17"/>
  <c r="AS226" i="17"/>
  <c r="AS228" i="17" s="1"/>
  <c r="AS230" i="17" s="1"/>
  <c r="A227" i="17"/>
  <c r="H227" i="17"/>
  <c r="BA227" i="17"/>
  <c r="A228" i="17"/>
  <c r="E228" i="17"/>
  <c r="F228" i="17"/>
  <c r="G228" i="17"/>
  <c r="G230" i="17" s="1"/>
  <c r="H228" i="17"/>
  <c r="H230" i="17" s="1"/>
  <c r="H247" i="17" s="1"/>
  <c r="H248" i="17" s="1"/>
  <c r="M228" i="17"/>
  <c r="N228" i="17"/>
  <c r="U228" i="17"/>
  <c r="V228" i="17"/>
  <c r="W228" i="17"/>
  <c r="W230" i="17" s="1"/>
  <c r="AC228" i="17"/>
  <c r="AD228" i="17"/>
  <c r="AK228" i="17"/>
  <c r="AN228" i="17"/>
  <c r="AO228" i="17"/>
  <c r="AO230" i="17" s="1"/>
  <c r="AP228" i="17"/>
  <c r="A229" i="17"/>
  <c r="A230" i="17"/>
  <c r="U230" i="17"/>
  <c r="U247" i="17" s="1"/>
  <c r="U248" i="17" s="1"/>
  <c r="X230" i="17"/>
  <c r="Y230" i="17"/>
  <c r="Y247" i="17" s="1"/>
  <c r="Y248" i="17" s="1"/>
  <c r="AN230" i="17"/>
  <c r="A231" i="17"/>
  <c r="A232" i="17"/>
  <c r="W232" i="17"/>
  <c r="A233" i="17"/>
  <c r="A234" i="17"/>
  <c r="A235" i="17"/>
  <c r="A236" i="17"/>
  <c r="BH236" i="17"/>
  <c r="A237" i="17"/>
  <c r="AD237" i="17"/>
  <c r="AG237" i="17"/>
  <c r="AH237" i="17"/>
  <c r="AI237" i="17"/>
  <c r="AJ237" i="17"/>
  <c r="AN237" i="17"/>
  <c r="AR237" i="17"/>
  <c r="A238" i="17"/>
  <c r="AD238" i="17"/>
  <c r="AE238" i="17"/>
  <c r="AF238" i="17"/>
  <c r="AG238" i="17"/>
  <c r="AG243" i="17" s="1"/>
  <c r="AG232" i="17" s="1"/>
  <c r="AH238" i="17"/>
  <c r="AH243" i="17" s="1"/>
  <c r="AH232" i="17" s="1"/>
  <c r="AI238" i="17"/>
  <c r="AJ238" i="17"/>
  <c r="AN238" i="17"/>
  <c r="AR238" i="17"/>
  <c r="A239" i="17"/>
  <c r="AF239" i="17"/>
  <c r="AL239" i="17"/>
  <c r="AQ239" i="17"/>
  <c r="A240" i="17"/>
  <c r="H240" i="17"/>
  <c r="AE240" i="17"/>
  <c r="AG240" i="17"/>
  <c r="AH240" i="17"/>
  <c r="AI240" i="17"/>
  <c r="AJ240" i="17"/>
  <c r="AL240" i="17"/>
  <c r="AN240" i="17"/>
  <c r="AQ240" i="17"/>
  <c r="AR240" i="17"/>
  <c r="A241" i="17"/>
  <c r="BA241" i="17"/>
  <c r="A242" i="17"/>
  <c r="D242" i="17"/>
  <c r="BA242" i="17"/>
  <c r="A243" i="17"/>
  <c r="E243" i="17"/>
  <c r="E232" i="17" s="1"/>
  <c r="F243" i="17"/>
  <c r="F232" i="17" s="1"/>
  <c r="G243" i="17"/>
  <c r="G232" i="17" s="1"/>
  <c r="H243" i="17"/>
  <c r="H232" i="17" s="1"/>
  <c r="I243" i="17"/>
  <c r="I232" i="17" s="1"/>
  <c r="J243" i="17"/>
  <c r="J232" i="17" s="1"/>
  <c r="K243" i="17"/>
  <c r="K232" i="17" s="1"/>
  <c r="L243" i="17"/>
  <c r="L232" i="17" s="1"/>
  <c r="M243" i="17"/>
  <c r="M232" i="17" s="1"/>
  <c r="N243" i="17"/>
  <c r="N232" i="17" s="1"/>
  <c r="O243" i="17"/>
  <c r="O232" i="17" s="1"/>
  <c r="P243" i="17"/>
  <c r="P232" i="17" s="1"/>
  <c r="Q243" i="17"/>
  <c r="Q232" i="17" s="1"/>
  <c r="R243" i="17"/>
  <c r="R232" i="17" s="1"/>
  <c r="S243" i="17"/>
  <c r="S232" i="17" s="1"/>
  <c r="T243" i="17"/>
  <c r="T232" i="17" s="1"/>
  <c r="U243" i="17"/>
  <c r="U232" i="17" s="1"/>
  <c r="V243" i="17"/>
  <c r="V232" i="17" s="1"/>
  <c r="W243" i="17"/>
  <c r="X243" i="17"/>
  <c r="X232" i="17" s="1"/>
  <c r="Y243" i="17"/>
  <c r="Y232" i="17" s="1"/>
  <c r="Z243" i="17"/>
  <c r="Z232" i="17" s="1"/>
  <c r="AA243" i="17"/>
  <c r="AA232" i="17" s="1"/>
  <c r="AB243" i="17"/>
  <c r="AB232" i="17" s="1"/>
  <c r="AC243" i="17"/>
  <c r="AC232" i="17" s="1"/>
  <c r="AF243" i="17"/>
  <c r="AF232" i="17" s="1"/>
  <c r="AK243" i="17"/>
  <c r="AK232" i="17" s="1"/>
  <c r="AM243" i="17"/>
  <c r="AM232" i="17" s="1"/>
  <c r="AN243" i="17"/>
  <c r="AN232" i="17" s="1"/>
  <c r="AO243" i="17"/>
  <c r="AP243" i="17"/>
  <c r="AP232" i="17" s="1"/>
  <c r="AS243" i="17"/>
  <c r="A244" i="17"/>
  <c r="A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BA245" i="17"/>
  <c r="BB245" i="17"/>
  <c r="A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BA246" i="17"/>
  <c r="BB246" i="17"/>
  <c r="A247" i="17"/>
  <c r="X247" i="17"/>
  <c r="X248" i="17" s="1"/>
  <c r="A248" i="17"/>
  <c r="A249" i="17"/>
  <c r="A250" i="17"/>
  <c r="A251" i="17"/>
  <c r="A252" i="17"/>
  <c r="BA252" i="17"/>
  <c r="BB252" i="17"/>
  <c r="A253" i="17"/>
  <c r="A254" i="17"/>
  <c r="A255" i="17"/>
  <c r="A256" i="17"/>
  <c r="A257" i="17"/>
  <c r="A258" i="17"/>
  <c r="A259" i="17"/>
  <c r="A260" i="17"/>
  <c r="E260" i="17"/>
  <c r="E264" i="17" s="1"/>
  <c r="A261" i="17"/>
  <c r="BA261" i="17"/>
  <c r="A262" i="17"/>
  <c r="BA262" i="17"/>
  <c r="A263" i="17"/>
  <c r="AQ263" i="17"/>
  <c r="AQ264" i="17" s="1"/>
  <c r="A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W291" i="17" s="1"/>
  <c r="W308" i="17" s="1"/>
  <c r="W309" i="17" s="1"/>
  <c r="X264" i="17"/>
  <c r="Y264" i="17"/>
  <c r="Z264" i="17"/>
  <c r="AA264" i="17"/>
  <c r="AB264" i="17"/>
  <c r="AC264" i="17"/>
  <c r="AD264" i="17"/>
  <c r="AE264" i="17"/>
  <c r="AE291" i="17" s="1"/>
  <c r="AE308" i="17" s="1"/>
  <c r="AF264" i="17"/>
  <c r="AG264" i="17"/>
  <c r="AH264" i="17"/>
  <c r="AI264" i="17"/>
  <c r="AJ264" i="17"/>
  <c r="AK264" i="17"/>
  <c r="AL264" i="17"/>
  <c r="AM264" i="17"/>
  <c r="AN264" i="17"/>
  <c r="AO264" i="17"/>
  <c r="AP264" i="17"/>
  <c r="AR264" i="17"/>
  <c r="A265" i="17"/>
  <c r="A266" i="17"/>
  <c r="A267" i="17"/>
  <c r="A268" i="17"/>
  <c r="AS268" i="17"/>
  <c r="AT268" i="17"/>
  <c r="AU268" i="17"/>
  <c r="AV268" i="17"/>
  <c r="AW268" i="17"/>
  <c r="AX268" i="17"/>
  <c r="AY268" i="17"/>
  <c r="AZ268" i="17"/>
  <c r="A269" i="17"/>
  <c r="AS269" i="17"/>
  <c r="AT269" i="17"/>
  <c r="AU269" i="17"/>
  <c r="AV269" i="17"/>
  <c r="AW269" i="17"/>
  <c r="AX269" i="17"/>
  <c r="AY269" i="17"/>
  <c r="AZ269" i="17"/>
  <c r="A270" i="17"/>
  <c r="AS270" i="17"/>
  <c r="AT270" i="17"/>
  <c r="AU270" i="17"/>
  <c r="AV270" i="17"/>
  <c r="AW270" i="17"/>
  <c r="AX270" i="17"/>
  <c r="AY270" i="17"/>
  <c r="AZ270" i="17"/>
  <c r="A271" i="17"/>
  <c r="AS271" i="17"/>
  <c r="AT271" i="17"/>
  <c r="AU271" i="17"/>
  <c r="AV271" i="17"/>
  <c r="BA271" i="17" s="1"/>
  <c r="AW271" i="17"/>
  <c r="AX271" i="17"/>
  <c r="AY271" i="17"/>
  <c r="AZ271" i="17"/>
  <c r="A272" i="17"/>
  <c r="AS272" i="17"/>
  <c r="AT272" i="17"/>
  <c r="AU272" i="17"/>
  <c r="AV272" i="17"/>
  <c r="AW272" i="17"/>
  <c r="AX272" i="17"/>
  <c r="AY272" i="17"/>
  <c r="AZ272" i="17"/>
  <c r="A273" i="17"/>
  <c r="E273" i="17"/>
  <c r="F273" i="17"/>
  <c r="F289" i="17" s="1"/>
  <c r="F291" i="17" s="1"/>
  <c r="F308" i="17" s="1"/>
  <c r="F309" i="17" s="1"/>
  <c r="G273" i="17"/>
  <c r="H273" i="17"/>
  <c r="I273" i="17"/>
  <c r="J273" i="17"/>
  <c r="K273" i="17"/>
  <c r="L273" i="17"/>
  <c r="L289" i="17" s="1"/>
  <c r="L291" i="17" s="1"/>
  <c r="L308" i="17" s="1"/>
  <c r="L309" i="17" s="1"/>
  <c r="M273" i="17"/>
  <c r="M289" i="17" s="1"/>
  <c r="M291" i="17" s="1"/>
  <c r="N273" i="17"/>
  <c r="N289" i="17" s="1"/>
  <c r="O273" i="17"/>
  <c r="P273" i="17"/>
  <c r="Q273" i="17"/>
  <c r="R273" i="17"/>
  <c r="S273" i="17"/>
  <c r="T273" i="17"/>
  <c r="T289" i="17" s="1"/>
  <c r="T291" i="17" s="1"/>
  <c r="T308" i="17" s="1"/>
  <c r="T309" i="17" s="1"/>
  <c r="U273" i="17"/>
  <c r="U289" i="17" s="1"/>
  <c r="U291" i="17" s="1"/>
  <c r="V273" i="17"/>
  <c r="V289" i="17" s="1"/>
  <c r="W273" i="17"/>
  <c r="X273" i="17"/>
  <c r="Y273" i="17"/>
  <c r="Z273" i="17"/>
  <c r="AA273" i="17"/>
  <c r="AB273" i="17"/>
  <c r="AB289" i="17" s="1"/>
  <c r="AB291" i="17" s="1"/>
  <c r="AB308" i="17" s="1"/>
  <c r="AB309" i="17" s="1"/>
  <c r="AC273" i="17"/>
  <c r="AC289" i="17" s="1"/>
  <c r="AC291" i="17" s="1"/>
  <c r="AD273" i="17"/>
  <c r="AD289" i="17" s="1"/>
  <c r="AD291" i="17" s="1"/>
  <c r="AE273" i="17"/>
  <c r="AF273" i="17"/>
  <c r="AF289" i="17" s="1"/>
  <c r="AF291" i="17" s="1"/>
  <c r="AF308" i="17" s="1"/>
  <c r="AF309" i="17" s="1"/>
  <c r="AG273" i="17"/>
  <c r="AH273" i="17"/>
  <c r="AI273" i="17"/>
  <c r="AJ273" i="17"/>
  <c r="AJ289" i="17" s="1"/>
  <c r="AJ291" i="17" s="1"/>
  <c r="AK273" i="17"/>
  <c r="AK289" i="17" s="1"/>
  <c r="AK291" i="17" s="1"/>
  <c r="AK314" i="17" s="1"/>
  <c r="AL273" i="17"/>
  <c r="AL289" i="17" s="1"/>
  <c r="AM273" i="17"/>
  <c r="AN273" i="17"/>
  <c r="AO273" i="17"/>
  <c r="AP273" i="17"/>
  <c r="AQ273" i="17"/>
  <c r="AR273" i="17"/>
  <c r="AR289" i="17" s="1"/>
  <c r="A274" i="17"/>
  <c r="A275" i="17"/>
  <c r="O275" i="17"/>
  <c r="Z275" i="17"/>
  <c r="A276" i="17"/>
  <c r="O276" i="17"/>
  <c r="Z276" i="17"/>
  <c r="A277" i="17"/>
  <c r="O277" i="17"/>
  <c r="Z277" i="17"/>
  <c r="A278" i="17"/>
  <c r="E278" i="17"/>
  <c r="O278" i="17"/>
  <c r="Z278" i="17"/>
  <c r="A279" i="17"/>
  <c r="O279" i="17"/>
  <c r="BA279" i="17" s="1"/>
  <c r="Z279" i="17"/>
  <c r="A280" i="17"/>
  <c r="Z280" i="17"/>
  <c r="BA280" i="17" s="1"/>
  <c r="A281" i="17"/>
  <c r="E281" i="17"/>
  <c r="O281" i="17"/>
  <c r="Z281" i="17"/>
  <c r="Z289" i="17" s="1"/>
  <c r="AO281" i="17"/>
  <c r="A282" i="17"/>
  <c r="AE282" i="17"/>
  <c r="AF282" i="17"/>
  <c r="AG282" i="17"/>
  <c r="AH282" i="17"/>
  <c r="AI282" i="17"/>
  <c r="AJ282" i="17"/>
  <c r="AR282" i="17"/>
  <c r="A283" i="17"/>
  <c r="AE283" i="17"/>
  <c r="AF283" i="17"/>
  <c r="AG283" i="17"/>
  <c r="AH283" i="17"/>
  <c r="AI283" i="17"/>
  <c r="AJ283" i="17"/>
  <c r="AR283" i="17"/>
  <c r="A284" i="17"/>
  <c r="BA284" i="17"/>
  <c r="A285" i="17"/>
  <c r="S285" i="17"/>
  <c r="AC285" i="17"/>
  <c r="AL285" i="17"/>
  <c r="AQ285" i="17"/>
  <c r="AS285" i="17"/>
  <c r="A286" i="17"/>
  <c r="E286" i="17"/>
  <c r="O286" i="17"/>
  <c r="Z286" i="17"/>
  <c r="A287" i="17"/>
  <c r="E287" i="17"/>
  <c r="O287" i="17"/>
  <c r="S287" i="17"/>
  <c r="Z287" i="17"/>
  <c r="AC287" i="17"/>
  <c r="AE287" i="17"/>
  <c r="AF287" i="17"/>
  <c r="AG287" i="17"/>
  <c r="AH287" i="17"/>
  <c r="AI287" i="17"/>
  <c r="AJ287" i="17"/>
  <c r="AL287" i="17"/>
  <c r="AO287" i="17"/>
  <c r="AQ287" i="17"/>
  <c r="AQ289" i="17" s="1"/>
  <c r="AR287" i="17"/>
  <c r="AS287" i="17"/>
  <c r="AS289" i="17" s="1"/>
  <c r="AS291" i="17" s="1"/>
  <c r="AS308" i="17" s="1"/>
  <c r="A288" i="17"/>
  <c r="H288" i="17"/>
  <c r="BA288" i="17" s="1"/>
  <c r="A289" i="17"/>
  <c r="G289" i="17"/>
  <c r="H289" i="17"/>
  <c r="J289" i="17"/>
  <c r="J291" i="17" s="1"/>
  <c r="J308" i="17" s="1"/>
  <c r="J309" i="17" s="1"/>
  <c r="K289" i="17"/>
  <c r="P289" i="17"/>
  <c r="P291" i="17" s="1"/>
  <c r="Q289" i="17"/>
  <c r="Q291" i="17" s="1"/>
  <c r="Q308" i="17" s="1"/>
  <c r="Q309" i="17" s="1"/>
  <c r="R289" i="17"/>
  <c r="W289" i="17"/>
  <c r="X289" i="17"/>
  <c r="X291" i="17" s="1"/>
  <c r="X308" i="17" s="1"/>
  <c r="X309" i="17" s="1"/>
  <c r="Y289" i="17"/>
  <c r="AA289" i="17"/>
  <c r="AE289" i="17"/>
  <c r="AI289" i="17"/>
  <c r="AM289" i="17"/>
  <c r="AN289" i="17"/>
  <c r="AN291" i="17" s="1"/>
  <c r="AO289" i="17"/>
  <c r="AO291" i="17" s="1"/>
  <c r="AO314" i="17" s="1"/>
  <c r="AP289" i="17"/>
  <c r="AP291" i="17" s="1"/>
  <c r="AP308" i="17" s="1"/>
  <c r="AP309" i="17" s="1"/>
  <c r="A290" i="17"/>
  <c r="A291" i="17"/>
  <c r="G291" i="17"/>
  <c r="G308" i="17" s="1"/>
  <c r="G309" i="17" s="1"/>
  <c r="H291" i="17"/>
  <c r="H308" i="17" s="1"/>
  <c r="H309" i="17" s="1"/>
  <c r="N291" i="17"/>
  <c r="N308" i="17" s="1"/>
  <c r="N309" i="17" s="1"/>
  <c r="R291" i="17"/>
  <c r="R308" i="17" s="1"/>
  <c r="R309" i="17" s="1"/>
  <c r="V291" i="17"/>
  <c r="V308" i="17" s="1"/>
  <c r="Y291" i="17"/>
  <c r="Y308" i="17" s="1"/>
  <c r="Y309" i="17" s="1"/>
  <c r="AL291" i="17"/>
  <c r="AM291" i="17"/>
  <c r="AM308" i="17" s="1"/>
  <c r="A292" i="17"/>
  <c r="A293" i="17"/>
  <c r="A294" i="17"/>
  <c r="A295" i="17"/>
  <c r="A296" i="17"/>
  <c r="A297" i="17"/>
  <c r="A298" i="17"/>
  <c r="AD298" i="17"/>
  <c r="AG298" i="17"/>
  <c r="AH298" i="17"/>
  <c r="AI298" i="17"/>
  <c r="AI304" i="17" s="1"/>
  <c r="AI293" i="17" s="1"/>
  <c r="AJ298" i="17"/>
  <c r="AR298" i="17"/>
  <c r="A299" i="17"/>
  <c r="AD299" i="17"/>
  <c r="AE299" i="17"/>
  <c r="AF299" i="17"/>
  <c r="AF304" i="17" s="1"/>
  <c r="AF293" i="17" s="1"/>
  <c r="AG299" i="17"/>
  <c r="AH299" i="17"/>
  <c r="AI299" i="17"/>
  <c r="AJ299" i="17"/>
  <c r="AN299" i="17"/>
  <c r="AR299" i="17"/>
  <c r="A300" i="17"/>
  <c r="AF300" i="17"/>
  <c r="AL300" i="17"/>
  <c r="AQ300" i="17"/>
  <c r="A301" i="17"/>
  <c r="AE301" i="17"/>
  <c r="AG301" i="17"/>
  <c r="AH301" i="17"/>
  <c r="AI301" i="17"/>
  <c r="AJ301" i="17"/>
  <c r="AL301" i="17"/>
  <c r="AL304" i="17" s="1"/>
  <c r="AL293" i="17" s="1"/>
  <c r="AL314" i="17" s="1"/>
  <c r="AN301" i="17"/>
  <c r="AQ301" i="17"/>
  <c r="AR301" i="17"/>
  <c r="A302" i="17"/>
  <c r="BA302" i="17"/>
  <c r="A303" i="17"/>
  <c r="BA303" i="17"/>
  <c r="A304" i="17"/>
  <c r="E304" i="17"/>
  <c r="E293" i="17" s="1"/>
  <c r="F304" i="17"/>
  <c r="F293" i="17" s="1"/>
  <c r="G304" i="17"/>
  <c r="G293" i="17" s="1"/>
  <c r="H304" i="17"/>
  <c r="H293" i="17" s="1"/>
  <c r="I304" i="17"/>
  <c r="I293" i="17" s="1"/>
  <c r="J304" i="17"/>
  <c r="J293" i="17" s="1"/>
  <c r="K304" i="17"/>
  <c r="K293" i="17" s="1"/>
  <c r="L304" i="17"/>
  <c r="L293" i="17" s="1"/>
  <c r="M304" i="17"/>
  <c r="M293" i="17" s="1"/>
  <c r="M314" i="17" s="1"/>
  <c r="N304" i="17"/>
  <c r="N293" i="17" s="1"/>
  <c r="O304" i="17"/>
  <c r="O293" i="17" s="1"/>
  <c r="P304" i="17"/>
  <c r="P293" i="17" s="1"/>
  <c r="Q304" i="17"/>
  <c r="Q293" i="17" s="1"/>
  <c r="R304" i="17"/>
  <c r="R293" i="17" s="1"/>
  <c r="S304" i="17"/>
  <c r="S293" i="17" s="1"/>
  <c r="T304" i="17"/>
  <c r="T293" i="17" s="1"/>
  <c r="U304" i="17"/>
  <c r="U293" i="17" s="1"/>
  <c r="U314" i="17" s="1"/>
  <c r="V304" i="17"/>
  <c r="V293" i="17" s="1"/>
  <c r="W304" i="17"/>
  <c r="W293" i="17" s="1"/>
  <c r="X304" i="17"/>
  <c r="X293" i="17" s="1"/>
  <c r="Y304" i="17"/>
  <c r="Y293" i="17" s="1"/>
  <c r="Z304" i="17"/>
  <c r="Z293" i="17" s="1"/>
  <c r="AA304" i="17"/>
  <c r="AA293" i="17" s="1"/>
  <c r="AB304" i="17"/>
  <c r="AB293" i="17" s="1"/>
  <c r="AC304" i="17"/>
  <c r="AC293" i="17" s="1"/>
  <c r="AC314" i="17" s="1"/>
  <c r="AD304" i="17"/>
  <c r="AD293" i="17" s="1"/>
  <c r="AD314" i="17" s="1"/>
  <c r="AE304" i="17"/>
  <c r="AE293" i="17" s="1"/>
  <c r="AK304" i="17"/>
  <c r="AK293" i="17" s="1"/>
  <c r="AM304" i="17"/>
  <c r="AM293" i="17" s="1"/>
  <c r="AO304" i="17"/>
  <c r="AP304" i="17"/>
  <c r="AP293" i="17" s="1"/>
  <c r="A305" i="17"/>
  <c r="A306" i="17"/>
  <c r="D306" i="17"/>
  <c r="E306" i="17"/>
  <c r="F306" i="17"/>
  <c r="G306" i="17"/>
  <c r="H306" i="17"/>
  <c r="I306" i="17"/>
  <c r="J306" i="17"/>
  <c r="K306" i="17"/>
  <c r="L306" i="17"/>
  <c r="M306" i="17"/>
  <c r="N306" i="17"/>
  <c r="O306" i="17"/>
  <c r="P306" i="17"/>
  <c r="Q306" i="17"/>
  <c r="R306" i="17"/>
  <c r="S306" i="17"/>
  <c r="T306" i="17"/>
  <c r="U306" i="17"/>
  <c r="V306" i="17"/>
  <c r="W306" i="17"/>
  <c r="X306" i="17"/>
  <c r="Y306" i="17"/>
  <c r="Z306" i="17"/>
  <c r="AA306" i="17"/>
  <c r="AB306" i="17"/>
  <c r="AC306" i="17"/>
  <c r="AD306" i="17"/>
  <c r="AE306" i="17"/>
  <c r="AF306" i="17"/>
  <c r="AG306" i="17"/>
  <c r="AH306" i="17"/>
  <c r="AI306" i="17"/>
  <c r="AJ306" i="17"/>
  <c r="AK306" i="17"/>
  <c r="AL306" i="17"/>
  <c r="AM306" i="17"/>
  <c r="AN306" i="17"/>
  <c r="AO306" i="17"/>
  <c r="AP306" i="17"/>
  <c r="AQ306" i="17"/>
  <c r="AR306" i="17"/>
  <c r="AS306" i="17"/>
  <c r="BA306" i="17"/>
  <c r="BB306" i="17"/>
  <c r="A307" i="17"/>
  <c r="D307" i="17"/>
  <c r="E307" i="17"/>
  <c r="F307" i="17"/>
  <c r="G307" i="17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W307" i="17"/>
  <c r="X307" i="17"/>
  <c r="Y307" i="17"/>
  <c r="Z307" i="17"/>
  <c r="AA307" i="17"/>
  <c r="AB307" i="17"/>
  <c r="AC307" i="17"/>
  <c r="AD307" i="17"/>
  <c r="AE307" i="17"/>
  <c r="AF307" i="17"/>
  <c r="AG307" i="17"/>
  <c r="AH307" i="17"/>
  <c r="AI307" i="17"/>
  <c r="AJ307" i="17"/>
  <c r="AK307" i="17"/>
  <c r="AL307" i="17"/>
  <c r="AM307" i="17"/>
  <c r="AN307" i="17"/>
  <c r="AO307" i="17"/>
  <c r="AP307" i="17"/>
  <c r="AQ307" i="17"/>
  <c r="AR307" i="17"/>
  <c r="AS307" i="17"/>
  <c r="BA307" i="17"/>
  <c r="BB307" i="17"/>
  <c r="A308" i="17"/>
  <c r="M308" i="17"/>
  <c r="M309" i="17" s="1"/>
  <c r="P308" i="17"/>
  <c r="P309" i="17" s="1"/>
  <c r="U308" i="17"/>
  <c r="AC308" i="17"/>
  <c r="AC309" i="17" s="1"/>
  <c r="AO308" i="17"/>
  <c r="AO309" i="17" s="1"/>
  <c r="A309" i="17"/>
  <c r="U309" i="17"/>
  <c r="V309" i="17"/>
  <c r="AS309" i="17"/>
  <c r="A310" i="17"/>
  <c r="A311" i="17"/>
  <c r="A312" i="17"/>
  <c r="A313" i="17"/>
  <c r="BA313" i="17"/>
  <c r="BB313" i="17"/>
  <c r="A314" i="17"/>
  <c r="AS314" i="17"/>
  <c r="A315" i="17"/>
  <c r="A316" i="17"/>
  <c r="E321" i="17"/>
  <c r="BA321" i="17" s="1"/>
  <c r="BA322" i="17"/>
  <c r="BB322" i="17"/>
  <c r="D383" i="17" s="1"/>
  <c r="BA323" i="17"/>
  <c r="BB323" i="17"/>
  <c r="BA324" i="17"/>
  <c r="BB324" i="17"/>
  <c r="D325" i="17"/>
  <c r="F325" i="17"/>
  <c r="G325" i="17"/>
  <c r="H325" i="17"/>
  <c r="H352" i="17" s="1"/>
  <c r="I325" i="17"/>
  <c r="J325" i="17"/>
  <c r="J352" i="17" s="1"/>
  <c r="K325" i="17"/>
  <c r="L325" i="17"/>
  <c r="L352" i="17" s="1"/>
  <c r="M325" i="17"/>
  <c r="N325" i="17"/>
  <c r="O325" i="17"/>
  <c r="P325" i="17"/>
  <c r="P352" i="17" s="1"/>
  <c r="P375" i="17" s="1"/>
  <c r="Q325" i="17"/>
  <c r="R325" i="17"/>
  <c r="S325" i="17"/>
  <c r="T325" i="17"/>
  <c r="T352" i="17" s="1"/>
  <c r="U325" i="17"/>
  <c r="V325" i="17"/>
  <c r="W325" i="17"/>
  <c r="X325" i="17"/>
  <c r="Y325" i="17"/>
  <c r="Z325" i="17"/>
  <c r="AA325" i="17"/>
  <c r="AA352" i="17" s="1"/>
  <c r="AB325" i="17"/>
  <c r="AB352" i="17" s="1"/>
  <c r="AC325" i="17"/>
  <c r="AD325" i="17"/>
  <c r="AE325" i="17"/>
  <c r="AF325" i="17"/>
  <c r="AF352" i="17" s="1"/>
  <c r="AF375" i="17" s="1"/>
  <c r="AG325" i="17"/>
  <c r="AH325" i="17"/>
  <c r="AI325" i="17"/>
  <c r="AP325" i="17"/>
  <c r="AP352" i="17" s="1"/>
  <c r="AP369" i="17" s="1"/>
  <c r="AP370" i="17" s="1"/>
  <c r="AQ325" i="17"/>
  <c r="AR325" i="17"/>
  <c r="BA330" i="17"/>
  <c r="BB330" i="17" s="1"/>
  <c r="BA331" i="17"/>
  <c r="BB331" i="17" s="1"/>
  <c r="D392" i="17" s="1"/>
  <c r="BB392" i="17" s="1"/>
  <c r="BA332" i="17"/>
  <c r="BB332" i="17" s="1"/>
  <c r="D393" i="17" s="1"/>
  <c r="BA333" i="17"/>
  <c r="BB333" i="17" s="1"/>
  <c r="D394" i="17" s="1"/>
  <c r="D334" i="17"/>
  <c r="D350" i="17" s="1"/>
  <c r="D352" i="17" s="1"/>
  <c r="D369" i="17" s="1"/>
  <c r="D370" i="17" s="1"/>
  <c r="E334" i="17"/>
  <c r="F334" i="17"/>
  <c r="G334" i="17"/>
  <c r="H334" i="17"/>
  <c r="I334" i="17"/>
  <c r="J334" i="17"/>
  <c r="J350" i="17" s="1"/>
  <c r="K334" i="17"/>
  <c r="K350" i="17" s="1"/>
  <c r="L334" i="17"/>
  <c r="L350" i="17" s="1"/>
  <c r="M334" i="17"/>
  <c r="M350" i="17" s="1"/>
  <c r="N334" i="17"/>
  <c r="O334" i="17"/>
  <c r="P334" i="17"/>
  <c r="Q334" i="17"/>
  <c r="Q350" i="17" s="1"/>
  <c r="R334" i="17"/>
  <c r="R350" i="17" s="1"/>
  <c r="S334" i="17"/>
  <c r="T334" i="17"/>
  <c r="T350" i="17" s="1"/>
  <c r="U334" i="17"/>
  <c r="U350" i="17" s="1"/>
  <c r="V334" i="17"/>
  <c r="V350" i="17" s="1"/>
  <c r="V352" i="17" s="1"/>
  <c r="V375" i="17" s="1"/>
  <c r="W334" i="17"/>
  <c r="X334" i="17"/>
  <c r="Y334" i="17"/>
  <c r="Y350" i="17" s="1"/>
  <c r="Z334" i="17"/>
  <c r="Z350" i="17" s="1"/>
  <c r="AA334" i="17"/>
  <c r="AB334" i="17"/>
  <c r="AB350" i="17" s="1"/>
  <c r="AC334" i="17"/>
  <c r="AC350" i="17" s="1"/>
  <c r="AC352" i="17" s="1"/>
  <c r="AD334" i="17"/>
  <c r="AE334" i="17"/>
  <c r="AF334" i="17"/>
  <c r="AG334" i="17"/>
  <c r="AG350" i="17" s="1"/>
  <c r="AH334" i="17"/>
  <c r="AH350" i="17" s="1"/>
  <c r="AI334" i="17"/>
  <c r="AP334" i="17"/>
  <c r="AP350" i="17" s="1"/>
  <c r="AQ334" i="17"/>
  <c r="AQ350" i="17" s="1"/>
  <c r="AR334" i="17"/>
  <c r="AR350" i="17" s="1"/>
  <c r="AR352" i="17" s="1"/>
  <c r="AR375" i="17" s="1"/>
  <c r="BA336" i="17"/>
  <c r="BB336" i="17" s="1"/>
  <c r="D397" i="17" s="1"/>
  <c r="BA337" i="17"/>
  <c r="BB337" i="17"/>
  <c r="BA338" i="17"/>
  <c r="BB338" i="17"/>
  <c r="E339" i="17"/>
  <c r="BA339" i="17"/>
  <c r="BB339" i="17" s="1"/>
  <c r="D400" i="17" s="1"/>
  <c r="BA340" i="17"/>
  <c r="BB340" i="17" s="1"/>
  <c r="D401" i="17" s="1"/>
  <c r="BA341" i="17"/>
  <c r="BB341" i="17" s="1"/>
  <c r="D402" i="17" s="1"/>
  <c r="E342" i="17"/>
  <c r="BA342" i="17" s="1"/>
  <c r="BB342" i="17" s="1"/>
  <c r="D403" i="17" s="1"/>
  <c r="BA343" i="17"/>
  <c r="BB343" i="17" s="1"/>
  <c r="D404" i="17" s="1"/>
  <c r="BA344" i="17"/>
  <c r="BB344" i="17"/>
  <c r="BA345" i="17"/>
  <c r="BB345" i="17" s="1"/>
  <c r="D406" i="17" s="1"/>
  <c r="BB406" i="17" s="1"/>
  <c r="BA346" i="17"/>
  <c r="BB346" i="17" s="1"/>
  <c r="D407" i="17" s="1"/>
  <c r="E347" i="17"/>
  <c r="BA347" i="17" s="1"/>
  <c r="BB347" i="17" s="1"/>
  <c r="E348" i="17"/>
  <c r="I348" i="17"/>
  <c r="BA349" i="17"/>
  <c r="BB349" i="17" s="1"/>
  <c r="D410" i="17" s="1"/>
  <c r="F350" i="17"/>
  <c r="G350" i="17"/>
  <c r="G352" i="17" s="1"/>
  <c r="H350" i="17"/>
  <c r="N350" i="17"/>
  <c r="N352" i="17" s="1"/>
  <c r="O350" i="17"/>
  <c r="P350" i="17"/>
  <c r="S350" i="17"/>
  <c r="W350" i="17"/>
  <c r="X350" i="17"/>
  <c r="AA350" i="17"/>
  <c r="AD350" i="17"/>
  <c r="AD352" i="17" s="1"/>
  <c r="AD369" i="17" s="1"/>
  <c r="AD370" i="17" s="1"/>
  <c r="AE350" i="17"/>
  <c r="AE352" i="17" s="1"/>
  <c r="AE369" i="17" s="1"/>
  <c r="AE370" i="17" s="1"/>
  <c r="AF350" i="17"/>
  <c r="AI350" i="17"/>
  <c r="F352" i="17"/>
  <c r="M352" i="17"/>
  <c r="O352" i="17"/>
  <c r="O369" i="17" s="1"/>
  <c r="R352" i="17"/>
  <c r="W352" i="17"/>
  <c r="Z352" i="17"/>
  <c r="AH352" i="17"/>
  <c r="BA359" i="17"/>
  <c r="BA360" i="17"/>
  <c r="BB360" i="17" s="1"/>
  <c r="BA361" i="17"/>
  <c r="BB361" i="17" s="1"/>
  <c r="BA362" i="17"/>
  <c r="BB362" i="17" s="1"/>
  <c r="D423" i="17" s="1"/>
  <c r="BA363" i="17"/>
  <c r="BB363" i="17" s="1"/>
  <c r="D424" i="17" s="1"/>
  <c r="BA364" i="17"/>
  <c r="BB364" i="17" s="1"/>
  <c r="D425" i="17" s="1"/>
  <c r="D365" i="17"/>
  <c r="D354" i="17" s="1"/>
  <c r="E365" i="17"/>
  <c r="F365" i="17"/>
  <c r="G365" i="17"/>
  <c r="H365" i="17"/>
  <c r="I365" i="17"/>
  <c r="J365" i="17"/>
  <c r="K365" i="17"/>
  <c r="L365" i="17"/>
  <c r="M365" i="17"/>
  <c r="N365" i="17"/>
  <c r="O365" i="17"/>
  <c r="P365" i="17"/>
  <c r="Q365" i="17"/>
  <c r="R365" i="17"/>
  <c r="S365" i="17"/>
  <c r="T365" i="17"/>
  <c r="U365" i="17"/>
  <c r="V365" i="17"/>
  <c r="W365" i="17"/>
  <c r="X365" i="17"/>
  <c r="Y365" i="17"/>
  <c r="Z365" i="17"/>
  <c r="AA365" i="17"/>
  <c r="AB365" i="17"/>
  <c r="AC365" i="17"/>
  <c r="AD365" i="17"/>
  <c r="AE365" i="17"/>
  <c r="AF365" i="17"/>
  <c r="AG365" i="17"/>
  <c r="AH365" i="17"/>
  <c r="AI365" i="17"/>
  <c r="AP365" i="17"/>
  <c r="AQ365" i="17"/>
  <c r="AQ354" i="17" s="1"/>
  <c r="AR365" i="17"/>
  <c r="D367" i="17"/>
  <c r="E367" i="17"/>
  <c r="F367" i="17"/>
  <c r="G367" i="17"/>
  <c r="H367" i="17"/>
  <c r="I367" i="17"/>
  <c r="J367" i="17"/>
  <c r="K367" i="17"/>
  <c r="L367" i="17"/>
  <c r="M367" i="17"/>
  <c r="N367" i="17"/>
  <c r="O367" i="17"/>
  <c r="P367" i="17"/>
  <c r="Q367" i="17"/>
  <c r="R367" i="17"/>
  <c r="S367" i="17"/>
  <c r="T367" i="17"/>
  <c r="U367" i="17"/>
  <c r="V367" i="17"/>
  <c r="V369" i="17" s="1"/>
  <c r="V370" i="17" s="1"/>
  <c r="W367" i="17"/>
  <c r="X367" i="17"/>
  <c r="Y367" i="17"/>
  <c r="Z367" i="17"/>
  <c r="AA367" i="17"/>
  <c r="AB367" i="17"/>
  <c r="AC367" i="17"/>
  <c r="AD367" i="17"/>
  <c r="AE367" i="17"/>
  <c r="AF367" i="17"/>
  <c r="AG367" i="17"/>
  <c r="AH367" i="17"/>
  <c r="AI367" i="17"/>
  <c r="AP367" i="17"/>
  <c r="AQ367" i="17"/>
  <c r="AR367" i="17"/>
  <c r="AR369" i="17" s="1"/>
  <c r="AR370" i="17" s="1"/>
  <c r="BA367" i="17"/>
  <c r="BB367" i="17"/>
  <c r="D368" i="17"/>
  <c r="E368" i="17"/>
  <c r="F368" i="17"/>
  <c r="G368" i="17"/>
  <c r="H368" i="17"/>
  <c r="I368" i="17"/>
  <c r="J368" i="17"/>
  <c r="K368" i="17"/>
  <c r="L368" i="17"/>
  <c r="M368" i="17"/>
  <c r="N368" i="17"/>
  <c r="O368" i="17"/>
  <c r="P368" i="17"/>
  <c r="Q368" i="17"/>
  <c r="R368" i="17"/>
  <c r="S368" i="17"/>
  <c r="T368" i="17"/>
  <c r="U368" i="17"/>
  <c r="V368" i="17"/>
  <c r="W368" i="17"/>
  <c r="X368" i="17"/>
  <c r="Y368" i="17"/>
  <c r="Z368" i="17"/>
  <c r="AA368" i="17"/>
  <c r="AB368" i="17"/>
  <c r="AC368" i="17"/>
  <c r="AD368" i="17"/>
  <c r="AE368" i="17"/>
  <c r="AF368" i="17"/>
  <c r="AG368" i="17"/>
  <c r="AH368" i="17"/>
  <c r="AI368" i="17"/>
  <c r="AP368" i="17"/>
  <c r="AQ368" i="17"/>
  <c r="AR368" i="17"/>
  <c r="BA368" i="17"/>
  <c r="BB368" i="17"/>
  <c r="AA369" i="17"/>
  <c r="AA370" i="17" s="1"/>
  <c r="AF369" i="17"/>
  <c r="AF370" i="17" s="1"/>
  <c r="O370" i="17"/>
  <c r="BA374" i="17"/>
  <c r="BB374" i="17"/>
  <c r="O375" i="17"/>
  <c r="Z375" i="17"/>
  <c r="AA375" i="17"/>
  <c r="AD375" i="17"/>
  <c r="AE375" i="17"/>
  <c r="AP375" i="17"/>
  <c r="AS375" i="17"/>
  <c r="AT375" i="17"/>
  <c r="AU375" i="17"/>
  <c r="AV375" i="17"/>
  <c r="AW375" i="17"/>
  <c r="AX375" i="17"/>
  <c r="AY375" i="17"/>
  <c r="AZ375" i="17"/>
  <c r="E382" i="17"/>
  <c r="BA382" i="17"/>
  <c r="BA383" i="17"/>
  <c r="D384" i="17"/>
  <c r="BA384" i="17"/>
  <c r="BB384" i="17" s="1"/>
  <c r="D385" i="17"/>
  <c r="BA385" i="17"/>
  <c r="BB385" i="17" s="1"/>
  <c r="E386" i="17"/>
  <c r="F386" i="17"/>
  <c r="G386" i="17"/>
  <c r="H386" i="17"/>
  <c r="I386" i="17"/>
  <c r="J386" i="17"/>
  <c r="K386" i="17"/>
  <c r="L386" i="17"/>
  <c r="L413" i="17" s="1"/>
  <c r="L430" i="17" s="1"/>
  <c r="L431" i="17" s="1"/>
  <c r="M386" i="17"/>
  <c r="N386" i="17"/>
  <c r="O386" i="17"/>
  <c r="P386" i="17"/>
  <c r="Q386" i="17"/>
  <c r="R386" i="17"/>
  <c r="S386" i="17"/>
  <c r="S413" i="17" s="1"/>
  <c r="S436" i="17" s="1"/>
  <c r="T386" i="17"/>
  <c r="T413" i="17" s="1"/>
  <c r="T430" i="17" s="1"/>
  <c r="U386" i="17"/>
  <c r="V386" i="17"/>
  <c r="W386" i="17"/>
  <c r="X386" i="17"/>
  <c r="Y386" i="17"/>
  <c r="Z386" i="17"/>
  <c r="AA386" i="17"/>
  <c r="AB386" i="17"/>
  <c r="AB413" i="17" s="1"/>
  <c r="AB430" i="17" s="1"/>
  <c r="AB431" i="17" s="1"/>
  <c r="AC386" i="17"/>
  <c r="AD386" i="17"/>
  <c r="AE386" i="17"/>
  <c r="AF386" i="17"/>
  <c r="AG386" i="17"/>
  <c r="AH386" i="17"/>
  <c r="AI386" i="17"/>
  <c r="AI413" i="17" s="1"/>
  <c r="AI436" i="17" s="1"/>
  <c r="AP386" i="17"/>
  <c r="AP413" i="17" s="1"/>
  <c r="AP436" i="17" s="1"/>
  <c r="AQ386" i="17"/>
  <c r="AR386" i="17"/>
  <c r="BA391" i="17"/>
  <c r="BA392" i="17"/>
  <c r="BA393" i="17"/>
  <c r="BB393" i="17" s="1"/>
  <c r="BA394" i="17"/>
  <c r="BB394" i="17" s="1"/>
  <c r="E395" i="17"/>
  <c r="E411" i="17" s="1"/>
  <c r="F395" i="17"/>
  <c r="F411" i="17" s="1"/>
  <c r="F413" i="17" s="1"/>
  <c r="F436" i="17" s="1"/>
  <c r="G395" i="17"/>
  <c r="H395" i="17"/>
  <c r="I395" i="17"/>
  <c r="I411" i="17" s="1"/>
  <c r="J395" i="17"/>
  <c r="K395" i="17"/>
  <c r="L395" i="17"/>
  <c r="L411" i="17" s="1"/>
  <c r="M395" i="17"/>
  <c r="M411" i="17" s="1"/>
  <c r="N395" i="17"/>
  <c r="N411" i="17" s="1"/>
  <c r="N413" i="17" s="1"/>
  <c r="N436" i="17" s="1"/>
  <c r="O395" i="17"/>
  <c r="P395" i="17"/>
  <c r="Q395" i="17"/>
  <c r="Q411" i="17" s="1"/>
  <c r="R395" i="17"/>
  <c r="S395" i="17"/>
  <c r="T395" i="17"/>
  <c r="T411" i="17" s="1"/>
  <c r="U395" i="17"/>
  <c r="U411" i="17" s="1"/>
  <c r="U413" i="17" s="1"/>
  <c r="V395" i="17"/>
  <c r="V411" i="17" s="1"/>
  <c r="V413" i="17" s="1"/>
  <c r="V436" i="17" s="1"/>
  <c r="W395" i="17"/>
  <c r="X395" i="17"/>
  <c r="Y395" i="17"/>
  <c r="Y411" i="17" s="1"/>
  <c r="Z395" i="17"/>
  <c r="AA395" i="17"/>
  <c r="AB395" i="17"/>
  <c r="AB411" i="17" s="1"/>
  <c r="AC395" i="17"/>
  <c r="AC411" i="17" s="1"/>
  <c r="AD395" i="17"/>
  <c r="AD411" i="17" s="1"/>
  <c r="AD413" i="17" s="1"/>
  <c r="AE395" i="17"/>
  <c r="AF395" i="17"/>
  <c r="AG395" i="17"/>
  <c r="AG411" i="17" s="1"/>
  <c r="AH395" i="17"/>
  <c r="AI395" i="17"/>
  <c r="AP395" i="17"/>
  <c r="AP411" i="17" s="1"/>
  <c r="AQ395" i="17"/>
  <c r="AQ411" i="17" s="1"/>
  <c r="AR395" i="17"/>
  <c r="AR411" i="17" s="1"/>
  <c r="AR413" i="17" s="1"/>
  <c r="AR430" i="17" s="1"/>
  <c r="AR431" i="17" s="1"/>
  <c r="BA397" i="17"/>
  <c r="D398" i="17"/>
  <c r="BB398" i="17" s="1"/>
  <c r="BA398" i="17"/>
  <c r="D399" i="17"/>
  <c r="BA399" i="17"/>
  <c r="BB399" i="17" s="1"/>
  <c r="E400" i="17"/>
  <c r="BA400" i="17" s="1"/>
  <c r="BA401" i="17"/>
  <c r="BA402" i="17"/>
  <c r="BB402" i="17" s="1"/>
  <c r="E403" i="17"/>
  <c r="BA403" i="17"/>
  <c r="BA404" i="17"/>
  <c r="D405" i="17"/>
  <c r="BB405" i="17" s="1"/>
  <c r="BA405" i="17"/>
  <c r="BA406" i="17"/>
  <c r="BA407" i="17"/>
  <c r="D408" i="17"/>
  <c r="E408" i="17"/>
  <c r="BA408" i="17"/>
  <c r="E409" i="17"/>
  <c r="BA409" i="17" s="1"/>
  <c r="I409" i="17"/>
  <c r="BA410" i="17"/>
  <c r="BB410" i="17" s="1"/>
  <c r="G411" i="17"/>
  <c r="G413" i="17" s="1"/>
  <c r="G436" i="17" s="1"/>
  <c r="H411" i="17"/>
  <c r="J411" i="17"/>
  <c r="J413" i="17" s="1"/>
  <c r="K411" i="17"/>
  <c r="O411" i="17"/>
  <c r="O413" i="17" s="1"/>
  <c r="O430" i="17" s="1"/>
  <c r="O431" i="17" s="1"/>
  <c r="P411" i="17"/>
  <c r="R411" i="17"/>
  <c r="R413" i="17" s="1"/>
  <c r="S411" i="17"/>
  <c r="W411" i="17"/>
  <c r="W413" i="17" s="1"/>
  <c r="X411" i="17"/>
  <c r="Z411" i="17"/>
  <c r="Z413" i="17" s="1"/>
  <c r="AA411" i="17"/>
  <c r="AE411" i="17"/>
  <c r="AE413" i="17" s="1"/>
  <c r="AE430" i="17" s="1"/>
  <c r="AE431" i="17" s="1"/>
  <c r="AF411" i="17"/>
  <c r="AH411" i="17"/>
  <c r="AH413" i="17" s="1"/>
  <c r="AI411" i="17"/>
  <c r="E413" i="17"/>
  <c r="H413" i="17"/>
  <c r="I413" i="17"/>
  <c r="M413" i="17"/>
  <c r="P413" i="17"/>
  <c r="P430" i="17" s="1"/>
  <c r="P431" i="17" s="1"/>
  <c r="Q413" i="17"/>
  <c r="X413" i="17"/>
  <c r="Y413" i="17"/>
  <c r="AC413" i="17"/>
  <c r="AF413" i="17"/>
  <c r="AG413" i="17"/>
  <c r="AQ413" i="17"/>
  <c r="AQ430" i="17" s="1"/>
  <c r="AQ431" i="17" s="1"/>
  <c r="AD420" i="17"/>
  <c r="AD426" i="17" s="1"/>
  <c r="BA420" i="17"/>
  <c r="D421" i="17"/>
  <c r="AD421" i="17"/>
  <c r="BA421" i="17" s="1"/>
  <c r="BB421" i="17" s="1"/>
  <c r="D422" i="17"/>
  <c r="BA422" i="17"/>
  <c r="BB422" i="17" s="1"/>
  <c r="BA423" i="17"/>
  <c r="BB423" i="17" s="1"/>
  <c r="BA424" i="17"/>
  <c r="BB424" i="17" s="1"/>
  <c r="BA425" i="17"/>
  <c r="BB425" i="17" s="1"/>
  <c r="E426" i="17"/>
  <c r="F426" i="17"/>
  <c r="G426" i="17"/>
  <c r="H426" i="17"/>
  <c r="I426" i="17"/>
  <c r="J426" i="17"/>
  <c r="K426" i="17"/>
  <c r="L426" i="17"/>
  <c r="M426" i="17"/>
  <c r="N426" i="17"/>
  <c r="O426" i="17"/>
  <c r="P426" i="17"/>
  <c r="Q426" i="17"/>
  <c r="R426" i="17"/>
  <c r="S426" i="17"/>
  <c r="T426" i="17"/>
  <c r="U426" i="17"/>
  <c r="V426" i="17"/>
  <c r="W426" i="17"/>
  <c r="X426" i="17"/>
  <c r="Y426" i="17"/>
  <c r="Z426" i="17"/>
  <c r="AA426" i="17"/>
  <c r="AB426" i="17"/>
  <c r="AC426" i="17"/>
  <c r="AE426" i="17"/>
  <c r="AF426" i="17"/>
  <c r="AG426" i="17"/>
  <c r="AH426" i="17"/>
  <c r="AI426" i="17"/>
  <c r="AP426" i="17"/>
  <c r="AQ426" i="17"/>
  <c r="AQ415" i="17" s="1"/>
  <c r="AR426" i="17"/>
  <c r="D428" i="17"/>
  <c r="E428" i="17"/>
  <c r="F428" i="17"/>
  <c r="G428" i="17"/>
  <c r="H428" i="17"/>
  <c r="I428" i="17"/>
  <c r="J428" i="17"/>
  <c r="K428" i="17"/>
  <c r="L428" i="17"/>
  <c r="M428" i="17"/>
  <c r="N428" i="17"/>
  <c r="O428" i="17"/>
  <c r="P428" i="17"/>
  <c r="Q428" i="17"/>
  <c r="R428" i="17"/>
  <c r="S428" i="17"/>
  <c r="T428" i="17"/>
  <c r="U428" i="17"/>
  <c r="V428" i="17"/>
  <c r="W428" i="17"/>
  <c r="W430" i="17" s="1"/>
  <c r="W431" i="17" s="1"/>
  <c r="X428" i="17"/>
  <c r="Y428" i="17"/>
  <c r="Z428" i="17"/>
  <c r="AA428" i="17"/>
  <c r="AB428" i="17"/>
  <c r="AC428" i="17"/>
  <c r="AD428" i="17"/>
  <c r="AE428" i="17"/>
  <c r="AF428" i="17"/>
  <c r="AG428" i="17"/>
  <c r="AH428" i="17"/>
  <c r="AI428" i="17"/>
  <c r="AP428" i="17"/>
  <c r="AQ428" i="17"/>
  <c r="AR428" i="17"/>
  <c r="BA428" i="17"/>
  <c r="BB428" i="17"/>
  <c r="D429" i="17"/>
  <c r="E429" i="17"/>
  <c r="F429" i="17"/>
  <c r="G429" i="17"/>
  <c r="H429" i="17"/>
  <c r="I429" i="17"/>
  <c r="J429" i="17"/>
  <c r="K429" i="17"/>
  <c r="L429" i="17"/>
  <c r="M429" i="17"/>
  <c r="N429" i="17"/>
  <c r="O429" i="17"/>
  <c r="P429" i="17"/>
  <c r="Q429" i="17"/>
  <c r="R429" i="17"/>
  <c r="S429" i="17"/>
  <c r="T429" i="17"/>
  <c r="U429" i="17"/>
  <c r="V429" i="17"/>
  <c r="W429" i="17"/>
  <c r="X429" i="17"/>
  <c r="Y429" i="17"/>
  <c r="Z429" i="17"/>
  <c r="AA429" i="17"/>
  <c r="AB429" i="17"/>
  <c r="AC429" i="17"/>
  <c r="AD429" i="17"/>
  <c r="AE429" i="17"/>
  <c r="AF429" i="17"/>
  <c r="AG429" i="17"/>
  <c r="AH429" i="17"/>
  <c r="AI429" i="17"/>
  <c r="AP429" i="17"/>
  <c r="AQ429" i="17"/>
  <c r="AR429" i="17"/>
  <c r="BA429" i="17"/>
  <c r="BB429" i="17"/>
  <c r="G430" i="17"/>
  <c r="G431" i="17" s="1"/>
  <c r="N430" i="17"/>
  <c r="N431" i="17" s="1"/>
  <c r="AD430" i="17"/>
  <c r="AD431" i="17" s="1"/>
  <c r="AI430" i="17"/>
  <c r="AI431" i="17" s="1"/>
  <c r="T431" i="17"/>
  <c r="BA435" i="17"/>
  <c r="BB435" i="17"/>
  <c r="T436" i="17"/>
  <c r="W436" i="17"/>
  <c r="X436" i="17"/>
  <c r="AD436" i="17"/>
  <c r="AR436" i="17"/>
  <c r="C31" i="16"/>
  <c r="C32" i="16"/>
  <c r="C33" i="16"/>
  <c r="C34" i="16"/>
  <c r="C36" i="16"/>
  <c r="C42" i="16"/>
  <c r="D42" i="16"/>
  <c r="E42" i="16"/>
  <c r="C4" i="15"/>
  <c r="I4" i="15"/>
  <c r="M4" i="15" s="1"/>
  <c r="I5" i="15"/>
  <c r="J5" i="15"/>
  <c r="M5" i="15" s="1"/>
  <c r="K5" i="15"/>
  <c r="L5" i="15"/>
  <c r="N5" i="15"/>
  <c r="D6" i="15"/>
  <c r="E6" i="15"/>
  <c r="F6" i="15"/>
  <c r="H6" i="15"/>
  <c r="I6" i="15"/>
  <c r="J6" i="15"/>
  <c r="K6" i="15"/>
  <c r="L6" i="15"/>
  <c r="E7" i="15"/>
  <c r="H7" i="15"/>
  <c r="I7" i="15"/>
  <c r="M7" i="15" s="1"/>
  <c r="J7" i="15"/>
  <c r="K7" i="15"/>
  <c r="L7" i="15"/>
  <c r="N7" i="15"/>
  <c r="I8" i="15"/>
  <c r="N8" i="15"/>
  <c r="I9" i="15"/>
  <c r="M9" i="15" s="1"/>
  <c r="J9" i="15"/>
  <c r="K9" i="15"/>
  <c r="L9" i="15"/>
  <c r="N9" i="15"/>
  <c r="D10" i="15"/>
  <c r="E10" i="15"/>
  <c r="F10" i="15"/>
  <c r="H10" i="15"/>
  <c r="I10" i="15"/>
  <c r="J10" i="15"/>
  <c r="K10" i="15"/>
  <c r="L10" i="15"/>
  <c r="N10" i="15"/>
  <c r="D11" i="15"/>
  <c r="E11" i="15"/>
  <c r="F11" i="15"/>
  <c r="H11" i="15"/>
  <c r="I11" i="15"/>
  <c r="M11" i="15" s="1"/>
  <c r="J11" i="15"/>
  <c r="K11" i="15"/>
  <c r="L11" i="15"/>
  <c r="N11" i="15"/>
  <c r="D12" i="15"/>
  <c r="E12" i="15"/>
  <c r="F12" i="15"/>
  <c r="H12" i="15"/>
  <c r="I12" i="15"/>
  <c r="J12" i="15"/>
  <c r="K12" i="15"/>
  <c r="M12" i="15" s="1"/>
  <c r="L12" i="15"/>
  <c r="N12" i="15"/>
  <c r="E13" i="15"/>
  <c r="F13" i="15"/>
  <c r="H13" i="15"/>
  <c r="I13" i="15"/>
  <c r="J13" i="15"/>
  <c r="K13" i="15"/>
  <c r="L13" i="15"/>
  <c r="M13" i="15"/>
  <c r="N13" i="15"/>
  <c r="D14" i="15"/>
  <c r="E14" i="15"/>
  <c r="F14" i="15"/>
  <c r="H14" i="15"/>
  <c r="I14" i="15"/>
  <c r="J14" i="15"/>
  <c r="K14" i="15"/>
  <c r="L14" i="15"/>
  <c r="N14" i="15"/>
  <c r="I15" i="15"/>
  <c r="J15" i="15"/>
  <c r="K15" i="15"/>
  <c r="L15" i="15"/>
  <c r="M15" i="15" s="1"/>
  <c r="N15" i="15"/>
  <c r="D16" i="15"/>
  <c r="E16" i="15"/>
  <c r="F16" i="15"/>
  <c r="H16" i="15"/>
  <c r="I16" i="15"/>
  <c r="J16" i="15"/>
  <c r="L16" i="15"/>
  <c r="N16" i="15"/>
  <c r="D17" i="15"/>
  <c r="E17" i="15"/>
  <c r="F17" i="15"/>
  <c r="H17" i="15"/>
  <c r="I17" i="15"/>
  <c r="J17" i="15"/>
  <c r="K17" i="15"/>
  <c r="N17" i="15"/>
  <c r="E18" i="15"/>
  <c r="F18" i="15"/>
  <c r="H18" i="15"/>
  <c r="I18" i="15"/>
  <c r="J18" i="15"/>
  <c r="K18" i="15"/>
  <c r="L18" i="15"/>
  <c r="N18" i="15"/>
  <c r="D19" i="15"/>
  <c r="E19" i="15"/>
  <c r="F19" i="15"/>
  <c r="I19" i="15"/>
  <c r="M19" i="15" s="1"/>
  <c r="J19" i="15"/>
  <c r="K19" i="15"/>
  <c r="L19" i="15"/>
  <c r="N19" i="15"/>
  <c r="D20" i="15"/>
  <c r="E20" i="15"/>
  <c r="F20" i="15"/>
  <c r="H20" i="15"/>
  <c r="I20" i="15"/>
  <c r="J20" i="15"/>
  <c r="K20" i="15"/>
  <c r="L20" i="15"/>
  <c r="N20" i="15"/>
  <c r="E21" i="15"/>
  <c r="F21" i="15"/>
  <c r="H21" i="15"/>
  <c r="I21" i="15"/>
  <c r="M21" i="15" s="1"/>
  <c r="J21" i="15"/>
  <c r="K21" i="15"/>
  <c r="L21" i="15"/>
  <c r="N21" i="15"/>
  <c r="D22" i="15"/>
  <c r="E22" i="15"/>
  <c r="F22" i="15"/>
  <c r="H22" i="15"/>
  <c r="I22" i="15"/>
  <c r="J22" i="15"/>
  <c r="K22" i="15"/>
  <c r="M22" i="15" s="1"/>
  <c r="L22" i="15"/>
  <c r="C23" i="15"/>
  <c r="G23" i="15" s="1"/>
  <c r="D23" i="15"/>
  <c r="E23" i="15"/>
  <c r="F23" i="15"/>
  <c r="H23" i="15"/>
  <c r="J23" i="15"/>
  <c r="K23" i="15"/>
  <c r="L23" i="15"/>
  <c r="N23" i="15"/>
  <c r="D24" i="15"/>
  <c r="E24" i="15"/>
  <c r="F24" i="15"/>
  <c r="H24" i="15"/>
  <c r="J24" i="15"/>
  <c r="L24" i="15"/>
  <c r="N24" i="15"/>
  <c r="D25" i="15"/>
  <c r="E25" i="15"/>
  <c r="F25" i="15"/>
  <c r="H25" i="15"/>
  <c r="I25" i="15"/>
  <c r="M25" i="15" s="1"/>
  <c r="J25" i="15"/>
  <c r="K25" i="15"/>
  <c r="L25" i="15"/>
  <c r="N25" i="15"/>
  <c r="D26" i="15"/>
  <c r="E26" i="15"/>
  <c r="I26" i="15"/>
  <c r="J26" i="15"/>
  <c r="K26" i="15"/>
  <c r="L26" i="15"/>
  <c r="N26" i="15"/>
  <c r="E27" i="15"/>
  <c r="F27" i="15"/>
  <c r="H27" i="15"/>
  <c r="K27" i="15"/>
  <c r="L27" i="15"/>
  <c r="N27" i="15"/>
  <c r="E28" i="15"/>
  <c r="H28" i="15"/>
  <c r="K28" i="15"/>
  <c r="L28" i="15"/>
  <c r="N28" i="15"/>
  <c r="I29" i="15"/>
  <c r="M29" i="15" s="1"/>
  <c r="J29" i="15"/>
  <c r="K29" i="15"/>
  <c r="L29" i="15"/>
  <c r="N29" i="15"/>
  <c r="C30" i="15"/>
  <c r="D30" i="15"/>
  <c r="E30" i="15"/>
  <c r="F30" i="15"/>
  <c r="H30" i="15"/>
  <c r="I30" i="15"/>
  <c r="C31" i="15"/>
  <c r="I31" i="15"/>
  <c r="C33" i="15"/>
  <c r="I33" i="15"/>
  <c r="C34" i="15"/>
  <c r="I34" i="15"/>
  <c r="C35" i="15"/>
  <c r="I35" i="15"/>
  <c r="C36" i="15"/>
  <c r="I36" i="15"/>
  <c r="D37" i="15"/>
  <c r="E37" i="15"/>
  <c r="F37" i="15"/>
  <c r="H37" i="15"/>
  <c r="I37" i="15"/>
  <c r="M37" i="15" s="1"/>
  <c r="J37" i="15"/>
  <c r="K37" i="15"/>
  <c r="L37" i="15"/>
  <c r="N37" i="15"/>
  <c r="D39" i="15"/>
  <c r="E39" i="15"/>
  <c r="H39" i="15"/>
  <c r="I39" i="15"/>
  <c r="J39" i="15"/>
  <c r="K39" i="15"/>
  <c r="L39" i="15"/>
  <c r="M39" i="15" s="1"/>
  <c r="N39" i="15"/>
  <c r="E40" i="15"/>
  <c r="H40" i="15"/>
  <c r="I40" i="15"/>
  <c r="C41" i="15"/>
  <c r="D41" i="15"/>
  <c r="E41" i="15"/>
  <c r="I41" i="15"/>
  <c r="M41" i="15" s="1"/>
  <c r="J41" i="15"/>
  <c r="K41" i="15"/>
  <c r="L41" i="15"/>
  <c r="N41" i="15"/>
  <c r="C42" i="15"/>
  <c r="D42" i="15"/>
  <c r="E42" i="15"/>
  <c r="I42" i="15"/>
  <c r="J42" i="15"/>
  <c r="K42" i="15"/>
  <c r="L42" i="15"/>
  <c r="N42" i="15"/>
  <c r="E43" i="15"/>
  <c r="H43" i="15"/>
  <c r="K43" i="15"/>
  <c r="L43" i="15"/>
  <c r="N43" i="15"/>
  <c r="I44" i="15"/>
  <c r="BD11" i="14"/>
  <c r="A17" i="14"/>
  <c r="S17" i="14"/>
  <c r="BC17" i="14"/>
  <c r="BU17" i="14"/>
  <c r="CB17" i="14"/>
  <c r="CD17" i="14" s="1"/>
  <c r="CK17" i="14"/>
  <c r="CM17" i="14"/>
  <c r="A18" i="14"/>
  <c r="S18" i="14"/>
  <c r="BC18" i="14"/>
  <c r="BU18" i="14"/>
  <c r="CB18" i="14"/>
  <c r="CD18" i="14"/>
  <c r="CF18" i="14"/>
  <c r="CH18" i="14" s="1"/>
  <c r="CM18" i="14"/>
  <c r="CR18" i="14"/>
  <c r="CU18" i="14"/>
  <c r="CW18" i="14"/>
  <c r="CY18" i="14"/>
  <c r="A19" i="14"/>
  <c r="S19" i="14"/>
  <c r="BC19" i="14"/>
  <c r="BI19" i="14"/>
  <c r="BU19" i="14"/>
  <c r="CB19" i="14"/>
  <c r="CD19" i="14"/>
  <c r="CF19" i="14"/>
  <c r="CH19" i="14"/>
  <c r="CK19" i="14"/>
  <c r="CM19" i="14"/>
  <c r="CR19" i="14"/>
  <c r="CS19" i="14"/>
  <c r="CU19" i="14"/>
  <c r="CW19" i="14"/>
  <c r="CY19" i="14"/>
  <c r="A20" i="14"/>
  <c r="S20" i="14"/>
  <c r="BC20" i="14"/>
  <c r="BI20" i="14"/>
  <c r="BJ20" i="14"/>
  <c r="BL20" i="14" s="1"/>
  <c r="BN20" i="14" s="1"/>
  <c r="BP20" i="14"/>
  <c r="BU20" i="14"/>
  <c r="CB20" i="14"/>
  <c r="CD20" i="14"/>
  <c r="CF20" i="14"/>
  <c r="CH20" i="14" s="1"/>
  <c r="CK20" i="14"/>
  <c r="CM20" i="14"/>
  <c r="CR20" i="14"/>
  <c r="CS20" i="14"/>
  <c r="CU20" i="14"/>
  <c r="CW20" i="14"/>
  <c r="CY20" i="14"/>
  <c r="CY22" i="14" s="1"/>
  <c r="A21" i="14"/>
  <c r="S21" i="14"/>
  <c r="BC21" i="14"/>
  <c r="BI21" i="14"/>
  <c r="BJ21" i="14"/>
  <c r="BL21" i="14" s="1"/>
  <c r="BN21" i="14" s="1"/>
  <c r="BP21" i="14" s="1"/>
  <c r="BU21" i="14"/>
  <c r="CB21" i="14"/>
  <c r="CD21" i="14"/>
  <c r="CF21" i="14"/>
  <c r="CH21" i="14"/>
  <c r="CK21" i="14"/>
  <c r="CM21" i="14"/>
  <c r="CR21" i="14"/>
  <c r="CS21" i="14"/>
  <c r="CU21" i="14"/>
  <c r="CW21" i="14"/>
  <c r="CY21" i="14"/>
  <c r="A22" i="14"/>
  <c r="S22" i="14"/>
  <c r="BC22" i="14"/>
  <c r="BF22" i="14"/>
  <c r="BG22" i="14"/>
  <c r="BH22" i="14"/>
  <c r="BK22" i="14"/>
  <c r="BM22" i="14"/>
  <c r="BO22" i="14"/>
  <c r="BU22" i="14"/>
  <c r="BX22" i="14"/>
  <c r="BX28" i="14" s="1"/>
  <c r="BY22" i="14"/>
  <c r="BZ22" i="14"/>
  <c r="CA22" i="14"/>
  <c r="CB22" i="14"/>
  <c r="CC22" i="14"/>
  <c r="CE22" i="14"/>
  <c r="CG22" i="14"/>
  <c r="CG28" i="14" s="1"/>
  <c r="CI22" i="14"/>
  <c r="CJ22" i="14"/>
  <c r="CK22" i="14"/>
  <c r="CK28" i="14" s="1"/>
  <c r="CL22" i="14"/>
  <c r="CM22" i="14"/>
  <c r="CP22" i="14"/>
  <c r="CQ22" i="14"/>
  <c r="CT22" i="14"/>
  <c r="CU22" i="14"/>
  <c r="CV22" i="14"/>
  <c r="CW22" i="14"/>
  <c r="CX22" i="14"/>
  <c r="CZ22" i="14"/>
  <c r="A23" i="14"/>
  <c r="S23" i="14"/>
  <c r="BC23" i="14"/>
  <c r="BU23" i="14"/>
  <c r="CM23" i="14"/>
  <c r="A24" i="14"/>
  <c r="S24" i="14"/>
  <c r="BC24" i="14"/>
  <c r="BU24" i="14"/>
  <c r="CM24" i="14"/>
  <c r="A25" i="14"/>
  <c r="BC25" i="14"/>
  <c r="BI25" i="14"/>
  <c r="BJ25" i="14"/>
  <c r="BL25" i="14"/>
  <c r="BN25" i="14" s="1"/>
  <c r="BP25" i="14" s="1"/>
  <c r="BU25" i="14"/>
  <c r="CB25" i="14"/>
  <c r="CD25" i="14"/>
  <c r="CF25" i="14"/>
  <c r="CH25" i="14"/>
  <c r="CK25" i="14"/>
  <c r="CM25" i="14"/>
  <c r="CR25" i="14"/>
  <c r="CT25" i="14"/>
  <c r="CT27" i="14" s="1"/>
  <c r="A26" i="14"/>
  <c r="BC26" i="14"/>
  <c r="BI26" i="14"/>
  <c r="BJ26" i="14"/>
  <c r="BL26" i="14"/>
  <c r="BN26" i="14"/>
  <c r="BP26" i="14" s="1"/>
  <c r="BU26" i="14"/>
  <c r="CB26" i="14"/>
  <c r="CD26" i="14"/>
  <c r="CK26" i="14"/>
  <c r="CM26" i="14"/>
  <c r="CR26" i="14"/>
  <c r="CT26" i="14"/>
  <c r="CV26" i="14"/>
  <c r="CX26" i="14" s="1"/>
  <c r="CZ26" i="14" s="1"/>
  <c r="A27" i="14"/>
  <c r="BC27" i="14"/>
  <c r="BI27" i="14"/>
  <c r="BJ27" i="14"/>
  <c r="BL27" i="14"/>
  <c r="BN27" i="14"/>
  <c r="BP27" i="14"/>
  <c r="BU27" i="14"/>
  <c r="BX27" i="14"/>
  <c r="BY27" i="14"/>
  <c r="BY28" i="14" s="1"/>
  <c r="BZ27" i="14"/>
  <c r="CA27" i="14"/>
  <c r="CB27" i="14"/>
  <c r="CB28" i="14" s="1"/>
  <c r="CC27" i="14"/>
  <c r="CC28" i="14" s="1"/>
  <c r="CE27" i="14"/>
  <c r="CG27" i="14"/>
  <c r="CI27" i="14"/>
  <c r="CJ27" i="14"/>
  <c r="CK27" i="14"/>
  <c r="CL27" i="14"/>
  <c r="CL28" i="14" s="1"/>
  <c r="CM27" i="14"/>
  <c r="CP27" i="14"/>
  <c r="CQ27" i="14"/>
  <c r="CR27" i="14"/>
  <c r="CS27" i="14"/>
  <c r="CU27" i="14"/>
  <c r="CU29" i="14" s="1"/>
  <c r="A28" i="14"/>
  <c r="BC28" i="14"/>
  <c r="BI28" i="14"/>
  <c r="BJ28" i="14"/>
  <c r="BL28" i="14"/>
  <c r="BN28" i="14"/>
  <c r="BP28" i="14" s="1"/>
  <c r="BU28" i="14"/>
  <c r="BZ28" i="14"/>
  <c r="CA28" i="14"/>
  <c r="CE28" i="14"/>
  <c r="CI28" i="14"/>
  <c r="CJ28" i="14"/>
  <c r="CM28" i="14"/>
  <c r="A29" i="14"/>
  <c r="BC29" i="14"/>
  <c r="BI29" i="14"/>
  <c r="BJ29" i="14"/>
  <c r="BL29" i="14"/>
  <c r="BN29" i="14"/>
  <c r="BU29" i="14"/>
  <c r="CM29" i="14"/>
  <c r="CP29" i="14"/>
  <c r="CP31" i="14" s="1"/>
  <c r="CR29" i="14"/>
  <c r="CS29" i="14"/>
  <c r="CW29" i="14"/>
  <c r="CY29" i="14"/>
  <c r="A30" i="14"/>
  <c r="BC30" i="14"/>
  <c r="BI30" i="14"/>
  <c r="BI31" i="14" s="1"/>
  <c r="BJ30" i="14"/>
  <c r="BL30" i="14"/>
  <c r="BN30" i="14" s="1"/>
  <c r="BP30" i="14" s="1"/>
  <c r="BU30" i="14"/>
  <c r="CM30" i="14"/>
  <c r="A31" i="14"/>
  <c r="BC31" i="14"/>
  <c r="BF31" i="14"/>
  <c r="BG31" i="14"/>
  <c r="BG33" i="14" s="1"/>
  <c r="BH31" i="14"/>
  <c r="BK31" i="14"/>
  <c r="BM31" i="14"/>
  <c r="BO31" i="14"/>
  <c r="BO33" i="14" s="1"/>
  <c r="BU31" i="14"/>
  <c r="CM31" i="14"/>
  <c r="CS31" i="14"/>
  <c r="CW31" i="14"/>
  <c r="CY31" i="14"/>
  <c r="A32" i="14"/>
  <c r="BC32" i="14"/>
  <c r="BU32" i="14"/>
  <c r="BZ32" i="14"/>
  <c r="CB32" i="14"/>
  <c r="CD32" i="14"/>
  <c r="CF32" i="14"/>
  <c r="A33" i="14"/>
  <c r="BC33" i="14"/>
  <c r="BF33" i="14"/>
  <c r="BH33" i="14"/>
  <c r="BM33" i="14"/>
  <c r="BU33" i="14"/>
  <c r="BZ33" i="14"/>
  <c r="BZ44" i="14" s="1"/>
  <c r="CB33" i="14"/>
  <c r="CD33" i="14" s="1"/>
  <c r="CF33" i="14" s="1"/>
  <c r="CH33" i="14" s="1"/>
  <c r="A34" i="14"/>
  <c r="BC34" i="14"/>
  <c r="BU34" i="14"/>
  <c r="BZ34" i="14"/>
  <c r="CB34" i="14"/>
  <c r="CD34" i="14" s="1"/>
  <c r="CF34" i="14"/>
  <c r="CH34" i="14" s="1"/>
  <c r="A35" i="14"/>
  <c r="BC35" i="14"/>
  <c r="BU35" i="14"/>
  <c r="BZ35" i="14"/>
  <c r="CB35" i="14"/>
  <c r="CD35" i="14" s="1"/>
  <c r="CF35" i="14"/>
  <c r="CH35" i="14" s="1"/>
  <c r="A36" i="14"/>
  <c r="BC36" i="14"/>
  <c r="BI36" i="14"/>
  <c r="BJ36" i="14"/>
  <c r="BU36" i="14"/>
  <c r="BZ36" i="14"/>
  <c r="CB36" i="14"/>
  <c r="CD36" i="14"/>
  <c r="CF36" i="14"/>
  <c r="CH36" i="14" s="1"/>
  <c r="A37" i="14"/>
  <c r="BC37" i="14"/>
  <c r="BU37" i="14"/>
  <c r="BZ37" i="14"/>
  <c r="CB37" i="14"/>
  <c r="CD37" i="14"/>
  <c r="CF37" i="14"/>
  <c r="CH37" i="14" s="1"/>
  <c r="A38" i="14"/>
  <c r="BC38" i="14"/>
  <c r="BI38" i="14"/>
  <c r="BJ38" i="14"/>
  <c r="BL38" i="14"/>
  <c r="BN38" i="14"/>
  <c r="BP38" i="14"/>
  <c r="BU38" i="14"/>
  <c r="BZ38" i="14"/>
  <c r="CB38" i="14"/>
  <c r="CD38" i="14"/>
  <c r="CF38" i="14" s="1"/>
  <c r="CH38" i="14" s="1"/>
  <c r="A39" i="14"/>
  <c r="BC39" i="14"/>
  <c r="BH39" i="14"/>
  <c r="BS39" i="14"/>
  <c r="BT39" i="14"/>
  <c r="BU39" i="14"/>
  <c r="BZ39" i="14"/>
  <c r="CB39" i="14" s="1"/>
  <c r="CD39" i="14" s="1"/>
  <c r="CF39" i="14"/>
  <c r="CH39" i="14" s="1"/>
  <c r="BC40" i="14"/>
  <c r="BE40" i="14"/>
  <c r="BH40" i="14"/>
  <c r="BI40" i="14" s="1"/>
  <c r="BU40" i="14"/>
  <c r="BZ40" i="14"/>
  <c r="CB40" i="14"/>
  <c r="CD40" i="14" s="1"/>
  <c r="CF40" i="14" s="1"/>
  <c r="CH40" i="14"/>
  <c r="BC41" i="14"/>
  <c r="BH41" i="14"/>
  <c r="BI41" i="14"/>
  <c r="BJ41" i="14"/>
  <c r="BL41" i="14"/>
  <c r="BN41" i="14" s="1"/>
  <c r="BP41" i="14" s="1"/>
  <c r="BU41" i="14"/>
  <c r="BZ41" i="14"/>
  <c r="CB41" i="14"/>
  <c r="CD41" i="14"/>
  <c r="CF41" i="14"/>
  <c r="CH41" i="14"/>
  <c r="BC42" i="14"/>
  <c r="BI42" i="14"/>
  <c r="BJ42" i="14"/>
  <c r="BL42" i="14"/>
  <c r="BN42" i="14" s="1"/>
  <c r="BP42" i="14" s="1"/>
  <c r="BU42" i="14"/>
  <c r="BZ42" i="14"/>
  <c r="CB42" i="14" s="1"/>
  <c r="CD42" i="14" s="1"/>
  <c r="CF42" i="14"/>
  <c r="CH42" i="14" s="1"/>
  <c r="BC43" i="14"/>
  <c r="BU43" i="14"/>
  <c r="BZ43" i="14"/>
  <c r="CB43" i="14"/>
  <c r="CD43" i="14"/>
  <c r="CF43" i="14" s="1"/>
  <c r="CH43" i="14" s="1"/>
  <c r="BC44" i="14"/>
  <c r="BF44" i="14"/>
  <c r="BG44" i="14"/>
  <c r="BK44" i="14"/>
  <c r="BK46" i="14" s="1"/>
  <c r="BK49" i="14" s="1"/>
  <c r="BM44" i="14"/>
  <c r="BO44" i="14"/>
  <c r="BU44" i="14"/>
  <c r="BX44" i="14"/>
  <c r="BY44" i="14"/>
  <c r="BY46" i="14" s="1"/>
  <c r="CA44" i="14"/>
  <c r="CB44" i="14"/>
  <c r="CC44" i="14"/>
  <c r="CE44" i="14"/>
  <c r="CE47" i="14" s="1"/>
  <c r="CG44" i="14"/>
  <c r="CG46" i="14" s="1"/>
  <c r="CI44" i="14"/>
  <c r="CJ44" i="14"/>
  <c r="CK44" i="14"/>
  <c r="CL44" i="14"/>
  <c r="CL46" i="14" s="1"/>
  <c r="BC45" i="14"/>
  <c r="BU45" i="14"/>
  <c r="BC46" i="14"/>
  <c r="BU46" i="14"/>
  <c r="BX46" i="14"/>
  <c r="CC46" i="14"/>
  <c r="CE46" i="14"/>
  <c r="CK46" i="14"/>
  <c r="BC47" i="14"/>
  <c r="BM47" i="14"/>
  <c r="BU47" i="14"/>
  <c r="CC47" i="14"/>
  <c r="CK47" i="14"/>
  <c r="CL47" i="14"/>
  <c r="BC48" i="14"/>
  <c r="BK48" i="14"/>
  <c r="BO48" i="14"/>
  <c r="BU48" i="14"/>
  <c r="BC49" i="14"/>
  <c r="BF49" i="14"/>
  <c r="BG49" i="14"/>
  <c r="BU49" i="14"/>
  <c r="BC50" i="14"/>
  <c r="BC51" i="14"/>
  <c r="BC52" i="14"/>
  <c r="BC53" i="14"/>
  <c r="BC54" i="14"/>
  <c r="V1" i="13"/>
  <c r="W1" i="13"/>
  <c r="X1" i="13"/>
  <c r="Y1" i="13"/>
  <c r="Z1" i="13"/>
  <c r="A15" i="13"/>
  <c r="AK15" i="13"/>
  <c r="NO15" i="13"/>
  <c r="RT15" i="13"/>
  <c r="SL15" i="13"/>
  <c r="TE15" i="13"/>
  <c r="TX15" i="13"/>
  <c r="UQ15" i="13"/>
  <c r="VJ15" i="13"/>
  <c r="VY15" i="13"/>
  <c r="WN15" i="13"/>
  <c r="A16" i="13"/>
  <c r="S16" i="13"/>
  <c r="AK16" i="13"/>
  <c r="AO16" i="13"/>
  <c r="AR16" i="13"/>
  <c r="BC16" i="13"/>
  <c r="BH16" i="13"/>
  <c r="BJ16" i="13" s="1"/>
  <c r="BU16" i="13"/>
  <c r="CM16" i="13"/>
  <c r="DE16" i="13"/>
  <c r="DW16" i="13"/>
  <c r="EB16" i="13"/>
  <c r="ED16" i="13"/>
  <c r="EO16" i="13"/>
  <c r="FG16" i="13"/>
  <c r="FL16" i="13"/>
  <c r="FN16" i="13"/>
  <c r="FN18" i="13" s="1"/>
  <c r="FP16" i="13"/>
  <c r="FR16" i="13" s="1"/>
  <c r="FY16" i="13"/>
  <c r="GQ16" i="13"/>
  <c r="HI16" i="13"/>
  <c r="HN16" i="13"/>
  <c r="HP16" i="13"/>
  <c r="HP18" i="13" s="1"/>
  <c r="HR16" i="13"/>
  <c r="IA16" i="13"/>
  <c r="IF16" i="13"/>
  <c r="IH16" i="13" s="1"/>
  <c r="IS16" i="13"/>
  <c r="JK16" i="13"/>
  <c r="JP16" i="13"/>
  <c r="JR16" i="13"/>
  <c r="JT16" i="13" s="1"/>
  <c r="JV16" i="13" s="1"/>
  <c r="JV18" i="13" s="1"/>
  <c r="KC16" i="13"/>
  <c r="KH16" i="13"/>
  <c r="KJ16" i="13"/>
  <c r="KL16" i="13"/>
  <c r="KN16" i="13"/>
  <c r="KP16" i="13" s="1"/>
  <c r="KP17" i="13" s="1"/>
  <c r="KP19" i="13" s="1"/>
  <c r="KU16" i="13"/>
  <c r="LM16" i="13"/>
  <c r="LR16" i="13"/>
  <c r="LT16" i="13" s="1"/>
  <c r="LV16" i="13" s="1"/>
  <c r="LX16" i="13" s="1"/>
  <c r="LZ16" i="13" s="1"/>
  <c r="MD16" i="13"/>
  <c r="ME16" i="13"/>
  <c r="MJ16" i="13"/>
  <c r="ML16" i="13"/>
  <c r="MN16" i="13" s="1"/>
  <c r="MP16" i="13" s="1"/>
  <c r="MR16" i="13" s="1"/>
  <c r="MW16" i="13"/>
  <c r="NO16" i="13"/>
  <c r="OG16" i="13"/>
  <c r="OY16" i="13"/>
  <c r="PQ16" i="13"/>
  <c r="QJ16" i="13"/>
  <c r="RB16" i="13"/>
  <c r="RT16" i="13"/>
  <c r="SA16" i="13"/>
  <c r="SC16" i="13"/>
  <c r="SE16" i="13"/>
  <c r="SG16" i="13"/>
  <c r="SL16" i="13"/>
  <c r="SS16" i="13"/>
  <c r="SU16" i="13"/>
  <c r="SW16" i="13"/>
  <c r="SY16" i="13" s="1"/>
  <c r="TE16" i="13"/>
  <c r="TX16" i="13"/>
  <c r="UQ16" i="13"/>
  <c r="VJ16" i="13"/>
  <c r="VY16" i="13"/>
  <c r="WI16" i="13"/>
  <c r="WI18" i="13" s="1"/>
  <c r="WK16" i="13"/>
  <c r="WN16" i="13"/>
  <c r="WY16" i="13"/>
  <c r="XA16" i="13"/>
  <c r="A17" i="13"/>
  <c r="S17" i="13"/>
  <c r="V17" i="13"/>
  <c r="Z17" i="13"/>
  <c r="AB17" i="13"/>
  <c r="AD17" i="13"/>
  <c r="AF17" i="13"/>
  <c r="AK17" i="13"/>
  <c r="BC17" i="13"/>
  <c r="BH17" i="13"/>
  <c r="BH20" i="13" s="1"/>
  <c r="BJ17" i="13"/>
  <c r="BL17" i="13" s="1"/>
  <c r="BN17" i="13" s="1"/>
  <c r="BP17" i="13" s="1"/>
  <c r="BU17" i="13"/>
  <c r="CM17" i="13"/>
  <c r="CR17" i="13"/>
  <c r="CT17" i="13"/>
  <c r="DE17" i="13"/>
  <c r="DW17" i="13"/>
  <c r="DZ17" i="13"/>
  <c r="EA17" i="13"/>
  <c r="EB17" i="13"/>
  <c r="EC17" i="13"/>
  <c r="EC19" i="13" s="1"/>
  <c r="EC20" i="13" s="1"/>
  <c r="EE17" i="13"/>
  <c r="EG17" i="13"/>
  <c r="EI17" i="13"/>
  <c r="EO17" i="13"/>
  <c r="ES17" i="13"/>
  <c r="EU17" i="13"/>
  <c r="EX17" i="13"/>
  <c r="EZ17" i="13"/>
  <c r="FB17" i="13" s="1"/>
  <c r="FB19" i="13" s="1"/>
  <c r="FG17" i="13"/>
  <c r="FL17" i="13"/>
  <c r="FL18" i="13" s="1"/>
  <c r="FN17" i="13"/>
  <c r="FP17" i="13" s="1"/>
  <c r="FR17" i="13" s="1"/>
  <c r="FT17" i="13" s="1"/>
  <c r="FY17" i="13"/>
  <c r="GD17" i="13"/>
  <c r="GF17" i="13" s="1"/>
  <c r="GH17" i="13" s="1"/>
  <c r="GJ17" i="13"/>
  <c r="GQ17" i="13"/>
  <c r="GV17" i="13"/>
  <c r="GX17" i="13"/>
  <c r="GZ17" i="13" s="1"/>
  <c r="HB17" i="13" s="1"/>
  <c r="HD17" i="13"/>
  <c r="HI17" i="13"/>
  <c r="IA17" i="13"/>
  <c r="IF17" i="13"/>
  <c r="IH17" i="13"/>
  <c r="IJ17" i="13"/>
  <c r="IL17" i="13" s="1"/>
  <c r="IN17" i="13" s="1"/>
  <c r="IS17" i="13"/>
  <c r="IX17" i="13"/>
  <c r="IZ17" i="13" s="1"/>
  <c r="JK17" i="13"/>
  <c r="KC17" i="13"/>
  <c r="KF17" i="13"/>
  <c r="KF19" i="13" s="1"/>
  <c r="KG17" i="13"/>
  <c r="KG19" i="13" s="1"/>
  <c r="KH17" i="13"/>
  <c r="KI17" i="13"/>
  <c r="KJ17" i="13"/>
  <c r="KK17" i="13"/>
  <c r="KL17" i="13"/>
  <c r="KM17" i="13"/>
  <c r="KN17" i="13"/>
  <c r="KN19" i="13" s="1"/>
  <c r="KO17" i="13"/>
  <c r="KO19" i="13" s="1"/>
  <c r="KU17" i="13"/>
  <c r="KZ17" i="13"/>
  <c r="LB17" i="13"/>
  <c r="LD17" i="13" s="1"/>
  <c r="LF17" i="13" s="1"/>
  <c r="LH17" i="13"/>
  <c r="LL17" i="13"/>
  <c r="LM17" i="13"/>
  <c r="LR17" i="13"/>
  <c r="LT17" i="13"/>
  <c r="LV17" i="13"/>
  <c r="LX17" i="13" s="1"/>
  <c r="MD17" i="13"/>
  <c r="ME17" i="13"/>
  <c r="MJ17" i="13"/>
  <c r="ML17" i="13"/>
  <c r="MN17" i="13"/>
  <c r="MP17" i="13"/>
  <c r="MR17" i="13" s="1"/>
  <c r="MW17" i="13"/>
  <c r="ND17" i="13"/>
  <c r="NN17" i="13"/>
  <c r="NO17" i="13"/>
  <c r="OG17" i="13"/>
  <c r="OY17" i="13"/>
  <c r="PQ17" i="13"/>
  <c r="PU17" i="13"/>
  <c r="PW17" i="13"/>
  <c r="PY17" i="13"/>
  <c r="PY18" i="13" s="1"/>
  <c r="QA17" i="13"/>
  <c r="QC17" i="13"/>
  <c r="QJ17" i="13"/>
  <c r="QO17" i="13"/>
  <c r="QQ17" i="13"/>
  <c r="QS17" i="13"/>
  <c r="QU17" i="13" s="1"/>
  <c r="QW17" i="13"/>
  <c r="RB17" i="13"/>
  <c r="RH17" i="13"/>
  <c r="RJ17" i="13"/>
  <c r="RL17" i="13"/>
  <c r="RN17" i="13"/>
  <c r="RT17" i="13"/>
  <c r="SA17" i="13"/>
  <c r="SC17" i="13"/>
  <c r="SE17" i="13"/>
  <c r="SG17" i="13" s="1"/>
  <c r="SL17" i="13"/>
  <c r="SS17" i="13"/>
  <c r="SU17" i="13"/>
  <c r="SW17" i="13"/>
  <c r="SY17" i="13" s="1"/>
  <c r="SY20" i="13" s="1"/>
  <c r="SY22" i="13" s="1"/>
  <c r="TE17" i="13"/>
  <c r="TX17" i="13"/>
  <c r="UQ17" i="13"/>
  <c r="VJ17" i="13"/>
  <c r="VY17" i="13"/>
  <c r="WN17" i="13"/>
  <c r="A18" i="13"/>
  <c r="S18" i="13"/>
  <c r="V18" i="13"/>
  <c r="Z18" i="13"/>
  <c r="AB18" i="13"/>
  <c r="AD18" i="13"/>
  <c r="AF18" i="13"/>
  <c r="AK18" i="13"/>
  <c r="AN18" i="13"/>
  <c r="AN20" i="13" s="1"/>
  <c r="BC18" i="13"/>
  <c r="BH18" i="13"/>
  <c r="BJ18" i="13" s="1"/>
  <c r="BL18" i="13"/>
  <c r="BN18" i="13"/>
  <c r="BP18" i="13" s="1"/>
  <c r="BU18" i="13"/>
  <c r="CM18" i="13"/>
  <c r="DE18" i="13"/>
  <c r="DJ18" i="13"/>
  <c r="DL18" i="13" s="1"/>
  <c r="DL19" i="13" s="1"/>
  <c r="DN18" i="13"/>
  <c r="DP18" i="13"/>
  <c r="DW18" i="13"/>
  <c r="EO18" i="13"/>
  <c r="ES18" i="13"/>
  <c r="EU18" i="13"/>
  <c r="EX18" i="13"/>
  <c r="EZ18" i="13"/>
  <c r="EZ19" i="13" s="1"/>
  <c r="FB18" i="13"/>
  <c r="FG18" i="13"/>
  <c r="FJ18" i="13"/>
  <c r="FK18" i="13"/>
  <c r="FM18" i="13"/>
  <c r="FO18" i="13"/>
  <c r="FQ18" i="13"/>
  <c r="FS18" i="13"/>
  <c r="FY18" i="13"/>
  <c r="GD18" i="13"/>
  <c r="GF18" i="13"/>
  <c r="GH18" i="13" s="1"/>
  <c r="GJ18" i="13" s="1"/>
  <c r="GL18" i="13" s="1"/>
  <c r="GQ18" i="13"/>
  <c r="HI18" i="13"/>
  <c r="HL18" i="13"/>
  <c r="HM18" i="13"/>
  <c r="HN18" i="13"/>
  <c r="HO18" i="13"/>
  <c r="HQ18" i="13"/>
  <c r="HS18" i="13"/>
  <c r="HU18" i="13"/>
  <c r="IA18" i="13"/>
  <c r="ID18" i="13"/>
  <c r="IE18" i="13"/>
  <c r="IF18" i="13"/>
  <c r="IG18" i="13"/>
  <c r="II18" i="13"/>
  <c r="IK18" i="13"/>
  <c r="IM18" i="13"/>
  <c r="IS18" i="13"/>
  <c r="IX18" i="13"/>
  <c r="IZ18" i="13" s="1"/>
  <c r="JB18" i="13"/>
  <c r="JD18" i="13"/>
  <c r="JF18" i="13" s="1"/>
  <c r="JK18" i="13"/>
  <c r="JN18" i="13"/>
  <c r="JO18" i="13"/>
  <c r="JP18" i="13"/>
  <c r="JQ18" i="13"/>
  <c r="JR18" i="13"/>
  <c r="JT18" i="13"/>
  <c r="KC18" i="13"/>
  <c r="KU18" i="13"/>
  <c r="KZ18" i="13"/>
  <c r="LB18" i="13" s="1"/>
  <c r="LB26" i="13" s="1"/>
  <c r="LL18" i="13"/>
  <c r="LM18" i="13"/>
  <c r="LR18" i="13"/>
  <c r="LT18" i="13"/>
  <c r="LV18" i="13" s="1"/>
  <c r="LX18" i="13" s="1"/>
  <c r="LZ18" i="13"/>
  <c r="MD18" i="13"/>
  <c r="ME18" i="13"/>
  <c r="MJ18" i="13"/>
  <c r="ML18" i="13"/>
  <c r="MN18" i="13"/>
  <c r="MP18" i="13" s="1"/>
  <c r="MR18" i="13"/>
  <c r="MW18" i="13"/>
  <c r="MZ18" i="13"/>
  <c r="NA18" i="13"/>
  <c r="NB18" i="13"/>
  <c r="NC18" i="13"/>
  <c r="NE18" i="13"/>
  <c r="NG18" i="13"/>
  <c r="NI18" i="13"/>
  <c r="NK18" i="13"/>
  <c r="NL18" i="13"/>
  <c r="NM18" i="13"/>
  <c r="NN18" i="13"/>
  <c r="NO18" i="13"/>
  <c r="OG18" i="13"/>
  <c r="OK18" i="13"/>
  <c r="OK21" i="13" s="1"/>
  <c r="OK24" i="13" s="1"/>
  <c r="OM18" i="13"/>
  <c r="OM21" i="13" s="1"/>
  <c r="OM24" i="13" s="1"/>
  <c r="OY18" i="13"/>
  <c r="PD18" i="13"/>
  <c r="PF18" i="13" s="1"/>
  <c r="PH18" i="13" s="1"/>
  <c r="PJ18" i="13" s="1"/>
  <c r="PL18" i="13" s="1"/>
  <c r="PQ18" i="13"/>
  <c r="PT18" i="13"/>
  <c r="PU18" i="13"/>
  <c r="PV18" i="13"/>
  <c r="PW18" i="13"/>
  <c r="PX18" i="13"/>
  <c r="PZ18" i="13"/>
  <c r="QA18" i="13"/>
  <c r="QB18" i="13"/>
  <c r="QC18" i="13"/>
  <c r="QD18" i="13"/>
  <c r="QE18" i="13"/>
  <c r="QF18" i="13"/>
  <c r="QG18" i="13"/>
  <c r="QH18" i="13"/>
  <c r="QJ18" i="13"/>
  <c r="QO18" i="13"/>
  <c r="QQ18" i="13" s="1"/>
  <c r="RB18" i="13"/>
  <c r="RH18" i="13"/>
  <c r="RJ18" i="13"/>
  <c r="RL18" i="13"/>
  <c r="RL21" i="13" s="1"/>
  <c r="RN18" i="13"/>
  <c r="RT18" i="13"/>
  <c r="SA18" i="13"/>
  <c r="SC18" i="13"/>
  <c r="SE18" i="13" s="1"/>
  <c r="SG18" i="13" s="1"/>
  <c r="SL18" i="13"/>
  <c r="SS18" i="13"/>
  <c r="SU18" i="13" s="1"/>
  <c r="SW18" i="13" s="1"/>
  <c r="SY18" i="13" s="1"/>
  <c r="TE18" i="13"/>
  <c r="TJ18" i="13"/>
  <c r="TL18" i="13" s="1"/>
  <c r="TN18" i="13"/>
  <c r="TX18" i="13"/>
  <c r="UB18" i="13"/>
  <c r="UQ18" i="13"/>
  <c r="VJ18" i="13"/>
  <c r="VY18" i="13"/>
  <c r="WB18" i="13"/>
  <c r="WC18" i="13"/>
  <c r="WC20" i="13" s="1"/>
  <c r="WD18" i="13"/>
  <c r="WE18" i="13"/>
  <c r="WF18" i="13"/>
  <c r="WG18" i="13"/>
  <c r="WH18" i="13"/>
  <c r="WJ18" i="13"/>
  <c r="WK18" i="13"/>
  <c r="WK20" i="13" s="1"/>
  <c r="WL18" i="13"/>
  <c r="WN18" i="13"/>
  <c r="WQ18" i="13"/>
  <c r="WR18" i="13"/>
  <c r="WS18" i="13"/>
  <c r="WT18" i="13"/>
  <c r="WU18" i="13"/>
  <c r="WV18" i="13"/>
  <c r="WV20" i="13" s="1"/>
  <c r="WW18" i="13"/>
  <c r="WX18" i="13"/>
  <c r="WY18" i="13"/>
  <c r="WZ18" i="13"/>
  <c r="XA18" i="13"/>
  <c r="A19" i="13"/>
  <c r="S19" i="13"/>
  <c r="V19" i="13"/>
  <c r="Z19" i="13"/>
  <c r="AB19" i="13"/>
  <c r="AD19" i="13" s="1"/>
  <c r="AF19" i="13" s="1"/>
  <c r="AK19" i="13"/>
  <c r="BC19" i="13"/>
  <c r="BH19" i="13"/>
  <c r="BJ19" i="13" s="1"/>
  <c r="BL19" i="13" s="1"/>
  <c r="BN19" i="13" s="1"/>
  <c r="BP19" i="13" s="1"/>
  <c r="BU19" i="13"/>
  <c r="CM19" i="13"/>
  <c r="CP19" i="13"/>
  <c r="CQ19" i="13"/>
  <c r="CU19" i="13"/>
  <c r="DE19" i="13"/>
  <c r="DH19" i="13"/>
  <c r="DI19" i="13"/>
  <c r="DJ19" i="13"/>
  <c r="DK19" i="13"/>
  <c r="DM19" i="13"/>
  <c r="DN19" i="13"/>
  <c r="DO19" i="13"/>
  <c r="DQ19" i="13"/>
  <c r="DW19" i="13"/>
  <c r="DZ19" i="13"/>
  <c r="EA19" i="13"/>
  <c r="EB19" i="13"/>
  <c r="EE19" i="13"/>
  <c r="EG19" i="13"/>
  <c r="EI19" i="13"/>
  <c r="EO19" i="13"/>
  <c r="ER19" i="13"/>
  <c r="ES19" i="13"/>
  <c r="ET19" i="13"/>
  <c r="EU19" i="13"/>
  <c r="EV19" i="13"/>
  <c r="EW19" i="13"/>
  <c r="EX19" i="13"/>
  <c r="EY19" i="13"/>
  <c r="FA19" i="13"/>
  <c r="FG19" i="13"/>
  <c r="FY19" i="13"/>
  <c r="GD19" i="13"/>
  <c r="GF19" i="13"/>
  <c r="GH19" i="13" s="1"/>
  <c r="GJ19" i="13" s="1"/>
  <c r="GL19" i="13" s="1"/>
  <c r="GQ19" i="13"/>
  <c r="IA19" i="13"/>
  <c r="IS19" i="13"/>
  <c r="IV19" i="13"/>
  <c r="IW19" i="13"/>
  <c r="IX19" i="13"/>
  <c r="IY19" i="13"/>
  <c r="JA19" i="13"/>
  <c r="JC19" i="13"/>
  <c r="JE19" i="13"/>
  <c r="JK19" i="13"/>
  <c r="KC19" i="13"/>
  <c r="KH19" i="13"/>
  <c r="KI19" i="13"/>
  <c r="KJ19" i="13"/>
  <c r="KK19" i="13"/>
  <c r="KL19" i="13"/>
  <c r="KM19" i="13"/>
  <c r="KU19" i="13"/>
  <c r="KZ19" i="13"/>
  <c r="LB19" i="13"/>
  <c r="LD19" i="13" s="1"/>
  <c r="LF19" i="13" s="1"/>
  <c r="LH19" i="13" s="1"/>
  <c r="LL19" i="13"/>
  <c r="LM19" i="13"/>
  <c r="LR19" i="13"/>
  <c r="LT19" i="13"/>
  <c r="LV19" i="13"/>
  <c r="LX19" i="13" s="1"/>
  <c r="LZ19" i="13" s="1"/>
  <c r="MD19" i="13"/>
  <c r="ME19" i="13"/>
  <c r="MJ19" i="13"/>
  <c r="ML19" i="13" s="1"/>
  <c r="MN19" i="13"/>
  <c r="MP19" i="13"/>
  <c r="MR19" i="13" s="1"/>
  <c r="MW19" i="13"/>
  <c r="NO19" i="13"/>
  <c r="OG19" i="13"/>
  <c r="OK19" i="13"/>
  <c r="OM19" i="13"/>
  <c r="OY19" i="13"/>
  <c r="PD19" i="13"/>
  <c r="PF19" i="13" s="1"/>
  <c r="PH19" i="13"/>
  <c r="PH21" i="13" s="1"/>
  <c r="PJ19" i="13"/>
  <c r="PL19" i="13" s="1"/>
  <c r="PL21" i="13" s="1"/>
  <c r="PQ19" i="13"/>
  <c r="PV19" i="13"/>
  <c r="PX19" i="13"/>
  <c r="QJ19" i="13"/>
  <c r="QM19" i="13"/>
  <c r="QN19" i="13"/>
  <c r="QO19" i="13"/>
  <c r="QP19" i="13"/>
  <c r="QR19" i="13"/>
  <c r="QT19" i="13"/>
  <c r="QV19" i="13"/>
  <c r="QX19" i="13"/>
  <c r="QY19" i="13"/>
  <c r="QZ19" i="13"/>
  <c r="RA19" i="13"/>
  <c r="RB19" i="13"/>
  <c r="RH19" i="13"/>
  <c r="RJ19" i="13"/>
  <c r="RL19" i="13"/>
  <c r="RN19" i="13"/>
  <c r="RT19" i="13"/>
  <c r="SA19" i="13"/>
  <c r="SC19" i="13"/>
  <c r="SE19" i="13" s="1"/>
  <c r="SL19" i="13"/>
  <c r="SS19" i="13"/>
  <c r="SU19" i="13" s="1"/>
  <c r="SW19" i="13" s="1"/>
  <c r="SY19" i="13" s="1"/>
  <c r="TE19" i="13"/>
  <c r="TX19" i="13"/>
  <c r="UA19" i="13"/>
  <c r="UB19" i="13"/>
  <c r="UQ19" i="13"/>
  <c r="VJ19" i="13"/>
  <c r="VY19" i="13"/>
  <c r="WN19" i="13"/>
  <c r="A20" i="13"/>
  <c r="S20" i="13"/>
  <c r="V20" i="13"/>
  <c r="Z20" i="13"/>
  <c r="AB20" i="13" s="1"/>
  <c r="AD20" i="13" s="1"/>
  <c r="AF20" i="13" s="1"/>
  <c r="AK20" i="13"/>
  <c r="AO18" i="13"/>
  <c r="AP18" i="13" s="1"/>
  <c r="AP20" i="13" s="1"/>
  <c r="AQ18" i="13"/>
  <c r="AR18" i="13" s="1"/>
  <c r="AR20" i="13" s="1"/>
  <c r="BC20" i="13"/>
  <c r="BF20" i="13"/>
  <c r="BF22" i="13" s="1"/>
  <c r="BG20" i="13"/>
  <c r="BI20" i="13"/>
  <c r="BK20" i="13"/>
  <c r="BM20" i="13"/>
  <c r="BO20" i="13"/>
  <c r="BU20" i="13"/>
  <c r="BY20" i="13"/>
  <c r="CA20" i="13"/>
  <c r="CC20" i="13"/>
  <c r="CD20" i="13"/>
  <c r="CE20" i="13"/>
  <c r="CF20" i="13" s="1"/>
  <c r="CG20" i="13"/>
  <c r="CH20" i="13"/>
  <c r="CM20" i="13"/>
  <c r="CQ20" i="13"/>
  <c r="CS20" i="13"/>
  <c r="CU20" i="13"/>
  <c r="CW20" i="13"/>
  <c r="CY20" i="13"/>
  <c r="DE20" i="13"/>
  <c r="DW20" i="13"/>
  <c r="DZ20" i="13"/>
  <c r="EA20" i="13"/>
  <c r="EA21" i="13" s="1"/>
  <c r="EE20" i="13"/>
  <c r="EG20" i="13"/>
  <c r="EI20" i="13"/>
  <c r="EI21" i="13" s="1"/>
  <c r="EO20" i="13"/>
  <c r="FG20" i="13"/>
  <c r="FJ20" i="13"/>
  <c r="FK20" i="13"/>
  <c r="FL20" i="13" s="1"/>
  <c r="FY20" i="13"/>
  <c r="GD20" i="13"/>
  <c r="GF20" i="13"/>
  <c r="GH20" i="13" s="1"/>
  <c r="GJ20" i="13" s="1"/>
  <c r="GL20" i="13"/>
  <c r="GQ20" i="13"/>
  <c r="GV20" i="13"/>
  <c r="GX20" i="13"/>
  <c r="GZ20" i="13" s="1"/>
  <c r="HB20" i="13" s="1"/>
  <c r="HD20" i="13" s="1"/>
  <c r="IA20" i="13"/>
  <c r="ID20" i="13"/>
  <c r="IE20" i="13"/>
  <c r="IF20" i="13"/>
  <c r="IG20" i="13"/>
  <c r="II20" i="13"/>
  <c r="IK20" i="13"/>
  <c r="IM20" i="13"/>
  <c r="IS20" i="13"/>
  <c r="JK20" i="13"/>
  <c r="JN20" i="13"/>
  <c r="JO20" i="13"/>
  <c r="JP20" i="13"/>
  <c r="JQ20" i="13"/>
  <c r="JR20" i="13"/>
  <c r="JT20" i="13"/>
  <c r="JV20" i="13"/>
  <c r="KC20" i="13"/>
  <c r="KF20" i="13"/>
  <c r="KG20" i="13"/>
  <c r="KH20" i="13"/>
  <c r="KI20" i="13"/>
  <c r="KJ20" i="13"/>
  <c r="KK20" i="13"/>
  <c r="KL20" i="13"/>
  <c r="KM20" i="13"/>
  <c r="KN20" i="13"/>
  <c r="KO20" i="13"/>
  <c r="KP20" i="13"/>
  <c r="KU20" i="13"/>
  <c r="KZ20" i="13"/>
  <c r="LB20" i="13"/>
  <c r="LD20" i="13" s="1"/>
  <c r="LF20" i="13" s="1"/>
  <c r="LH20" i="13" s="1"/>
  <c r="LL20" i="13"/>
  <c r="LM20" i="13"/>
  <c r="LR20" i="13"/>
  <c r="LT20" i="13"/>
  <c r="LV20" i="13"/>
  <c r="LX20" i="13" s="1"/>
  <c r="LZ20" i="13" s="1"/>
  <c r="MD20" i="13"/>
  <c r="ME20" i="13"/>
  <c r="MH20" i="13"/>
  <c r="MH25" i="13" s="1"/>
  <c r="MH27" i="13" s="1"/>
  <c r="MI20" i="13"/>
  <c r="MJ20" i="13"/>
  <c r="MK20" i="13"/>
  <c r="ML20" i="13"/>
  <c r="MM20" i="13"/>
  <c r="MN20" i="13"/>
  <c r="MO20" i="13"/>
  <c r="MP20" i="13"/>
  <c r="MQ20" i="13"/>
  <c r="MR20" i="13"/>
  <c r="MW20" i="13"/>
  <c r="MZ20" i="13"/>
  <c r="NA20" i="13"/>
  <c r="NB20" i="13"/>
  <c r="NC20" i="13"/>
  <c r="ND20" i="13"/>
  <c r="NF20" i="13" s="1"/>
  <c r="NH20" i="13" s="1"/>
  <c r="NJ20" i="13" s="1"/>
  <c r="NE20" i="13"/>
  <c r="NG20" i="13"/>
  <c r="NI20" i="13"/>
  <c r="NK20" i="13"/>
  <c r="NM20" i="13"/>
  <c r="NO20" i="13"/>
  <c r="OG20" i="13"/>
  <c r="OK20" i="13"/>
  <c r="OM20" i="13"/>
  <c r="OY20" i="13"/>
  <c r="PQ20" i="13"/>
  <c r="PT20" i="13"/>
  <c r="PU20" i="13"/>
  <c r="PV20" i="13"/>
  <c r="PV21" i="13" s="1"/>
  <c r="PW20" i="13"/>
  <c r="PX20" i="13"/>
  <c r="PY20" i="13"/>
  <c r="PZ20" i="13"/>
  <c r="QA20" i="13"/>
  <c r="QB20" i="13"/>
  <c r="QC20" i="13"/>
  <c r="QD20" i="13"/>
  <c r="QD21" i="13" s="1"/>
  <c r="RB20" i="13"/>
  <c r="RH20" i="13"/>
  <c r="RJ20" i="13"/>
  <c r="RL20" i="13"/>
  <c r="RN20" i="13"/>
  <c r="RT20" i="13"/>
  <c r="RY20" i="13"/>
  <c r="RZ20" i="13"/>
  <c r="RZ24" i="13" s="1"/>
  <c r="RZ26" i="13" s="1"/>
  <c r="RZ28" i="13" s="1"/>
  <c r="SA20" i="13"/>
  <c r="SA24" i="13" s="1"/>
  <c r="SA26" i="13" s="1"/>
  <c r="SA28" i="13" s="1"/>
  <c r="SB20" i="13"/>
  <c r="SC20" i="13"/>
  <c r="SD20" i="13"/>
  <c r="SF20" i="13"/>
  <c r="SL20" i="13"/>
  <c r="SR20" i="13"/>
  <c r="SR22" i="13" s="1"/>
  <c r="ST20" i="13"/>
  <c r="SU20" i="13"/>
  <c r="SV20" i="13"/>
  <c r="SW20" i="13"/>
  <c r="SX20" i="13"/>
  <c r="TE20" i="13"/>
  <c r="TX20" i="13"/>
  <c r="UQ20" i="13"/>
  <c r="VJ20" i="13"/>
  <c r="VY20" i="13"/>
  <c r="WD20" i="13"/>
  <c r="WE20" i="13"/>
  <c r="WE21" i="13" s="1"/>
  <c r="WF20" i="13"/>
  <c r="WG20" i="13"/>
  <c r="WH20" i="13"/>
  <c r="WI20" i="13"/>
  <c r="WJ20" i="13"/>
  <c r="WL20" i="13"/>
  <c r="WN20" i="13"/>
  <c r="WQ20" i="13"/>
  <c r="WR20" i="13"/>
  <c r="WS20" i="13"/>
  <c r="WT20" i="13"/>
  <c r="WU20" i="13"/>
  <c r="WW20" i="13"/>
  <c r="WX20" i="13"/>
  <c r="WX21" i="13" s="1"/>
  <c r="WY20" i="13"/>
  <c r="WZ20" i="13"/>
  <c r="XA20" i="13"/>
  <c r="A21" i="13"/>
  <c r="S21" i="13"/>
  <c r="V21" i="13"/>
  <c r="Z21" i="13"/>
  <c r="AB21" i="13"/>
  <c r="AD21" i="13"/>
  <c r="AF21" i="13" s="1"/>
  <c r="AK21" i="13"/>
  <c r="BC21" i="13"/>
  <c r="BU21" i="13"/>
  <c r="CI21" i="13"/>
  <c r="CJ21" i="13"/>
  <c r="CK21" i="13"/>
  <c r="CL21" i="13"/>
  <c r="CM21" i="13"/>
  <c r="DE21" i="13"/>
  <c r="DH21" i="13"/>
  <c r="DI21" i="13"/>
  <c r="DK21" i="13"/>
  <c r="DM21" i="13"/>
  <c r="DO21" i="13"/>
  <c r="DO22" i="13" s="1"/>
  <c r="DQ21" i="13"/>
  <c r="DW21" i="13"/>
  <c r="EC21" i="13"/>
  <c r="EE21" i="13"/>
  <c r="EG21" i="13"/>
  <c r="EO21" i="13"/>
  <c r="ER21" i="13"/>
  <c r="ER23" i="13" s="1"/>
  <c r="ET21" i="13"/>
  <c r="EU21" i="13"/>
  <c r="EV21" i="13"/>
  <c r="EX21" i="13"/>
  <c r="EZ21" i="13" s="1"/>
  <c r="EZ23" i="13" s="1"/>
  <c r="FB21" i="13"/>
  <c r="FB23" i="13" s="1"/>
  <c r="FG21" i="13"/>
  <c r="FJ21" i="13"/>
  <c r="FK21" i="13"/>
  <c r="FL21" i="13"/>
  <c r="FN21" i="13" s="1"/>
  <c r="FP21" i="13" s="1"/>
  <c r="FR21" i="13" s="1"/>
  <c r="FT21" i="13"/>
  <c r="FY21" i="13"/>
  <c r="GD21" i="13"/>
  <c r="GF21" i="13"/>
  <c r="GH21" i="13"/>
  <c r="GJ21" i="13" s="1"/>
  <c r="GL21" i="13" s="1"/>
  <c r="GQ21" i="13"/>
  <c r="IA21" i="13"/>
  <c r="ID21" i="13"/>
  <c r="IE21" i="13"/>
  <c r="IF21" i="13"/>
  <c r="IG21" i="13"/>
  <c r="II21" i="13"/>
  <c r="IK21" i="13"/>
  <c r="IM21" i="13"/>
  <c r="IS21" i="13"/>
  <c r="IV21" i="13"/>
  <c r="IW21" i="13"/>
  <c r="IX21" i="13"/>
  <c r="IY21" i="13"/>
  <c r="IY22" i="13" s="1"/>
  <c r="JA21" i="13"/>
  <c r="JC21" i="13"/>
  <c r="JE21" i="13"/>
  <c r="JK21" i="13"/>
  <c r="KU21" i="13"/>
  <c r="KZ21" i="13"/>
  <c r="LB21" i="13"/>
  <c r="LD21" i="13"/>
  <c r="LF21" i="13" s="1"/>
  <c r="LH21" i="13" s="1"/>
  <c r="LL21" i="13"/>
  <c r="LM21" i="13"/>
  <c r="LR21" i="13"/>
  <c r="MD21" i="13"/>
  <c r="ME21" i="13"/>
  <c r="MJ21" i="13"/>
  <c r="MW21" i="13"/>
  <c r="MZ21" i="13"/>
  <c r="NA21" i="13"/>
  <c r="NB21" i="13"/>
  <c r="NC21" i="13"/>
  <c r="NE21" i="13"/>
  <c r="NG21" i="13"/>
  <c r="NI21" i="13"/>
  <c r="NO21" i="13"/>
  <c r="OG21" i="13"/>
  <c r="OJ21" i="13"/>
  <c r="OL21" i="13"/>
  <c r="ON21" i="13"/>
  <c r="OY21" i="13"/>
  <c r="PB21" i="13"/>
  <c r="PC21" i="13"/>
  <c r="PD21" i="13"/>
  <c r="PE21" i="13"/>
  <c r="PF21" i="13"/>
  <c r="PG21" i="13"/>
  <c r="PI21" i="13"/>
  <c r="PK21" i="13"/>
  <c r="PQ21" i="13"/>
  <c r="PT21" i="13"/>
  <c r="PU21" i="13"/>
  <c r="PW21" i="13"/>
  <c r="PX21" i="13"/>
  <c r="PY21" i="13"/>
  <c r="PZ21" i="13"/>
  <c r="QA21" i="13"/>
  <c r="QB21" i="13"/>
  <c r="QC21" i="13"/>
  <c r="QE21" i="13"/>
  <c r="QF21" i="13"/>
  <c r="QG21" i="13"/>
  <c r="QH21" i="13"/>
  <c r="RB21" i="13"/>
  <c r="RG21" i="13"/>
  <c r="RH21" i="13"/>
  <c r="RI21" i="13"/>
  <c r="RJ21" i="13"/>
  <c r="RJ25" i="13" s="1"/>
  <c r="RJ27" i="13" s="1"/>
  <c r="RK21" i="13"/>
  <c r="RK25" i="13" s="1"/>
  <c r="RK27" i="13" s="1"/>
  <c r="RK29" i="13" s="1"/>
  <c r="RM21" i="13"/>
  <c r="RN21" i="13"/>
  <c r="RO21" i="13"/>
  <c r="RT21" i="13"/>
  <c r="SA21" i="13"/>
  <c r="SC21" i="13"/>
  <c r="SE21" i="13"/>
  <c r="SG21" i="13" s="1"/>
  <c r="SL21" i="13"/>
  <c r="TE21" i="13"/>
  <c r="TH21" i="13"/>
  <c r="TI21" i="13"/>
  <c r="TJ21" i="13"/>
  <c r="TK21" i="13"/>
  <c r="TL21" i="13"/>
  <c r="TM21" i="13"/>
  <c r="TO21" i="13"/>
  <c r="TQ21" i="13"/>
  <c r="TX21" i="13"/>
  <c r="TZ21" i="13"/>
  <c r="UA21" i="13" s="1"/>
  <c r="UQ21" i="13"/>
  <c r="VJ21" i="13"/>
  <c r="VY21" i="13"/>
  <c r="WC21" i="13"/>
  <c r="WD21" i="13"/>
  <c r="WF21" i="13"/>
  <c r="WG21" i="13"/>
  <c r="WH21" i="13"/>
  <c r="WI21" i="13"/>
  <c r="WJ21" i="13"/>
  <c r="WL21" i="13"/>
  <c r="WN21" i="13"/>
  <c r="WQ21" i="13"/>
  <c r="WR21" i="13"/>
  <c r="WS21" i="13"/>
  <c r="WT21" i="13"/>
  <c r="WU21" i="13"/>
  <c r="WW21" i="13"/>
  <c r="WY21" i="13"/>
  <c r="WZ21" i="13"/>
  <c r="XA21" i="13"/>
  <c r="A22" i="13"/>
  <c r="S22" i="13"/>
  <c r="V22" i="13"/>
  <c r="Z22" i="13"/>
  <c r="AB22" i="13"/>
  <c r="AD22" i="13"/>
  <c r="AF22" i="13"/>
  <c r="AK22" i="13"/>
  <c r="AM22" i="13"/>
  <c r="BC22" i="13"/>
  <c r="BG22" i="13"/>
  <c r="BH22" i="13"/>
  <c r="BI22" i="13"/>
  <c r="BK22" i="13"/>
  <c r="BM22" i="13"/>
  <c r="BO22" i="13"/>
  <c r="BU22" i="13"/>
  <c r="DE22" i="13"/>
  <c r="DI22" i="13"/>
  <c r="DK22" i="13"/>
  <c r="DM22" i="13"/>
  <c r="DQ22" i="13"/>
  <c r="EO22" i="13"/>
  <c r="ES22" i="13"/>
  <c r="EU22" i="13"/>
  <c r="EU23" i="13" s="1"/>
  <c r="EX22" i="13"/>
  <c r="EZ22" i="13"/>
  <c r="FB22" i="13"/>
  <c r="FG22" i="13"/>
  <c r="FY22" i="13"/>
  <c r="GD22" i="13"/>
  <c r="GF22" i="13"/>
  <c r="GF26" i="13" s="1"/>
  <c r="GF29" i="13" s="1"/>
  <c r="GQ22" i="13"/>
  <c r="IA22" i="13"/>
  <c r="IS22" i="13"/>
  <c r="IV22" i="13"/>
  <c r="IW22" i="13"/>
  <c r="IX22" i="13"/>
  <c r="JA22" i="13"/>
  <c r="JC22" i="13"/>
  <c r="JE22" i="13"/>
  <c r="JK22" i="13"/>
  <c r="JN22" i="13"/>
  <c r="JR22" i="13"/>
  <c r="JT22" i="13"/>
  <c r="JT23" i="13" s="1"/>
  <c r="JV22" i="13"/>
  <c r="JV23" i="13" s="1"/>
  <c r="KU22" i="13"/>
  <c r="KZ22" i="13"/>
  <c r="LB22" i="13"/>
  <c r="LD22" i="13"/>
  <c r="LF22" i="13" s="1"/>
  <c r="LH22" i="13" s="1"/>
  <c r="LL22" i="13"/>
  <c r="LM22" i="13"/>
  <c r="LP22" i="13"/>
  <c r="LQ22" i="13"/>
  <c r="LS22" i="13"/>
  <c r="LU22" i="13"/>
  <c r="LW22" i="13"/>
  <c r="LY22" i="13"/>
  <c r="MA22" i="13"/>
  <c r="MB22" i="13"/>
  <c r="MC22" i="13"/>
  <c r="MD22" i="13"/>
  <c r="ME22" i="13"/>
  <c r="MJ22" i="13"/>
  <c r="ML22" i="13"/>
  <c r="MN22" i="13"/>
  <c r="MP22" i="13"/>
  <c r="MR22" i="13" s="1"/>
  <c r="MW22" i="13"/>
  <c r="MZ22" i="13"/>
  <c r="NA22" i="13"/>
  <c r="NE22" i="13"/>
  <c r="NG22" i="13"/>
  <c r="NI22" i="13"/>
  <c r="NO22" i="13"/>
  <c r="OG22" i="13"/>
  <c r="OY22" i="13"/>
  <c r="RB22" i="13"/>
  <c r="RH22" i="13"/>
  <c r="RH25" i="13" s="1"/>
  <c r="RH27" i="13" s="1"/>
  <c r="RJ22" i="13"/>
  <c r="RL22" i="13"/>
  <c r="RN22" i="13"/>
  <c r="RT22" i="13"/>
  <c r="SA22" i="13"/>
  <c r="SC22" i="13"/>
  <c r="SE22" i="13" s="1"/>
  <c r="SG22" i="13" s="1"/>
  <c r="SL22" i="13"/>
  <c r="ST22" i="13"/>
  <c r="SU22" i="13"/>
  <c r="SV22" i="13"/>
  <c r="SW22" i="13"/>
  <c r="SX22" i="13"/>
  <c r="SX24" i="13" s="1"/>
  <c r="TE22" i="13"/>
  <c r="TX22" i="13"/>
  <c r="UA22" i="13"/>
  <c r="UB22" i="13"/>
  <c r="UQ22" i="13"/>
  <c r="VB22" i="13"/>
  <c r="VD22" i="13"/>
  <c r="VD24" i="13" s="1"/>
  <c r="VJ22" i="13"/>
  <c r="A23" i="13"/>
  <c r="S23" i="13"/>
  <c r="V23" i="13"/>
  <c r="U50" i="13" s="1"/>
  <c r="Z23" i="13"/>
  <c r="AB23" i="13"/>
  <c r="AD23" i="13" s="1"/>
  <c r="AK23" i="13"/>
  <c r="AO23" i="13"/>
  <c r="AQ23" i="13"/>
  <c r="AR23" i="13"/>
  <c r="BC23" i="13"/>
  <c r="BU23" i="13"/>
  <c r="BX23" i="13"/>
  <c r="CI23" i="13"/>
  <c r="CK23" i="13"/>
  <c r="CL23" i="13"/>
  <c r="CL24" i="13" s="1"/>
  <c r="EO23" i="13"/>
  <c r="ET23" i="13"/>
  <c r="EV23" i="13"/>
  <c r="EW23" i="13"/>
  <c r="EX23" i="13"/>
  <c r="EX25" i="13" s="1"/>
  <c r="EY23" i="13"/>
  <c r="FA23" i="13"/>
  <c r="FG23" i="13"/>
  <c r="FJ23" i="13"/>
  <c r="FK23" i="13"/>
  <c r="FM23" i="13"/>
  <c r="FO23" i="13"/>
  <c r="FQ23" i="13"/>
  <c r="FS23" i="13"/>
  <c r="FY23" i="13"/>
  <c r="GD23" i="13"/>
  <c r="GF23" i="13"/>
  <c r="GH23" i="13" s="1"/>
  <c r="GJ23" i="13" s="1"/>
  <c r="GL23" i="13" s="1"/>
  <c r="GQ23" i="13"/>
  <c r="GV23" i="13"/>
  <c r="GV26" i="13" s="1"/>
  <c r="IA23" i="13"/>
  <c r="JK23" i="13"/>
  <c r="JN23" i="13"/>
  <c r="JR23" i="13"/>
  <c r="KU23" i="13"/>
  <c r="KZ23" i="13"/>
  <c r="KZ26" i="13" s="1"/>
  <c r="KZ29" i="13" s="1"/>
  <c r="LB23" i="13"/>
  <c r="LD23" i="13" s="1"/>
  <c r="LF23" i="13" s="1"/>
  <c r="LH23" i="13" s="1"/>
  <c r="LL23" i="13"/>
  <c r="ME23" i="13"/>
  <c r="MJ23" i="13"/>
  <c r="ML23" i="13" s="1"/>
  <c r="MN23" i="13" s="1"/>
  <c r="MP23" i="13" s="1"/>
  <c r="MR23" i="13" s="1"/>
  <c r="NO23" i="13"/>
  <c r="OG23" i="13"/>
  <c r="OY23" i="13"/>
  <c r="RB23" i="13"/>
  <c r="RH23" i="13"/>
  <c r="RJ23" i="13"/>
  <c r="RL23" i="13"/>
  <c r="RN23" i="13"/>
  <c r="RT23" i="13"/>
  <c r="SA23" i="13"/>
  <c r="SC23" i="13" s="1"/>
  <c r="SE23" i="13" s="1"/>
  <c r="SG23" i="13" s="1"/>
  <c r="SL23" i="13"/>
  <c r="TE23" i="13"/>
  <c r="TH23" i="13"/>
  <c r="TH25" i="13" s="1"/>
  <c r="TI23" i="13"/>
  <c r="TJ23" i="13"/>
  <c r="TM23" i="13"/>
  <c r="TO23" i="13"/>
  <c r="TQ23" i="13"/>
  <c r="TX23" i="13"/>
  <c r="UQ23" i="13"/>
  <c r="UU23" i="13"/>
  <c r="UU24" i="13" s="1"/>
  <c r="UU26" i="13" s="1"/>
  <c r="VJ23" i="13"/>
  <c r="A24" i="13"/>
  <c r="S24" i="13"/>
  <c r="V24" i="13"/>
  <c r="Z24" i="13"/>
  <c r="AB24" i="13" s="1"/>
  <c r="AD24" i="13" s="1"/>
  <c r="AF24" i="13" s="1"/>
  <c r="AK24" i="13"/>
  <c r="BC24" i="13"/>
  <c r="BU24" i="13"/>
  <c r="BX24" i="13"/>
  <c r="CI24" i="13"/>
  <c r="CJ24" i="13"/>
  <c r="CK24" i="13"/>
  <c r="EO24" i="13"/>
  <c r="FY24" i="13"/>
  <c r="GD24" i="13"/>
  <c r="GF24" i="13" s="1"/>
  <c r="GH24" i="13" s="1"/>
  <c r="GJ24" i="13" s="1"/>
  <c r="GL24" i="13" s="1"/>
  <c r="GQ24" i="13"/>
  <c r="IA24" i="13"/>
  <c r="KU24" i="13"/>
  <c r="KZ24" i="13"/>
  <c r="LB24" i="13" s="1"/>
  <c r="LD24" i="13"/>
  <c r="LF24" i="13" s="1"/>
  <c r="LH24" i="13" s="1"/>
  <c r="LL24" i="13"/>
  <c r="ME24" i="13"/>
  <c r="MJ24" i="13"/>
  <c r="ML24" i="13"/>
  <c r="MN24" i="13" s="1"/>
  <c r="MP24" i="13"/>
  <c r="MR24" i="13" s="1"/>
  <c r="NO24" i="13"/>
  <c r="NR24" i="13"/>
  <c r="NS24" i="13"/>
  <c r="NT24" i="13"/>
  <c r="NU24" i="13"/>
  <c r="NV24" i="13"/>
  <c r="NW24" i="13"/>
  <c r="NW26" i="13" s="1"/>
  <c r="NW29" i="13" s="1"/>
  <c r="NW31" i="13" s="1"/>
  <c r="OC24" i="13"/>
  <c r="OD24" i="13"/>
  <c r="OF24" i="13"/>
  <c r="OF26" i="13" s="1"/>
  <c r="OG24" i="13"/>
  <c r="OJ24" i="13"/>
  <c r="OL24" i="13"/>
  <c r="ON24" i="13"/>
  <c r="OY24" i="13"/>
  <c r="PD24" i="13"/>
  <c r="PD27" i="13" s="1"/>
  <c r="PF24" i="13"/>
  <c r="RB24" i="13"/>
  <c r="RH24" i="13"/>
  <c r="RJ24" i="13"/>
  <c r="RL24" i="13"/>
  <c r="RN24" i="13"/>
  <c r="RT24" i="13"/>
  <c r="RY24" i="13"/>
  <c r="SB24" i="13"/>
  <c r="SD24" i="13"/>
  <c r="SD26" i="13" s="1"/>
  <c r="SD28" i="13" s="1"/>
  <c r="SF24" i="13"/>
  <c r="SL24" i="13"/>
  <c r="ST24" i="13"/>
  <c r="SU24" i="13"/>
  <c r="SU26" i="13" s="1"/>
  <c r="SV24" i="13"/>
  <c r="SV26" i="13" s="1"/>
  <c r="SW24" i="13"/>
  <c r="TE24" i="13"/>
  <c r="TX24" i="13"/>
  <c r="UQ24" i="13"/>
  <c r="UT24" i="13"/>
  <c r="UV24" i="13"/>
  <c r="UW24" i="13"/>
  <c r="UX24" i="13"/>
  <c r="UY24" i="13"/>
  <c r="UZ24" i="13"/>
  <c r="VA24" i="13"/>
  <c r="VB24" i="13"/>
  <c r="VC24" i="13"/>
  <c r="VJ24" i="13"/>
  <c r="A25" i="13"/>
  <c r="S25" i="13"/>
  <c r="V25" i="13"/>
  <c r="Z25" i="13"/>
  <c r="AB25" i="13" s="1"/>
  <c r="AD25" i="13" s="1"/>
  <c r="AF25" i="13" s="1"/>
  <c r="AK25" i="13"/>
  <c r="BC25" i="13"/>
  <c r="EO25" i="13"/>
  <c r="ET25" i="13"/>
  <c r="ET27" i="13" s="1"/>
  <c r="EV25" i="13"/>
  <c r="EW25" i="13"/>
  <c r="FA25" i="13"/>
  <c r="FA27" i="13" s="1"/>
  <c r="FB25" i="13"/>
  <c r="FY25" i="13"/>
  <c r="GD25" i="13"/>
  <c r="GF25" i="13" s="1"/>
  <c r="GH25" i="13" s="1"/>
  <c r="GJ25" i="13" s="1"/>
  <c r="GL25" i="13" s="1"/>
  <c r="GQ25" i="13"/>
  <c r="IA25" i="13"/>
  <c r="KU25" i="13"/>
  <c r="KZ25" i="13"/>
  <c r="LB25" i="13"/>
  <c r="LD25" i="13" s="1"/>
  <c r="LF25" i="13" s="1"/>
  <c r="LH25" i="13" s="1"/>
  <c r="LL25" i="13"/>
  <c r="ME25" i="13"/>
  <c r="MI25" i="13"/>
  <c r="MK25" i="13"/>
  <c r="MM25" i="13"/>
  <c r="MO25" i="13"/>
  <c r="MO27" i="13" s="1"/>
  <c r="MO29" i="13" s="1"/>
  <c r="MO31" i="13" s="1"/>
  <c r="MQ25" i="13"/>
  <c r="NO25" i="13"/>
  <c r="OG25" i="13"/>
  <c r="OY25" i="13"/>
  <c r="PD25" i="13"/>
  <c r="PF25" i="13"/>
  <c r="PH25" i="13" s="1"/>
  <c r="PJ25" i="13" s="1"/>
  <c r="PL25" i="13" s="1"/>
  <c r="RB25" i="13"/>
  <c r="RG25" i="13"/>
  <c r="RI25" i="13"/>
  <c r="RI27" i="13" s="1"/>
  <c r="RM25" i="13"/>
  <c r="RO25" i="13"/>
  <c r="RT25" i="13"/>
  <c r="SL25" i="13"/>
  <c r="TE25" i="13"/>
  <c r="TI25" i="13"/>
  <c r="TJ25" i="13"/>
  <c r="TM25" i="13"/>
  <c r="TO25" i="13"/>
  <c r="TQ25" i="13"/>
  <c r="TX25" i="13"/>
  <c r="UQ25" i="13"/>
  <c r="VJ25" i="13"/>
  <c r="A26" i="13"/>
  <c r="S26" i="13"/>
  <c r="V26" i="13"/>
  <c r="Z26" i="13"/>
  <c r="AB26" i="13" s="1"/>
  <c r="AD26" i="13" s="1"/>
  <c r="AF26" i="13"/>
  <c r="AK26" i="13"/>
  <c r="BC26" i="13"/>
  <c r="EO26" i="13"/>
  <c r="FY26" i="13"/>
  <c r="GB26" i="13"/>
  <c r="GC26" i="13"/>
  <c r="GD26" i="13"/>
  <c r="GE26" i="13"/>
  <c r="GG26" i="13"/>
  <c r="GI26" i="13"/>
  <c r="GK26" i="13"/>
  <c r="GQ26" i="13"/>
  <c r="GT26" i="13"/>
  <c r="GT28" i="13" s="1"/>
  <c r="GT30" i="13" s="1"/>
  <c r="GU26" i="13"/>
  <c r="GW26" i="13"/>
  <c r="GY26" i="13" s="1"/>
  <c r="GY28" i="13" s="1"/>
  <c r="KU26" i="13"/>
  <c r="KX26" i="13"/>
  <c r="KY26" i="13"/>
  <c r="LA26" i="13"/>
  <c r="LA29" i="13" s="1"/>
  <c r="LC26" i="13"/>
  <c r="LE26" i="13"/>
  <c r="LG26" i="13"/>
  <c r="LI26" i="13"/>
  <c r="LI29" i="13" s="1"/>
  <c r="LJ26" i="13"/>
  <c r="LJ29" i="13" s="1"/>
  <c r="LJ31" i="13" s="1"/>
  <c r="LJ33" i="13" s="1"/>
  <c r="LK26" i="13"/>
  <c r="ME26" i="13"/>
  <c r="NO26" i="13"/>
  <c r="NR26" i="13"/>
  <c r="NS26" i="13"/>
  <c r="NT26" i="13"/>
  <c r="NT29" i="13" s="1"/>
  <c r="NU26" i="13"/>
  <c r="NV26" i="13"/>
  <c r="OC26" i="13"/>
  <c r="OD26" i="13"/>
  <c r="OE26" i="13"/>
  <c r="OG26" i="13"/>
  <c r="OY26" i="13"/>
  <c r="RB26" i="13"/>
  <c r="RT26" i="13"/>
  <c r="RY26" i="13"/>
  <c r="RY28" i="13" s="1"/>
  <c r="SB26" i="13"/>
  <c r="SF26" i="13"/>
  <c r="SF28" i="13" s="1"/>
  <c r="SL26" i="13"/>
  <c r="ST26" i="13"/>
  <c r="SW26" i="13"/>
  <c r="SX26" i="13"/>
  <c r="TE26" i="13"/>
  <c r="TX26" i="13"/>
  <c r="UQ26" i="13"/>
  <c r="UT26" i="13"/>
  <c r="UV26" i="13"/>
  <c r="UV27" i="13" s="1"/>
  <c r="UW26" i="13"/>
  <c r="UW27" i="13" s="1"/>
  <c r="UX26" i="13"/>
  <c r="UY26" i="13"/>
  <c r="VB26" i="13"/>
  <c r="VC26" i="13"/>
  <c r="VD26" i="13"/>
  <c r="VJ26" i="13"/>
  <c r="A27" i="13"/>
  <c r="S27" i="13"/>
  <c r="V27" i="13"/>
  <c r="Z27" i="13"/>
  <c r="AB27" i="13"/>
  <c r="AD27" i="13" s="1"/>
  <c r="AF27" i="13" s="1"/>
  <c r="AK27" i="13"/>
  <c r="BC27" i="13"/>
  <c r="EO27" i="13"/>
  <c r="EV27" i="13"/>
  <c r="EW27" i="13"/>
  <c r="EX27" i="13"/>
  <c r="FY27" i="13"/>
  <c r="GC27" i="13"/>
  <c r="GE27" i="13"/>
  <c r="GG27" i="13"/>
  <c r="GI27" i="13"/>
  <c r="GK27" i="13"/>
  <c r="GQ27" i="13"/>
  <c r="KU27" i="13"/>
  <c r="ME27" i="13"/>
  <c r="MI27" i="13"/>
  <c r="MK27" i="13"/>
  <c r="MM27" i="13"/>
  <c r="MQ27" i="13"/>
  <c r="NO27" i="13"/>
  <c r="OG27" i="13"/>
  <c r="OY27" i="13"/>
  <c r="PB27" i="13"/>
  <c r="PC27" i="13"/>
  <c r="PE27" i="13"/>
  <c r="PG27" i="13"/>
  <c r="PI27" i="13"/>
  <c r="PK27" i="13"/>
  <c r="RB27" i="13"/>
  <c r="RG27" i="13"/>
  <c r="RM27" i="13"/>
  <c r="RO27" i="13"/>
  <c r="RT27" i="13"/>
  <c r="SL27" i="13"/>
  <c r="TE27" i="13"/>
  <c r="TX27" i="13"/>
  <c r="UB27" i="13"/>
  <c r="UQ27" i="13"/>
  <c r="UT27" i="13"/>
  <c r="UU27" i="13"/>
  <c r="UX27" i="13"/>
  <c r="UY27" i="13"/>
  <c r="VB27" i="13"/>
  <c r="VC27" i="13"/>
  <c r="VJ27" i="13"/>
  <c r="A28" i="13"/>
  <c r="S28" i="13"/>
  <c r="Z28" i="13"/>
  <c r="AB28" i="13" s="1"/>
  <c r="AD28" i="13" s="1"/>
  <c r="AF28" i="13" s="1"/>
  <c r="AK28" i="13"/>
  <c r="FY28" i="13"/>
  <c r="GD28" i="13"/>
  <c r="GF28" i="13"/>
  <c r="GH28" i="13" s="1"/>
  <c r="GJ28" i="13" s="1"/>
  <c r="GL28" i="13" s="1"/>
  <c r="GQ28" i="13"/>
  <c r="HE28" i="13"/>
  <c r="HF28" i="13"/>
  <c r="HG28" i="13"/>
  <c r="HH28" i="13"/>
  <c r="KU28" i="13"/>
  <c r="KZ28" i="13"/>
  <c r="LB28" i="13" s="1"/>
  <c r="LD28" i="13" s="1"/>
  <c r="LF28" i="13" s="1"/>
  <c r="LH28" i="13" s="1"/>
  <c r="LL28" i="13"/>
  <c r="ME28" i="13"/>
  <c r="NO28" i="13"/>
  <c r="OG28" i="13"/>
  <c r="OK28" i="13"/>
  <c r="OM28" i="13"/>
  <c r="OY28" i="13"/>
  <c r="RB28" i="13"/>
  <c r="RT28" i="13"/>
  <c r="SB28" i="13"/>
  <c r="SL28" i="13"/>
  <c r="SS28" i="13"/>
  <c r="SU28" i="13" s="1"/>
  <c r="SW28" i="13" s="1"/>
  <c r="TE28" i="13"/>
  <c r="TX28" i="13"/>
  <c r="VJ28" i="13"/>
  <c r="A29" i="13"/>
  <c r="S29" i="13"/>
  <c r="V29" i="13"/>
  <c r="Z29" i="13"/>
  <c r="AB29" i="13"/>
  <c r="AK29" i="13"/>
  <c r="FY29" i="13"/>
  <c r="GB29" i="13"/>
  <c r="GC29" i="13"/>
  <c r="GD29" i="13"/>
  <c r="GG29" i="13"/>
  <c r="GI29" i="13"/>
  <c r="GK29" i="13"/>
  <c r="GQ29" i="13"/>
  <c r="KU29" i="13"/>
  <c r="KX29" i="13"/>
  <c r="KX31" i="13" s="1"/>
  <c r="KY29" i="13"/>
  <c r="LC29" i="13"/>
  <c r="LE29" i="13"/>
  <c r="LG29" i="13"/>
  <c r="LK29" i="13"/>
  <c r="ME29" i="13"/>
  <c r="MH29" i="13"/>
  <c r="MI29" i="13"/>
  <c r="MK29" i="13"/>
  <c r="MM29" i="13"/>
  <c r="NO29" i="13"/>
  <c r="NR29" i="13"/>
  <c r="NS29" i="13"/>
  <c r="NU29" i="13"/>
  <c r="NV29" i="13"/>
  <c r="OG29" i="13"/>
  <c r="OY29" i="13"/>
  <c r="RB29" i="13"/>
  <c r="RG29" i="13"/>
  <c r="RH29" i="13"/>
  <c r="RI29" i="13"/>
  <c r="RI31" i="13" s="1"/>
  <c r="RM29" i="13"/>
  <c r="RT29" i="13"/>
  <c r="SL29" i="13"/>
  <c r="SS29" i="13"/>
  <c r="SU29" i="13"/>
  <c r="SW29" i="13" s="1"/>
  <c r="SY29" i="13"/>
  <c r="TE29" i="13"/>
  <c r="TX29" i="13"/>
  <c r="UB29" i="13"/>
  <c r="VJ29" i="13"/>
  <c r="A30" i="13"/>
  <c r="S30" i="13"/>
  <c r="AK30" i="13"/>
  <c r="FY30" i="13"/>
  <c r="GC30" i="13"/>
  <c r="GE30" i="13"/>
  <c r="GG30" i="13"/>
  <c r="GI30" i="13"/>
  <c r="GK30" i="13"/>
  <c r="GQ30" i="13"/>
  <c r="KU30" i="13"/>
  <c r="ME30" i="13"/>
  <c r="NO30" i="13"/>
  <c r="NS30" i="13"/>
  <c r="NS31" i="13" s="1"/>
  <c r="NU30" i="13"/>
  <c r="NW30" i="13"/>
  <c r="OG30" i="13"/>
  <c r="OJ30" i="13"/>
  <c r="OJ32" i="13" s="1"/>
  <c r="OK30" i="13"/>
  <c r="OL30" i="13"/>
  <c r="OM30" i="13"/>
  <c r="OM32" i="13" s="1"/>
  <c r="ON30" i="13"/>
  <c r="ON32" i="13" s="1"/>
  <c r="OY30" i="13"/>
  <c r="PD30" i="13"/>
  <c r="PF30" i="13"/>
  <c r="PH30" i="13" s="1"/>
  <c r="PJ30" i="13"/>
  <c r="PL30" i="13" s="1"/>
  <c r="RB30" i="13"/>
  <c r="RT30" i="13"/>
  <c r="RY30" i="13"/>
  <c r="RZ30" i="13"/>
  <c r="SB30" i="13"/>
  <c r="SF30" i="13"/>
  <c r="SL30" i="13"/>
  <c r="SS30" i="13"/>
  <c r="SU30" i="13" s="1"/>
  <c r="SW30" i="13" s="1"/>
  <c r="SY30" i="13" s="1"/>
  <c r="TE30" i="13"/>
  <c r="TX30" i="13"/>
  <c r="VJ30" i="13"/>
  <c r="A31" i="13"/>
  <c r="S31" i="13"/>
  <c r="V31" i="13"/>
  <c r="AK31" i="13"/>
  <c r="FY31" i="13"/>
  <c r="GB31" i="13"/>
  <c r="GC31" i="13"/>
  <c r="GD31" i="13"/>
  <c r="GI31" i="13"/>
  <c r="GK31" i="13"/>
  <c r="GQ31" i="13"/>
  <c r="KU31" i="13"/>
  <c r="KY31" i="13"/>
  <c r="KZ31" i="13"/>
  <c r="LA31" i="13"/>
  <c r="LC31" i="13"/>
  <c r="LC32" i="13" s="1"/>
  <c r="LE31" i="13"/>
  <c r="LG31" i="13"/>
  <c r="LI31" i="13"/>
  <c r="LK31" i="13"/>
  <c r="LK32" i="13" s="1"/>
  <c r="ME31" i="13"/>
  <c r="MI31" i="13"/>
  <c r="MK31" i="13"/>
  <c r="MM31" i="13"/>
  <c r="NO31" i="13"/>
  <c r="NU31" i="13"/>
  <c r="OC31" i="13"/>
  <c r="OD31" i="13"/>
  <c r="OE31" i="13"/>
  <c r="OF31" i="13"/>
  <c r="OG31" i="13"/>
  <c r="OY31" i="13"/>
  <c r="PD31" i="13"/>
  <c r="PF31" i="13" s="1"/>
  <c r="PH31" i="13"/>
  <c r="PJ31" i="13" s="1"/>
  <c r="PL31" i="13"/>
  <c r="RB31" i="13"/>
  <c r="RG31" i="13"/>
  <c r="RK31" i="13"/>
  <c r="RM31" i="13"/>
  <c r="RT31" i="13"/>
  <c r="SL31" i="13"/>
  <c r="SR31" i="13"/>
  <c r="SS31" i="13"/>
  <c r="ST31" i="13"/>
  <c r="SU31" i="13"/>
  <c r="SV31" i="13"/>
  <c r="SX31" i="13"/>
  <c r="TE31" i="13"/>
  <c r="TX31" i="13"/>
  <c r="VJ31" i="13"/>
  <c r="A32" i="13"/>
  <c r="S32" i="13"/>
  <c r="V32" i="13"/>
  <c r="Z32" i="13"/>
  <c r="AB32" i="13"/>
  <c r="AD32" i="13" s="1"/>
  <c r="AF32" i="13"/>
  <c r="FY32" i="13"/>
  <c r="GB32" i="13"/>
  <c r="GC32" i="13"/>
  <c r="GD32" i="13"/>
  <c r="GI32" i="13"/>
  <c r="GK32" i="13"/>
  <c r="GQ32" i="13"/>
  <c r="GT32" i="13"/>
  <c r="HE32" i="13"/>
  <c r="HF32" i="13"/>
  <c r="HG32" i="13"/>
  <c r="HH32" i="13"/>
  <c r="HH36" i="13" s="1"/>
  <c r="KU32" i="13"/>
  <c r="KX32" i="13"/>
  <c r="LJ32" i="13"/>
  <c r="ME32" i="13"/>
  <c r="OG32" i="13"/>
  <c r="OK32" i="13"/>
  <c r="OK34" i="13" s="1"/>
  <c r="OL32" i="13"/>
  <c r="OY32" i="13"/>
  <c r="RB32" i="13"/>
  <c r="RT32" i="13"/>
  <c r="SL32" i="13"/>
  <c r="TE32" i="13"/>
  <c r="TX32" i="13"/>
  <c r="UB32" i="13"/>
  <c r="VJ32" i="13"/>
  <c r="A33" i="13"/>
  <c r="S33" i="13"/>
  <c r="W33" i="13"/>
  <c r="X33" i="13"/>
  <c r="Y33" i="13"/>
  <c r="AA33" i="13"/>
  <c r="AC33" i="13"/>
  <c r="AE33" i="13"/>
  <c r="GQ33" i="13"/>
  <c r="KU33" i="13"/>
  <c r="LC33" i="13"/>
  <c r="LK33" i="13"/>
  <c r="ME33" i="13"/>
  <c r="OG33" i="13"/>
  <c r="OY33" i="13"/>
  <c r="PB33" i="13"/>
  <c r="PB35" i="13" s="1"/>
  <c r="PC33" i="13"/>
  <c r="PD33" i="13"/>
  <c r="PE33" i="13"/>
  <c r="PE35" i="13" s="1"/>
  <c r="PF33" i="13"/>
  <c r="PG33" i="13"/>
  <c r="PI33" i="13"/>
  <c r="PK33" i="13"/>
  <c r="PL33" i="13"/>
  <c r="RB33" i="13"/>
  <c r="RT33" i="13"/>
  <c r="RZ33" i="13"/>
  <c r="SB33" i="13"/>
  <c r="SD33" i="13"/>
  <c r="SD35" i="13" s="1"/>
  <c r="SF33" i="13"/>
  <c r="SF35" i="13" s="1"/>
  <c r="SL33" i="13"/>
  <c r="TE33" i="13"/>
  <c r="TX33" i="13"/>
  <c r="UB33" i="13"/>
  <c r="A34" i="13"/>
  <c r="S34" i="13"/>
  <c r="GQ34" i="13"/>
  <c r="HE34" i="13"/>
  <c r="HG34" i="13"/>
  <c r="HH34" i="13"/>
  <c r="ME34" i="13"/>
  <c r="MH34" i="13"/>
  <c r="MI34" i="13"/>
  <c r="MK34" i="13"/>
  <c r="MM34" i="13"/>
  <c r="OG34" i="13"/>
  <c r="OJ34" i="13"/>
  <c r="OY34" i="13"/>
  <c r="RB34" i="13"/>
  <c r="RI34" i="13"/>
  <c r="RI36" i="13" s="1"/>
  <c r="RT34" i="13"/>
  <c r="SL34" i="13"/>
  <c r="SS34" i="13"/>
  <c r="TE34" i="13"/>
  <c r="TX34" i="13"/>
  <c r="UA34" i="13"/>
  <c r="A35" i="13"/>
  <c r="K37" i="13"/>
  <c r="M37" i="13"/>
  <c r="S35" i="13"/>
  <c r="GQ35" i="13"/>
  <c r="ME35" i="13"/>
  <c r="MI35" i="13"/>
  <c r="MI36" i="13" s="1"/>
  <c r="OG35" i="13"/>
  <c r="ON35" i="13"/>
  <c r="OY35" i="13"/>
  <c r="PC35" i="13"/>
  <c r="PG35" i="13"/>
  <c r="PI35" i="13"/>
  <c r="PK35" i="13"/>
  <c r="PO35" i="13"/>
  <c r="PP35" i="13"/>
  <c r="RB35" i="13"/>
  <c r="RI35" i="13"/>
  <c r="RK35" i="13"/>
  <c r="RM35" i="13" s="1"/>
  <c r="RO35" i="13" s="1"/>
  <c r="RT35" i="13"/>
  <c r="RY35" i="13"/>
  <c r="RZ35" i="13"/>
  <c r="SA35" i="13"/>
  <c r="SB35" i="13"/>
  <c r="SC35" i="13"/>
  <c r="SE35" i="13"/>
  <c r="SG35" i="13"/>
  <c r="SL35" i="13"/>
  <c r="SS35" i="13"/>
  <c r="SU35" i="13"/>
  <c r="SW35" i="13" s="1"/>
  <c r="SY35" i="13" s="1"/>
  <c r="TE35" i="13"/>
  <c r="TX35" i="13"/>
  <c r="A36" i="13"/>
  <c r="S36" i="13"/>
  <c r="U36" i="13"/>
  <c r="AA36" i="13" s="1"/>
  <c r="W36" i="13"/>
  <c r="AC36" i="13"/>
  <c r="GQ36" i="13"/>
  <c r="HE36" i="13"/>
  <c r="HG36" i="13"/>
  <c r="ME36" i="13"/>
  <c r="MK36" i="13"/>
  <c r="MM36" i="13"/>
  <c r="OG36" i="13"/>
  <c r="OY36" i="13"/>
  <c r="RB36" i="13"/>
  <c r="RG36" i="13"/>
  <c r="RH36" i="13"/>
  <c r="RJ36" i="13"/>
  <c r="RL36" i="13"/>
  <c r="RN36" i="13"/>
  <c r="SL36" i="13"/>
  <c r="SS36" i="13"/>
  <c r="SU36" i="13"/>
  <c r="SW36" i="13" s="1"/>
  <c r="SY36" i="13"/>
  <c r="TE36" i="13"/>
  <c r="TX36" i="13"/>
  <c r="A37" i="13"/>
  <c r="D37" i="13"/>
  <c r="F37" i="13"/>
  <c r="G37" i="13"/>
  <c r="H37" i="13"/>
  <c r="I37" i="13"/>
  <c r="J37" i="13"/>
  <c r="L37" i="13"/>
  <c r="L56" i="13" s="1"/>
  <c r="N37" i="13"/>
  <c r="O37" i="13"/>
  <c r="P37" i="13"/>
  <c r="Q37" i="13"/>
  <c r="R37" i="13"/>
  <c r="S37" i="13"/>
  <c r="X37" i="13"/>
  <c r="Y37" i="13"/>
  <c r="Z37" i="13"/>
  <c r="AA37" i="13"/>
  <c r="AC37" i="13"/>
  <c r="AE37" i="13"/>
  <c r="OG37" i="13"/>
  <c r="OY37" i="13"/>
  <c r="SL37" i="13"/>
  <c r="SS37" i="13"/>
  <c r="SU37" i="13" s="1"/>
  <c r="SW37" i="13" s="1"/>
  <c r="SY37" i="13" s="1"/>
  <c r="TE37" i="13"/>
  <c r="TX37" i="13"/>
  <c r="A38" i="13"/>
  <c r="S38" i="13"/>
  <c r="OG38" i="13"/>
  <c r="OY38" i="13"/>
  <c r="PD38" i="13"/>
  <c r="PF38" i="13" s="1"/>
  <c r="PH38" i="13" s="1"/>
  <c r="PJ38" i="13" s="1"/>
  <c r="SL38" i="13"/>
  <c r="SR38" i="13"/>
  <c r="SR40" i="13" s="1"/>
  <c r="ST38" i="13"/>
  <c r="SV38" i="13"/>
  <c r="SV40" i="13" s="1"/>
  <c r="SX38" i="13"/>
  <c r="SX40" i="13" s="1"/>
  <c r="SX42" i="13" s="1"/>
  <c r="TE38" i="13"/>
  <c r="TX38" i="13"/>
  <c r="A39" i="13"/>
  <c r="S39" i="13"/>
  <c r="OG39" i="13"/>
  <c r="OY39" i="13"/>
  <c r="PJ39" i="13"/>
  <c r="PL39" i="13"/>
  <c r="SL39" i="13"/>
  <c r="TE39" i="13"/>
  <c r="TX39" i="13"/>
  <c r="A40" i="13"/>
  <c r="S40" i="13"/>
  <c r="OG40" i="13"/>
  <c r="OY40" i="13"/>
  <c r="SL40" i="13"/>
  <c r="ST40" i="13"/>
  <c r="ST42" i="13" s="1"/>
  <c r="TE40" i="13"/>
  <c r="TX40" i="13"/>
  <c r="A41" i="13"/>
  <c r="S41" i="13"/>
  <c r="OG41" i="13"/>
  <c r="OY41" i="13"/>
  <c r="PB41" i="13"/>
  <c r="SL41" i="13"/>
  <c r="TE41" i="13"/>
  <c r="TX41" i="13"/>
  <c r="A42" i="13"/>
  <c r="S42" i="13"/>
  <c r="W42" i="13"/>
  <c r="OG42" i="13"/>
  <c r="OY42" i="13"/>
  <c r="PB42" i="13"/>
  <c r="PC42" i="13" s="1"/>
  <c r="SL42" i="13"/>
  <c r="SR42" i="13"/>
  <c r="TX42" i="13"/>
  <c r="A43" i="13"/>
  <c r="S43" i="13"/>
  <c r="U43" i="13"/>
  <c r="W43" i="13"/>
  <c r="X43" i="13"/>
  <c r="Z43" i="13" s="1"/>
  <c r="AB43" i="13"/>
  <c r="AD43" i="13" s="1"/>
  <c r="AF43" i="13" s="1"/>
  <c r="OY43" i="13"/>
  <c r="PB43" i="13"/>
  <c r="PC43" i="13" s="1"/>
  <c r="SL43" i="13"/>
  <c r="TX43" i="13"/>
  <c r="A44" i="13"/>
  <c r="S44" i="13"/>
  <c r="W44" i="13"/>
  <c r="X44" i="13" s="1"/>
  <c r="Z44" i="13"/>
  <c r="AB44" i="13" s="1"/>
  <c r="AD44" i="13" s="1"/>
  <c r="AF44" i="13" s="1"/>
  <c r="OY44" i="13"/>
  <c r="PD44" i="13"/>
  <c r="PE44" i="13"/>
  <c r="SL44" i="13"/>
  <c r="SR44" i="13"/>
  <c r="SX44" i="13"/>
  <c r="TX44" i="13"/>
  <c r="A45" i="13"/>
  <c r="S45" i="13"/>
  <c r="U45" i="13"/>
  <c r="W45" i="13"/>
  <c r="X45" i="13"/>
  <c r="Z45" i="13" s="1"/>
  <c r="AB45" i="13"/>
  <c r="AD45" i="13" s="1"/>
  <c r="AF45" i="13" s="1"/>
  <c r="OY45" i="13"/>
  <c r="SL45" i="13"/>
  <c r="A46" i="13"/>
  <c r="E54" i="13"/>
  <c r="S46" i="13"/>
  <c r="OY46" i="13"/>
  <c r="SL46" i="13"/>
  <c r="SS46" i="13"/>
  <c r="SU46" i="13" s="1"/>
  <c r="A47" i="13"/>
  <c r="S47" i="13"/>
  <c r="OY47" i="13"/>
  <c r="PI47" i="13"/>
  <c r="PI48" i="13" s="1"/>
  <c r="PI50" i="13" s="1"/>
  <c r="PK47" i="13"/>
  <c r="SL47" i="13"/>
  <c r="SS47" i="13"/>
  <c r="SU47" i="13"/>
  <c r="SW47" i="13" s="1"/>
  <c r="SY47" i="13" s="1"/>
  <c r="SY101" i="13" s="1"/>
  <c r="A48" i="13"/>
  <c r="G54" i="13"/>
  <c r="G56" i="13" s="1"/>
  <c r="S48" i="13"/>
  <c r="NC48" i="13"/>
  <c r="NE48" i="13"/>
  <c r="NG48" i="13"/>
  <c r="NI48" i="13"/>
  <c r="OY48" i="13"/>
  <c r="PB48" i="13"/>
  <c r="PC48" i="13"/>
  <c r="PD48" i="13"/>
  <c r="PE48" i="13"/>
  <c r="PF48" i="13"/>
  <c r="PF50" i="13" s="1"/>
  <c r="PG48" i="13"/>
  <c r="PH48" i="13"/>
  <c r="PJ48" i="13"/>
  <c r="PK48" i="13"/>
  <c r="PK50" i="13" s="1"/>
  <c r="PL48" i="13"/>
  <c r="SL48" i="13"/>
  <c r="SS48" i="13"/>
  <c r="SU48" i="13"/>
  <c r="SW48" i="13" s="1"/>
  <c r="SY48" i="13" s="1"/>
  <c r="A49" i="13"/>
  <c r="S49" i="13"/>
  <c r="U49" i="13"/>
  <c r="W49" i="13"/>
  <c r="X49" i="13"/>
  <c r="Z49" i="13" s="1"/>
  <c r="AB49" i="13" s="1"/>
  <c r="AD49" i="13" s="1"/>
  <c r="AF49" i="13"/>
  <c r="NC49" i="13"/>
  <c r="NE49" i="13"/>
  <c r="NG49" i="13"/>
  <c r="NI49" i="13"/>
  <c r="OY49" i="13"/>
  <c r="SL49" i="13"/>
  <c r="SR49" i="13"/>
  <c r="ST49" i="13"/>
  <c r="SV49" i="13"/>
  <c r="SX49" i="13"/>
  <c r="A50" i="13"/>
  <c r="S50" i="13"/>
  <c r="W50" i="13"/>
  <c r="X50" i="13"/>
  <c r="Z50" i="13" s="1"/>
  <c r="AB50" i="13" s="1"/>
  <c r="AD50" i="13" s="1"/>
  <c r="AF50" i="13" s="1"/>
  <c r="NC50" i="13"/>
  <c r="ND50" i="13"/>
  <c r="NE50" i="13"/>
  <c r="NF50" i="13"/>
  <c r="NG50" i="13"/>
  <c r="NH50" i="13"/>
  <c r="NI50" i="13"/>
  <c r="NJ50" i="13"/>
  <c r="OY50" i="13"/>
  <c r="PD50" i="13"/>
  <c r="PD52" i="13" s="1"/>
  <c r="PG50" i="13"/>
  <c r="SL50" i="13"/>
  <c r="A51" i="13"/>
  <c r="S51" i="13"/>
  <c r="W51" i="13"/>
  <c r="X51" i="13" s="1"/>
  <c r="Z51" i="13" s="1"/>
  <c r="AB51" i="13" s="1"/>
  <c r="AD51" i="13" s="1"/>
  <c r="AF51" i="13" s="1"/>
  <c r="NC51" i="13"/>
  <c r="ND51" i="13"/>
  <c r="NE51" i="13"/>
  <c r="NF51" i="13"/>
  <c r="NG51" i="13"/>
  <c r="NH51" i="13"/>
  <c r="NI51" i="13"/>
  <c r="NJ51" i="13"/>
  <c r="OY51" i="13"/>
  <c r="SL51" i="13"/>
  <c r="A52" i="13"/>
  <c r="S52" i="13"/>
  <c r="W52" i="13"/>
  <c r="X52" i="13" s="1"/>
  <c r="Z52" i="13"/>
  <c r="AB52" i="13" s="1"/>
  <c r="AD52" i="13"/>
  <c r="AF52" i="13" s="1"/>
  <c r="NC52" i="13"/>
  <c r="NE52" i="13"/>
  <c r="NG52" i="13"/>
  <c r="NI52" i="13"/>
  <c r="OY52" i="13"/>
  <c r="PI52" i="13"/>
  <c r="SL52" i="13"/>
  <c r="SS52" i="13"/>
  <c r="SU52" i="13"/>
  <c r="SW52" i="13"/>
  <c r="SY52" i="13"/>
  <c r="A53" i="13"/>
  <c r="S53" i="13"/>
  <c r="W53" i="13"/>
  <c r="NE53" i="13"/>
  <c r="NG53" i="13"/>
  <c r="NI53" i="13"/>
  <c r="OY53" i="13"/>
  <c r="SL53" i="13"/>
  <c r="SS53" i="13"/>
  <c r="SU53" i="13" s="1"/>
  <c r="SW53" i="13"/>
  <c r="SY53" i="13" s="1"/>
  <c r="A54" i="13"/>
  <c r="D54" i="13"/>
  <c r="D56" i="13" s="1"/>
  <c r="F54" i="13"/>
  <c r="H54" i="13"/>
  <c r="I54" i="13"/>
  <c r="I56" i="13" s="1"/>
  <c r="J54" i="13"/>
  <c r="K54" i="13"/>
  <c r="L54" i="13"/>
  <c r="M54" i="13"/>
  <c r="N54" i="13"/>
  <c r="O54" i="13"/>
  <c r="P54" i="13"/>
  <c r="Q54" i="13"/>
  <c r="Q56" i="13" s="1"/>
  <c r="Q69" i="13" s="1"/>
  <c r="R54" i="13"/>
  <c r="S54" i="13"/>
  <c r="W54" i="13"/>
  <c r="SL54" i="13"/>
  <c r="SS54" i="13"/>
  <c r="SU54" i="13"/>
  <c r="SW54" i="13" s="1"/>
  <c r="SY54" i="13"/>
  <c r="A55" i="13"/>
  <c r="S55" i="13"/>
  <c r="U55" i="13"/>
  <c r="W55" i="13"/>
  <c r="X55" i="13" s="1"/>
  <c r="Z55" i="13" s="1"/>
  <c r="AB55" i="13" s="1"/>
  <c r="AD55" i="13"/>
  <c r="AF55" i="13" s="1"/>
  <c r="SL55" i="13"/>
  <c r="SS55" i="13"/>
  <c r="SU55" i="13"/>
  <c r="A56" i="13"/>
  <c r="F56" i="13"/>
  <c r="H56" i="13"/>
  <c r="H64" i="13" s="1"/>
  <c r="J56" i="13"/>
  <c r="N56" i="13"/>
  <c r="O56" i="13"/>
  <c r="O69" i="13" s="1"/>
  <c r="O70" i="13" s="1"/>
  <c r="P56" i="13"/>
  <c r="R56" i="13"/>
  <c r="S56" i="13"/>
  <c r="W56" i="13"/>
  <c r="X56" i="13" s="1"/>
  <c r="Z56" i="13"/>
  <c r="AB56" i="13" s="1"/>
  <c r="AD56" i="13"/>
  <c r="AF56" i="13" s="1"/>
  <c r="SL56" i="13"/>
  <c r="SR56" i="13"/>
  <c r="SS56" i="13"/>
  <c r="SS58" i="13" s="1"/>
  <c r="ST56" i="13"/>
  <c r="SV56" i="13"/>
  <c r="SX56" i="13"/>
  <c r="A57" i="13"/>
  <c r="S57" i="13"/>
  <c r="W57" i="13"/>
  <c r="X57" i="13"/>
  <c r="Z57" i="13"/>
  <c r="AB57" i="13"/>
  <c r="AD57" i="13" s="1"/>
  <c r="AF57" i="13" s="1"/>
  <c r="SL57" i="13"/>
  <c r="A58" i="13"/>
  <c r="S58" i="13"/>
  <c r="W58" i="13"/>
  <c r="SL58" i="13"/>
  <c r="SR58" i="13"/>
  <c r="ST58" i="13"/>
  <c r="SV58" i="13"/>
  <c r="SX58" i="13"/>
  <c r="A59" i="13"/>
  <c r="S59" i="13"/>
  <c r="W59" i="13"/>
  <c r="SL59" i="13"/>
  <c r="A60" i="13"/>
  <c r="S60" i="13"/>
  <c r="W60" i="13"/>
  <c r="X60" i="13" s="1"/>
  <c r="Z60" i="13" s="1"/>
  <c r="AB60" i="13" s="1"/>
  <c r="AD60" i="13" s="1"/>
  <c r="AF60" i="13" s="1"/>
  <c r="SL60" i="13"/>
  <c r="SR60" i="13"/>
  <c r="SS60" i="13"/>
  <c r="SS62" i="13" s="1"/>
  <c r="ST60" i="13"/>
  <c r="ST62" i="13" s="1"/>
  <c r="SX60" i="13"/>
  <c r="A61" i="13"/>
  <c r="S61" i="13"/>
  <c r="V61" i="13"/>
  <c r="Y61" i="13"/>
  <c r="AA61" i="13"/>
  <c r="AC61" i="13"/>
  <c r="AE61" i="13"/>
  <c r="SL61" i="13"/>
  <c r="A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SL62" i="13"/>
  <c r="A63" i="13"/>
  <c r="S63" i="13"/>
  <c r="SL63" i="13"/>
  <c r="A64" i="13"/>
  <c r="C64" i="13"/>
  <c r="J64" i="13" s="1"/>
  <c r="F64" i="13"/>
  <c r="N64" i="13"/>
  <c r="S64" i="13"/>
  <c r="SL64" i="13"/>
  <c r="SS64" i="13"/>
  <c r="SU64" i="13"/>
  <c r="SW64" i="13" s="1"/>
  <c r="A65" i="13"/>
  <c r="F65" i="13"/>
  <c r="H65" i="13"/>
  <c r="J65" i="13"/>
  <c r="N65" i="13"/>
  <c r="S65" i="13"/>
  <c r="SL65" i="13"/>
  <c r="SS65" i="13"/>
  <c r="SU65" i="13"/>
  <c r="SW65" i="13"/>
  <c r="SY65" i="13" s="1"/>
  <c r="A66" i="13"/>
  <c r="S66" i="13"/>
  <c r="SL66" i="13"/>
  <c r="SS66" i="13"/>
  <c r="SU66" i="13"/>
  <c r="SW66" i="13"/>
  <c r="SY66" i="13"/>
  <c r="A67" i="13"/>
  <c r="O67" i="13"/>
  <c r="P67" i="13"/>
  <c r="P69" i="13" s="1"/>
  <c r="P70" i="13" s="1"/>
  <c r="Q67" i="13"/>
  <c r="R67" i="13"/>
  <c r="S67" i="13"/>
  <c r="SL67" i="13"/>
  <c r="SR67" i="13"/>
  <c r="SS67" i="13"/>
  <c r="ST67" i="13"/>
  <c r="SV67" i="13"/>
  <c r="SX67" i="13"/>
  <c r="A68" i="13"/>
  <c r="S68" i="13"/>
  <c r="W68" i="13"/>
  <c r="X68" i="13"/>
  <c r="Y68" i="13"/>
  <c r="AA68" i="13"/>
  <c r="AB68" i="13"/>
  <c r="AC68" i="13"/>
  <c r="AE68" i="13"/>
  <c r="AF68" i="13"/>
  <c r="AQ68" i="13"/>
  <c r="AR68" i="13"/>
  <c r="SL68" i="13"/>
  <c r="A69" i="13"/>
  <c r="R69" i="13"/>
  <c r="S69" i="13"/>
  <c r="W69" i="13"/>
  <c r="X69" i="13"/>
  <c r="Y69" i="13"/>
  <c r="Z69" i="13"/>
  <c r="AA69" i="13"/>
  <c r="AC69" i="13"/>
  <c r="AE69" i="13"/>
  <c r="SL69" i="13"/>
  <c r="A70" i="13"/>
  <c r="R70" i="13"/>
  <c r="S70" i="13"/>
  <c r="W70" i="13"/>
  <c r="AQ70" i="13"/>
  <c r="AR70" i="13"/>
  <c r="SL70" i="13"/>
  <c r="SS70" i="13"/>
  <c r="SU70" i="13"/>
  <c r="SW70" i="13"/>
  <c r="SY70" i="13" s="1"/>
  <c r="A71" i="13"/>
  <c r="O71" i="13"/>
  <c r="P71" i="13"/>
  <c r="S71" i="13"/>
  <c r="AQ71" i="13"/>
  <c r="AR71" i="13"/>
  <c r="SL71" i="13"/>
  <c r="SS71" i="13"/>
  <c r="SU71" i="13"/>
  <c r="SW71" i="13" s="1"/>
  <c r="A72" i="13"/>
  <c r="S72" i="13"/>
  <c r="V72" i="13"/>
  <c r="AQ72" i="13"/>
  <c r="AR72" i="13"/>
  <c r="SL72" i="13"/>
  <c r="SS72" i="13"/>
  <c r="SU72" i="13"/>
  <c r="SW72" i="13" s="1"/>
  <c r="SY72" i="13" s="1"/>
  <c r="A73" i="13"/>
  <c r="S73" i="13"/>
  <c r="W73" i="13"/>
  <c r="AQ73" i="13"/>
  <c r="AR73" i="13"/>
  <c r="SL73" i="13"/>
  <c r="SS73" i="13"/>
  <c r="SU73" i="13" s="1"/>
  <c r="SW73" i="13"/>
  <c r="SY73" i="13"/>
  <c r="A74" i="13"/>
  <c r="S74" i="13"/>
  <c r="V74" i="13"/>
  <c r="W74" i="13"/>
  <c r="SL74" i="13"/>
  <c r="SR74" i="13"/>
  <c r="SS74" i="13"/>
  <c r="SS76" i="13" s="1"/>
  <c r="SS78" i="13" s="1"/>
  <c r="ST74" i="13"/>
  <c r="SV74" i="13"/>
  <c r="SV76" i="13" s="1"/>
  <c r="SX74" i="13"/>
  <c r="A75" i="13"/>
  <c r="S75" i="13"/>
  <c r="V75" i="13"/>
  <c r="W75" i="13"/>
  <c r="AQ75" i="13"/>
  <c r="AR75" i="13"/>
  <c r="SL75" i="13"/>
  <c r="S76" i="13"/>
  <c r="SL76" i="13"/>
  <c r="SR76" i="13"/>
  <c r="ST76" i="13"/>
  <c r="SX76" i="13"/>
  <c r="S77" i="13"/>
  <c r="SL77" i="13"/>
  <c r="S78" i="13"/>
  <c r="AQ78" i="13"/>
  <c r="AR78" i="13"/>
  <c r="SL78" i="13"/>
  <c r="SR78" i="13"/>
  <c r="SX78" i="13"/>
  <c r="S79" i="13"/>
  <c r="SL79" i="13"/>
  <c r="AQ80" i="13"/>
  <c r="AR80" i="13"/>
  <c r="SL80" i="13"/>
  <c r="SR80" i="13"/>
  <c r="SS80" i="13"/>
  <c r="SX80" i="13"/>
  <c r="SL81" i="13"/>
  <c r="SL82" i="13"/>
  <c r="SS82" i="13"/>
  <c r="SU82" i="13" s="1"/>
  <c r="SW82" i="13"/>
  <c r="SL83" i="13"/>
  <c r="SS83" i="13"/>
  <c r="SU83" i="13"/>
  <c r="SW83" i="13"/>
  <c r="SW101" i="13" s="1"/>
  <c r="SY83" i="13"/>
  <c r="SL84" i="13"/>
  <c r="SS84" i="13"/>
  <c r="SL85" i="13"/>
  <c r="SR85" i="13"/>
  <c r="ST85" i="13"/>
  <c r="SV85" i="13"/>
  <c r="SX85" i="13"/>
  <c r="SL86" i="13"/>
  <c r="SL87" i="13"/>
  <c r="SL88" i="13"/>
  <c r="SR88" i="13"/>
  <c r="SR92" i="13" s="1"/>
  <c r="SR94" i="13" s="1"/>
  <c r="SS88" i="13"/>
  <c r="ST88" i="13"/>
  <c r="SV88" i="13"/>
  <c r="SX88" i="13"/>
  <c r="SL89" i="13"/>
  <c r="SR89" i="13"/>
  <c r="SS89" i="13" s="1"/>
  <c r="SU89" i="13" s="1"/>
  <c r="SW89" i="13" s="1"/>
  <c r="ST89" i="13"/>
  <c r="SV89" i="13"/>
  <c r="SX89" i="13"/>
  <c r="SY89" i="13"/>
  <c r="SL90" i="13"/>
  <c r="SR90" i="13"/>
  <c r="SS90" i="13"/>
  <c r="ST90" i="13"/>
  <c r="SU90" i="13"/>
  <c r="SV90" i="13"/>
  <c r="SW90" i="13" s="1"/>
  <c r="SX90" i="13"/>
  <c r="SY90" i="13"/>
  <c r="SL91" i="13"/>
  <c r="SR91" i="13"/>
  <c r="SS91" i="13"/>
  <c r="ST91" i="13"/>
  <c r="SU91" i="13"/>
  <c r="SV91" i="13"/>
  <c r="SW91" i="13"/>
  <c r="SX91" i="13"/>
  <c r="SY91" i="13" s="1"/>
  <c r="SL92" i="13"/>
  <c r="ST92" i="13"/>
  <c r="SV92" i="13"/>
  <c r="SV94" i="13" s="1"/>
  <c r="SL93" i="13"/>
  <c r="SL94" i="13"/>
  <c r="ST94" i="13"/>
  <c r="SL95" i="13"/>
  <c r="SL96" i="13"/>
  <c r="SR96" i="13"/>
  <c r="SL97" i="13"/>
  <c r="SL98" i="13"/>
  <c r="SL99" i="13"/>
  <c r="SL100" i="13"/>
  <c r="SS100" i="13"/>
  <c r="SR100" i="13" s="1"/>
  <c r="SL101" i="13"/>
  <c r="SR101" i="13"/>
  <c r="SS101" i="13"/>
  <c r="ST101" i="13"/>
  <c r="SU101" i="13"/>
  <c r="SV101" i="13"/>
  <c r="SX101" i="13"/>
  <c r="SL102" i="13"/>
  <c r="SL103" i="13"/>
  <c r="TB212" i="13"/>
  <c r="TC212" i="13"/>
  <c r="TB213" i="13"/>
  <c r="TC213" i="13"/>
  <c r="TB214" i="13"/>
  <c r="TC214" i="13"/>
  <c r="TB215" i="13"/>
  <c r="TC215" i="13"/>
  <c r="TB216" i="13"/>
  <c r="TC216" i="13"/>
  <c r="TB218" i="13"/>
  <c r="TC218" i="13"/>
  <c r="TB220" i="13"/>
  <c r="TC220" i="13"/>
  <c r="TB222" i="13"/>
  <c r="TC222" i="13"/>
  <c r="TB224" i="13"/>
  <c r="TC224" i="13"/>
  <c r="TB225" i="13"/>
  <c r="TC225" i="13"/>
  <c r="TB226" i="13"/>
  <c r="TC226" i="13"/>
  <c r="TB227" i="13"/>
  <c r="TC227" i="13"/>
  <c r="TB230" i="13"/>
  <c r="TC230" i="13"/>
  <c r="TB234" i="13"/>
  <c r="TC234" i="13"/>
  <c r="TB236" i="13"/>
  <c r="TC236" i="13"/>
  <c r="TB238" i="13"/>
  <c r="TC238" i="13"/>
  <c r="TB240" i="13"/>
  <c r="TC240" i="13"/>
  <c r="TB242" i="13"/>
  <c r="TC242" i="13"/>
  <c r="TB243" i="13"/>
  <c r="TC243" i="13"/>
  <c r="TB244" i="13"/>
  <c r="TC244" i="13"/>
  <c r="TB245" i="13"/>
  <c r="TC245" i="13"/>
  <c r="TB248" i="13"/>
  <c r="TC248" i="13"/>
  <c r="TB249" i="13"/>
  <c r="TC249" i="13"/>
  <c r="TB251" i="13"/>
  <c r="TC251" i="13"/>
  <c r="TB252" i="13"/>
  <c r="TC252" i="13"/>
  <c r="TB254" i="13"/>
  <c r="TC254" i="13"/>
  <c r="TB256" i="13"/>
  <c r="TC256" i="13"/>
  <c r="TB258" i="13"/>
  <c r="TC258" i="13"/>
  <c r="TB260" i="13"/>
  <c r="TC260" i="13"/>
  <c r="TB261" i="13"/>
  <c r="TC261" i="13"/>
  <c r="TB262" i="13"/>
  <c r="TC262" i="13"/>
  <c r="TB263" i="13"/>
  <c r="TC263" i="13"/>
  <c r="TB266" i="13"/>
  <c r="TC266" i="13"/>
  <c r="TB267" i="13"/>
  <c r="TC267" i="13"/>
  <c r="TB268" i="13"/>
  <c r="TC268" i="13"/>
  <c r="TB269" i="13"/>
  <c r="TC269" i="13"/>
  <c r="TB270" i="13"/>
  <c r="TC270" i="13"/>
  <c r="TB272" i="13"/>
  <c r="TC272" i="13"/>
  <c r="TB274" i="13"/>
  <c r="TC274" i="13"/>
  <c r="TB276" i="13"/>
  <c r="TC276" i="13"/>
  <c r="TB278" i="13"/>
  <c r="TC278" i="13"/>
  <c r="TB279" i="13"/>
  <c r="TC279" i="13"/>
  <c r="TB280" i="13"/>
  <c r="TC280" i="13"/>
  <c r="TB281" i="13"/>
  <c r="TC281" i="13"/>
  <c r="TB284" i="13"/>
  <c r="TC284" i="13"/>
  <c r="TB285" i="13"/>
  <c r="TC285" i="13"/>
  <c r="TB286" i="13"/>
  <c r="TC286" i="13"/>
  <c r="TB287" i="13"/>
  <c r="TC287" i="13"/>
  <c r="TB288" i="13"/>
  <c r="TC288" i="13"/>
  <c r="TB290" i="13"/>
  <c r="TC290" i="13"/>
  <c r="TB292" i="13"/>
  <c r="TC292" i="13"/>
  <c r="TB294" i="13"/>
  <c r="TC294" i="13"/>
  <c r="TB296" i="13"/>
  <c r="TC296" i="13"/>
  <c r="TB297" i="13"/>
  <c r="TC297" i="13"/>
  <c r="TB298" i="13"/>
  <c r="TC298" i="13"/>
  <c r="TB299" i="13"/>
  <c r="TC299" i="13"/>
  <c r="A4" i="12"/>
  <c r="A5" i="12"/>
  <c r="A12" i="12"/>
  <c r="A13" i="12" s="1"/>
  <c r="A14" i="12" s="1"/>
  <c r="A15" i="12" s="1"/>
  <c r="A16" i="12" s="1"/>
  <c r="E14" i="12"/>
  <c r="C66" i="13" s="1"/>
  <c r="J66" i="13" s="1"/>
  <c r="J67" i="13" s="1"/>
  <c r="J69" i="13" s="1"/>
  <c r="E16" i="12"/>
  <c r="E18" i="12" s="1"/>
  <c r="A17" i="12"/>
  <c r="E20" i="12"/>
  <c r="C63" i="11" s="1"/>
  <c r="D63" i="11" s="1"/>
  <c r="E63" i="11" s="1"/>
  <c r="F63" i="11" s="1"/>
  <c r="G63" i="11" s="1"/>
  <c r="H63" i="11" s="1"/>
  <c r="I63" i="11" s="1"/>
  <c r="J63" i="11" s="1"/>
  <c r="A14" i="11"/>
  <c r="A15" i="11"/>
  <c r="C15" i="11"/>
  <c r="A16" i="11"/>
  <c r="C16" i="11"/>
  <c r="D16" i="11"/>
  <c r="F16" i="11"/>
  <c r="H16" i="11"/>
  <c r="J16" i="11"/>
  <c r="L16" i="11"/>
  <c r="Q16" i="11"/>
  <c r="A17" i="11"/>
  <c r="C17" i="11"/>
  <c r="D17" i="11"/>
  <c r="F17" i="11"/>
  <c r="H17" i="11"/>
  <c r="J17" i="11"/>
  <c r="L17" i="11"/>
  <c r="Q17" i="11"/>
  <c r="A18" i="11"/>
  <c r="C18" i="11"/>
  <c r="Q18" i="11"/>
  <c r="A19" i="11"/>
  <c r="O19" i="11"/>
  <c r="A20" i="11"/>
  <c r="A21" i="11"/>
  <c r="A22" i="11"/>
  <c r="A23" i="11"/>
  <c r="A24" i="11"/>
  <c r="C24" i="11"/>
  <c r="D24" i="11"/>
  <c r="E24" i="11"/>
  <c r="F24" i="11"/>
  <c r="H24" i="11"/>
  <c r="J24" i="11"/>
  <c r="L24" i="11"/>
  <c r="N24" i="11"/>
  <c r="P24" i="11"/>
  <c r="P28" i="11" s="1"/>
  <c r="P45" i="11" s="1"/>
  <c r="A25" i="11"/>
  <c r="C25" i="11"/>
  <c r="F25" i="11"/>
  <c r="H25" i="11"/>
  <c r="J25" i="11"/>
  <c r="L25" i="11"/>
  <c r="N25" i="11"/>
  <c r="P25" i="11"/>
  <c r="Q25" i="11" s="1"/>
  <c r="A26" i="11"/>
  <c r="C26" i="11"/>
  <c r="D26" i="11"/>
  <c r="F26" i="11"/>
  <c r="H26" i="11"/>
  <c r="J26" i="11"/>
  <c r="L26" i="11"/>
  <c r="N26" i="11"/>
  <c r="P26" i="11"/>
  <c r="Q26" i="11" s="1"/>
  <c r="A27" i="11"/>
  <c r="C27" i="11"/>
  <c r="D27" i="11"/>
  <c r="F27" i="11"/>
  <c r="H27" i="11"/>
  <c r="J27" i="11"/>
  <c r="L27" i="11"/>
  <c r="N27" i="11"/>
  <c r="P27" i="11"/>
  <c r="A28" i="11"/>
  <c r="A29" i="11"/>
  <c r="A30" i="11"/>
  <c r="C30" i="11"/>
  <c r="N30" i="11"/>
  <c r="Q30" i="11"/>
  <c r="A31" i="11"/>
  <c r="C31" i="11"/>
  <c r="F31" i="11"/>
  <c r="N31" i="11"/>
  <c r="Q31" i="11"/>
  <c r="A32" i="11"/>
  <c r="C32" i="11"/>
  <c r="N32" i="11"/>
  <c r="Q32" i="11"/>
  <c r="A33" i="11"/>
  <c r="C33" i="11"/>
  <c r="Q33" i="11"/>
  <c r="A34" i="11"/>
  <c r="C34" i="11"/>
  <c r="N34" i="11"/>
  <c r="Q34" i="11"/>
  <c r="A35" i="11"/>
  <c r="C35" i="11"/>
  <c r="F35" i="11"/>
  <c r="H35" i="11"/>
  <c r="N35" i="11"/>
  <c r="Q35" i="11"/>
  <c r="A36" i="11"/>
  <c r="C36" i="11"/>
  <c r="Q36" i="11"/>
  <c r="A37" i="11"/>
  <c r="C37" i="11"/>
  <c r="N37" i="11"/>
  <c r="Q37" i="11"/>
  <c r="A38" i="11"/>
  <c r="C38" i="11"/>
  <c r="N38" i="11"/>
  <c r="Q38" i="11"/>
  <c r="A39" i="11"/>
  <c r="C39" i="11"/>
  <c r="D39" i="11"/>
  <c r="E39" i="11" s="1"/>
  <c r="G39" i="11" s="1"/>
  <c r="F39" i="11"/>
  <c r="H39" i="11"/>
  <c r="J39" i="11"/>
  <c r="L39" i="11"/>
  <c r="N39" i="11"/>
  <c r="Q39" i="11"/>
  <c r="A40" i="11"/>
  <c r="C40" i="11"/>
  <c r="N40" i="11"/>
  <c r="Q40" i="11"/>
  <c r="A41" i="11"/>
  <c r="C41" i="11"/>
  <c r="Q41" i="11"/>
  <c r="A42" i="11"/>
  <c r="C42" i="11"/>
  <c r="Q42" i="11"/>
  <c r="A43" i="11"/>
  <c r="C43" i="11"/>
  <c r="D43" i="11"/>
  <c r="E43" i="11"/>
  <c r="N43" i="11"/>
  <c r="P43" i="11"/>
  <c r="Q43" i="11"/>
  <c r="A44" i="11"/>
  <c r="O44" i="11"/>
  <c r="P44" i="11"/>
  <c r="A45" i="11"/>
  <c r="A46" i="11"/>
  <c r="A47" i="11"/>
  <c r="A48" i="11"/>
  <c r="A49" i="11"/>
  <c r="A50" i="11"/>
  <c r="A51" i="11"/>
  <c r="C51" i="11"/>
  <c r="N51" i="11"/>
  <c r="N58" i="11" s="1"/>
  <c r="Q51" i="11"/>
  <c r="A52" i="11"/>
  <c r="C52" i="11"/>
  <c r="N52" i="11"/>
  <c r="Q52" i="11"/>
  <c r="A53" i="11"/>
  <c r="C53" i="11"/>
  <c r="N53" i="11"/>
  <c r="Q53" i="11"/>
  <c r="A54" i="11"/>
  <c r="C54" i="11"/>
  <c r="N54" i="11"/>
  <c r="P54" i="11"/>
  <c r="A55" i="11"/>
  <c r="C55" i="11"/>
  <c r="F55" i="11"/>
  <c r="H55" i="11"/>
  <c r="J55" i="11"/>
  <c r="L55" i="11"/>
  <c r="N55" i="11"/>
  <c r="P55" i="11"/>
  <c r="Q55" i="11"/>
  <c r="A56" i="11"/>
  <c r="C56" i="11"/>
  <c r="F56" i="11"/>
  <c r="H56" i="11"/>
  <c r="J56" i="11"/>
  <c r="L56" i="11"/>
  <c r="N56" i="11"/>
  <c r="P56" i="11"/>
  <c r="Q56" i="11" s="1"/>
  <c r="A57" i="11"/>
  <c r="A58" i="11"/>
  <c r="O58" i="11"/>
  <c r="A59" i="11"/>
  <c r="A60" i="11"/>
  <c r="C60" i="11"/>
  <c r="D60" i="11" s="1"/>
  <c r="E60" i="11" s="1"/>
  <c r="F60" i="11" s="1"/>
  <c r="G60" i="11" s="1"/>
  <c r="H60" i="11" s="1"/>
  <c r="I60" i="11" s="1"/>
  <c r="J60" i="11" s="1"/>
  <c r="K60" i="11"/>
  <c r="L60" i="11"/>
  <c r="M60" i="11"/>
  <c r="O60" i="11"/>
  <c r="Q60" i="11"/>
  <c r="A61" i="11"/>
  <c r="A62" i="11"/>
  <c r="A63" i="11"/>
  <c r="O63" i="11"/>
  <c r="P63" i="11" s="1"/>
  <c r="Q63" i="11" s="1"/>
  <c r="A64" i="11"/>
  <c r="A65" i="11"/>
  <c r="A66" i="11"/>
  <c r="A67" i="11"/>
  <c r="A68" i="11"/>
  <c r="A69" i="11"/>
  <c r="A70" i="11"/>
  <c r="A71" i="11"/>
  <c r="A72" i="11"/>
  <c r="A73" i="11"/>
  <c r="A74" i="11"/>
  <c r="O74" i="11"/>
  <c r="Q74" i="11"/>
  <c r="A75" i="11"/>
  <c r="A76" i="11"/>
  <c r="O76" i="11"/>
  <c r="Q76" i="11"/>
  <c r="A77" i="11"/>
  <c r="A78" i="11"/>
  <c r="A79" i="11"/>
  <c r="K79" i="11"/>
  <c r="M79" i="11"/>
  <c r="Q79" i="11"/>
  <c r="Q81" i="11" s="1"/>
  <c r="A80" i="11"/>
  <c r="A81" i="11"/>
  <c r="O81" i="11"/>
  <c r="A82" i="11"/>
  <c r="G4" i="10"/>
  <c r="G5" i="10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G12" i="10"/>
  <c r="G13" i="10"/>
  <c r="G14" i="10" s="1"/>
  <c r="G15" i="10" s="1"/>
  <c r="G16" i="10" s="1"/>
  <c r="G17" i="10" s="1"/>
  <c r="G18" i="10" s="1"/>
  <c r="G19" i="10" s="1"/>
  <c r="G20" i="10" s="1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J13" i="10"/>
  <c r="J17" i="10" s="1"/>
  <c r="K14" i="10"/>
  <c r="I15" i="10"/>
  <c r="K15" i="10"/>
  <c r="I17" i="10"/>
  <c r="I19" i="10" s="1"/>
  <c r="K17" i="10"/>
  <c r="I18" i="10"/>
  <c r="K18" i="10" s="1"/>
  <c r="K19" i="10" s="1"/>
  <c r="J18" i="10"/>
  <c r="J22" i="10"/>
  <c r="K23" i="10"/>
  <c r="I24" i="10"/>
  <c r="K24" i="10"/>
  <c r="C13" i="10" s="1"/>
  <c r="I26" i="10"/>
  <c r="J26" i="10"/>
  <c r="K26" i="10"/>
  <c r="K28" i="10" s="1"/>
  <c r="I27" i="10"/>
  <c r="J27" i="10"/>
  <c r="K27" i="10"/>
  <c r="I28" i="10"/>
  <c r="C31" i="10"/>
  <c r="D31" i="10"/>
  <c r="J31" i="10"/>
  <c r="J35" i="10" s="1"/>
  <c r="K32" i="10"/>
  <c r="K33" i="10" s="1"/>
  <c r="D13" i="10" s="1"/>
  <c r="I33" i="10"/>
  <c r="I35" i="10"/>
  <c r="I37" i="10" s="1"/>
  <c r="K35" i="10"/>
  <c r="I36" i="10"/>
  <c r="K36" i="10" s="1"/>
  <c r="K37" i="10" s="1"/>
  <c r="J36" i="10"/>
  <c r="AC375" i="17" l="1"/>
  <c r="AC369" i="17"/>
  <c r="AC370" i="17" s="1"/>
  <c r="U436" i="17"/>
  <c r="U430" i="17"/>
  <c r="U431" i="17" s="1"/>
  <c r="M436" i="17"/>
  <c r="M430" i="17"/>
  <c r="M431" i="17" s="1"/>
  <c r="J369" i="17"/>
  <c r="J370" i="17" s="1"/>
  <c r="J375" i="17"/>
  <c r="AF430" i="17"/>
  <c r="AF431" i="17" s="1"/>
  <c r="AQ304" i="17"/>
  <c r="AQ293" i="17" s="1"/>
  <c r="BA300" i="17"/>
  <c r="P436" i="17"/>
  <c r="F430" i="17"/>
  <c r="F431" i="17" s="1"/>
  <c r="AC436" i="17"/>
  <c r="AC430" i="17"/>
  <c r="H430" i="17"/>
  <c r="H431" i="17" s="1"/>
  <c r="AA413" i="17"/>
  <c r="K413" i="17"/>
  <c r="M375" i="17"/>
  <c r="M369" i="17"/>
  <c r="M370" i="17" s="1"/>
  <c r="X352" i="17"/>
  <c r="H375" i="17"/>
  <c r="H369" i="17"/>
  <c r="H370" i="17" s="1"/>
  <c r="AB314" i="17"/>
  <c r="T314" i="17"/>
  <c r="L314" i="17"/>
  <c r="AN247" i="17"/>
  <c r="AN248" i="17" s="1"/>
  <c r="AN253" i="17"/>
  <c r="H186" i="17"/>
  <c r="H187" i="17" s="1"/>
  <c r="AM131" i="17"/>
  <c r="AM125" i="17"/>
  <c r="AM126" i="17" s="1"/>
  <c r="AE131" i="17"/>
  <c r="AE125" i="17"/>
  <c r="AE126" i="17" s="1"/>
  <c r="BB359" i="17"/>
  <c r="BA365" i="17"/>
  <c r="BA354" i="17" s="1"/>
  <c r="F369" i="17"/>
  <c r="F370" i="17" s="1"/>
  <c r="F375" i="17"/>
  <c r="Q186" i="17"/>
  <c r="Q187" i="17" s="1"/>
  <c r="Q192" i="17"/>
  <c r="R369" i="17"/>
  <c r="R370" i="17" s="1"/>
  <c r="R375" i="17"/>
  <c r="AM186" i="17"/>
  <c r="AM187" i="17" s="1"/>
  <c r="AM192" i="17"/>
  <c r="Z436" i="17"/>
  <c r="Z430" i="17"/>
  <c r="Z431" i="17" s="1"/>
  <c r="AP430" i="17"/>
  <c r="AP431" i="17" s="1"/>
  <c r="AI314" i="17"/>
  <c r="AF436" i="17"/>
  <c r="AE436" i="17"/>
  <c r="L436" i="17"/>
  <c r="V430" i="17"/>
  <c r="V431" i="17" s="1"/>
  <c r="X430" i="17"/>
  <c r="X431" i="17" s="1"/>
  <c r="AH369" i="17"/>
  <c r="AH370" i="17" s="1"/>
  <c r="AH375" i="17"/>
  <c r="AK186" i="17"/>
  <c r="AK187" i="17" s="1"/>
  <c r="AK192" i="17"/>
  <c r="W375" i="17"/>
  <c r="W369" i="17"/>
  <c r="W370" i="17" s="1"/>
  <c r="AG430" i="17"/>
  <c r="AG431" i="17" s="1"/>
  <c r="AG436" i="17"/>
  <c r="G375" i="17"/>
  <c r="G369" i="17"/>
  <c r="G370" i="17" s="1"/>
  <c r="J436" i="17"/>
  <c r="J430" i="17"/>
  <c r="J431" i="17" s="1"/>
  <c r="H436" i="17"/>
  <c r="S430" i="17"/>
  <c r="S431" i="17" s="1"/>
  <c r="BA426" i="17"/>
  <c r="BA415" i="17" s="1"/>
  <c r="AH436" i="17"/>
  <c r="AH430" i="17"/>
  <c r="AH431" i="17" s="1"/>
  <c r="R436" i="17"/>
  <c r="R430" i="17"/>
  <c r="R431" i="17" s="1"/>
  <c r="BB383" i="17"/>
  <c r="BA386" i="17"/>
  <c r="AQ352" i="17"/>
  <c r="AQ369" i="17" s="1"/>
  <c r="AQ370" i="17" s="1"/>
  <c r="U352" i="17"/>
  <c r="AL308" i="17"/>
  <c r="AL309" i="17" s="1"/>
  <c r="AJ308" i="17"/>
  <c r="AJ309" i="17" s="1"/>
  <c r="I430" i="17"/>
  <c r="I431" i="17" s="1"/>
  <c r="I436" i="17"/>
  <c r="AO247" i="17"/>
  <c r="AO248" i="17" s="1"/>
  <c r="AO253" i="17"/>
  <c r="O436" i="17"/>
  <c r="Y430" i="17"/>
  <c r="Y431" i="17" s="1"/>
  <c r="Y436" i="17"/>
  <c r="E436" i="17"/>
  <c r="E430" i="17"/>
  <c r="E431" i="17" s="1"/>
  <c r="AB436" i="17"/>
  <c r="Q430" i="17"/>
  <c r="Q431" i="17" s="1"/>
  <c r="Q436" i="17"/>
  <c r="BB404" i="17"/>
  <c r="BA395" i="17"/>
  <c r="P369" i="17"/>
  <c r="P370" i="17" s="1"/>
  <c r="N375" i="17"/>
  <c r="N369" i="17"/>
  <c r="N370" i="17" s="1"/>
  <c r="AB369" i="17"/>
  <c r="AB370" i="17" s="1"/>
  <c r="AB375" i="17"/>
  <c r="T369" i="17"/>
  <c r="T370" i="17" s="1"/>
  <c r="T375" i="17"/>
  <c r="L369" i="17"/>
  <c r="L370" i="17" s="1"/>
  <c r="L375" i="17"/>
  <c r="BD94" i="17"/>
  <c r="D155" i="17"/>
  <c r="AO125" i="17"/>
  <c r="AO126" i="17" s="1"/>
  <c r="AO131" i="17"/>
  <c r="AQ436" i="17"/>
  <c r="AM309" i="17"/>
  <c r="BA285" i="17"/>
  <c r="S289" i="17"/>
  <c r="S291" i="17" s="1"/>
  <c r="BA282" i="17"/>
  <c r="AG289" i="17"/>
  <c r="AG291" i="17" s="1"/>
  <c r="AG308" i="17" s="1"/>
  <c r="AG309" i="17" s="1"/>
  <c r="Z291" i="17"/>
  <c r="Z308" i="17" s="1"/>
  <c r="Z309" i="17" s="1"/>
  <c r="BA156" i="17"/>
  <c r="E167" i="17"/>
  <c r="AN192" i="17"/>
  <c r="F125" i="17"/>
  <c r="F126" i="17" s="1"/>
  <c r="BA102" i="17"/>
  <c r="BB102" i="17" s="1"/>
  <c r="F20" i="17"/>
  <c r="AI352" i="17"/>
  <c r="E230" i="17"/>
  <c r="E247" i="17" s="1"/>
  <c r="BA116" i="17"/>
  <c r="BD105" i="17"/>
  <c r="D166" i="17"/>
  <c r="AP64" i="17"/>
  <c r="AP65" i="17" s="1"/>
  <c r="BB408" i="17"/>
  <c r="D356" i="17"/>
  <c r="Z369" i="17"/>
  <c r="Z370" i="17" s="1"/>
  <c r="V314" i="17"/>
  <c r="N314" i="17"/>
  <c r="F314" i="17"/>
  <c r="BA298" i="17"/>
  <c r="BA304" i="17" s="1"/>
  <c r="BA293" i="17" s="1"/>
  <c r="AR304" i="17"/>
  <c r="AR293" i="17" s="1"/>
  <c r="AD308" i="17"/>
  <c r="AD309" i="17" s="1"/>
  <c r="AE309" i="17"/>
  <c r="BA163" i="17"/>
  <c r="AO65" i="17"/>
  <c r="BA35" i="17"/>
  <c r="BB35" i="17" s="1"/>
  <c r="D96" i="17" s="1"/>
  <c r="W47" i="17"/>
  <c r="G47" i="17"/>
  <c r="D79" i="17"/>
  <c r="BB79" i="17"/>
  <c r="D140" i="17" s="1"/>
  <c r="AQ375" i="17"/>
  <c r="S352" i="17"/>
  <c r="K352" i="17"/>
  <c r="Z228" i="17"/>
  <c r="Z230" i="17" s="1"/>
  <c r="AK247" i="17"/>
  <c r="AK248" i="17" s="1"/>
  <c r="AK253" i="17"/>
  <c r="AG121" i="17"/>
  <c r="AG110" i="17" s="1"/>
  <c r="AG352" i="17"/>
  <c r="Y352" i="17"/>
  <c r="Q352" i="17"/>
  <c r="AM314" i="17"/>
  <c r="AJ304" i="17"/>
  <c r="AJ293" i="17" s="1"/>
  <c r="AJ314" i="17" s="1"/>
  <c r="BA260" i="17"/>
  <c r="BA216" i="17"/>
  <c r="O228" i="17"/>
  <c r="O230" i="17" s="1"/>
  <c r="AO192" i="17"/>
  <c r="Y186" i="17"/>
  <c r="Y187" i="17" s="1"/>
  <c r="BA177" i="17"/>
  <c r="BB154" i="17"/>
  <c r="D215" i="17" s="1"/>
  <c r="BB215" i="17" s="1"/>
  <c r="D276" i="17" s="1"/>
  <c r="BA117" i="17"/>
  <c r="BB117" i="17" s="1"/>
  <c r="D178" i="17" s="1"/>
  <c r="AR121" i="17"/>
  <c r="AR110" i="17" s="1"/>
  <c r="AB121" i="17"/>
  <c r="AB110" i="17" s="1"/>
  <c r="D119" i="17"/>
  <c r="BB119" i="17"/>
  <c r="D180" i="17" s="1"/>
  <c r="D47" i="17"/>
  <c r="D64" i="17" s="1"/>
  <c r="D65" i="17" s="1"/>
  <c r="E350" i="17"/>
  <c r="AA314" i="17"/>
  <c r="BA301" i="17"/>
  <c r="BA299" i="17"/>
  <c r="AH304" i="17"/>
  <c r="AH293" i="17" s="1"/>
  <c r="AH314" i="17" s="1"/>
  <c r="E289" i="17"/>
  <c r="E291" i="17" s="1"/>
  <c r="E314" i="17" s="1"/>
  <c r="AQ291" i="17"/>
  <c r="AD243" i="17"/>
  <c r="P186" i="17"/>
  <c r="P187" i="17" s="1"/>
  <c r="AQ182" i="17"/>
  <c r="AQ171" i="17" s="1"/>
  <c r="AH167" i="17"/>
  <c r="AH169" i="17" s="1"/>
  <c r="BA80" i="17"/>
  <c r="BB80" i="17" s="1"/>
  <c r="D141" i="17" s="1"/>
  <c r="Y45" i="17"/>
  <c r="Y47" i="17" s="1"/>
  <c r="D153" i="17"/>
  <c r="BD92" i="17"/>
  <c r="AK308" i="17"/>
  <c r="AK309" i="17" s="1"/>
  <c r="AF314" i="17"/>
  <c r="AG304" i="17"/>
  <c r="AG293" i="17" s="1"/>
  <c r="O289" i="17"/>
  <c r="O291" i="17" s="1"/>
  <c r="AH289" i="17"/>
  <c r="AH291" i="17" s="1"/>
  <c r="BA281" i="17"/>
  <c r="AR291" i="17"/>
  <c r="AR308" i="17" s="1"/>
  <c r="AR309" i="17" s="1"/>
  <c r="AI291" i="17"/>
  <c r="AI308" i="17" s="1"/>
  <c r="AI309" i="17" s="1"/>
  <c r="AA291" i="17"/>
  <c r="AA308" i="17" s="1"/>
  <c r="AA309" i="17" s="1"/>
  <c r="K291" i="17"/>
  <c r="K308" i="17" s="1"/>
  <c r="K309" i="17" s="1"/>
  <c r="AF253" i="17"/>
  <c r="V253" i="17"/>
  <c r="N253" i="17"/>
  <c r="F253" i="17"/>
  <c r="W192" i="17"/>
  <c r="U186" i="17"/>
  <c r="U187" i="17" s="1"/>
  <c r="BB153" i="17"/>
  <c r="D214" i="17" s="1"/>
  <c r="BB214" i="17" s="1"/>
  <c r="D275" i="17" s="1"/>
  <c r="AD125" i="17"/>
  <c r="AD126" i="17" s="1"/>
  <c r="H125" i="17"/>
  <c r="H126" i="17" s="1"/>
  <c r="H131" i="17"/>
  <c r="AP106" i="17"/>
  <c r="AP108" i="17" s="1"/>
  <c r="AP125" i="17" s="1"/>
  <c r="AP126" i="17" s="1"/>
  <c r="Y108" i="17"/>
  <c r="Y125" i="17" s="1"/>
  <c r="Y126" i="17" s="1"/>
  <c r="BB155" i="17"/>
  <c r="D216" i="17" s="1"/>
  <c r="H169" i="17"/>
  <c r="AP121" i="17"/>
  <c r="AP110" i="17" s="1"/>
  <c r="AP131" i="17" s="1"/>
  <c r="AA121" i="17"/>
  <c r="AA110" i="17" s="1"/>
  <c r="BA100" i="17"/>
  <c r="BB100" i="17" s="1"/>
  <c r="BA77" i="17"/>
  <c r="BA81" i="17" s="1"/>
  <c r="E81" i="17"/>
  <c r="AB60" i="17"/>
  <c r="AB49" i="17" s="1"/>
  <c r="AB70" i="17" s="1"/>
  <c r="BA56" i="17"/>
  <c r="BB56" i="17" s="1"/>
  <c r="D117" i="17" s="1"/>
  <c r="M45" i="17"/>
  <c r="M47" i="17" s="1"/>
  <c r="M70" i="17" s="1"/>
  <c r="AK45" i="17"/>
  <c r="AK47" i="17" s="1"/>
  <c r="AK70" i="17" s="1"/>
  <c r="U47" i="17"/>
  <c r="U64" i="17" s="1"/>
  <c r="U65" i="17" s="1"/>
  <c r="I350" i="17"/>
  <c r="I352" i="17" s="1"/>
  <c r="I375" i="17" s="1"/>
  <c r="Y253" i="17"/>
  <c r="AL243" i="17"/>
  <c r="AL247" i="17" s="1"/>
  <c r="AL248" i="17" s="1"/>
  <c r="AG230" i="17"/>
  <c r="AG247" i="17" s="1"/>
  <c r="AG248" i="17" s="1"/>
  <c r="Q230" i="17"/>
  <c r="Q247" i="17" s="1"/>
  <c r="Q248" i="17" s="1"/>
  <c r="AL167" i="17"/>
  <c r="AL169" i="17" s="1"/>
  <c r="G169" i="17"/>
  <c r="AQ106" i="17"/>
  <c r="AH106" i="17"/>
  <c r="AH108" i="17" s="1"/>
  <c r="Z108" i="17"/>
  <c r="R106" i="17"/>
  <c r="R108" i="17" s="1"/>
  <c r="R131" i="17" s="1"/>
  <c r="J108" i="17"/>
  <c r="J131" i="17" s="1"/>
  <c r="L47" i="17"/>
  <c r="L64" i="17" s="1"/>
  <c r="L65" i="17" s="1"/>
  <c r="BA286" i="17"/>
  <c r="BA283" i="17"/>
  <c r="BA275" i="17"/>
  <c r="BA270" i="17"/>
  <c r="X253" i="17"/>
  <c r="P253" i="17"/>
  <c r="H253" i="17"/>
  <c r="BA239" i="17"/>
  <c r="AR228" i="17"/>
  <c r="AR230" i="17" s="1"/>
  <c r="AR247" i="17" s="1"/>
  <c r="AR248" i="17" s="1"/>
  <c r="AJ228" i="17"/>
  <c r="AJ230" i="17" s="1"/>
  <c r="BA212" i="17"/>
  <c r="AF230" i="17"/>
  <c r="AF247" i="17" s="1"/>
  <c r="AF248" i="17" s="1"/>
  <c r="P230" i="17"/>
  <c r="P247" i="17" s="1"/>
  <c r="P248" i="17" s="1"/>
  <c r="AF186" i="17"/>
  <c r="AF187" i="17" s="1"/>
  <c r="M186" i="17"/>
  <c r="M187" i="17" s="1"/>
  <c r="AD169" i="17"/>
  <c r="AD186" i="17" s="1"/>
  <c r="AD187" i="17" s="1"/>
  <c r="V169" i="17"/>
  <c r="N169" i="17"/>
  <c r="F169" i="17"/>
  <c r="BB139" i="17"/>
  <c r="D200" i="17" s="1"/>
  <c r="S131" i="17"/>
  <c r="Q108" i="17"/>
  <c r="Q125" i="17" s="1"/>
  <c r="Q126" i="17" s="1"/>
  <c r="AA106" i="17"/>
  <c r="AA108" i="17" s="1"/>
  <c r="AA131" i="17" s="1"/>
  <c r="BB88" i="17"/>
  <c r="D149" i="17" s="1"/>
  <c r="AF45" i="17"/>
  <c r="AF47" i="17" s="1"/>
  <c r="AQ45" i="17"/>
  <c r="AQ47" i="17" s="1"/>
  <c r="AE314" i="17"/>
  <c r="W314" i="17"/>
  <c r="G314" i="17"/>
  <c r="AN304" i="17"/>
  <c r="AN293" i="17" s="1"/>
  <c r="BA277" i="17"/>
  <c r="V248" i="17"/>
  <c r="N248" i="17"/>
  <c r="F248" i="17"/>
  <c r="AQ228" i="17"/>
  <c r="AQ230" i="17" s="1"/>
  <c r="AQ247" i="17" s="1"/>
  <c r="AQ248" i="17" s="1"/>
  <c r="AI228" i="17"/>
  <c r="AI230" i="17" s="1"/>
  <c r="AI247" i="17" s="1"/>
  <c r="AI248" i="17" s="1"/>
  <c r="BB211" i="17"/>
  <c r="D272" i="17" s="1"/>
  <c r="AR167" i="17"/>
  <c r="AR169" i="17" s="1"/>
  <c r="AR186" i="17" s="1"/>
  <c r="AR187" i="17" s="1"/>
  <c r="AJ167" i="17"/>
  <c r="AJ169" i="17" s="1"/>
  <c r="AJ192" i="17" s="1"/>
  <c r="AB169" i="17"/>
  <c r="T169" i="17"/>
  <c r="L169" i="17"/>
  <c r="AS169" i="17"/>
  <c r="AC169" i="17"/>
  <c r="AC186" i="17" s="1"/>
  <c r="AC187" i="17" s="1"/>
  <c r="E169" i="17"/>
  <c r="E186" i="17" s="1"/>
  <c r="E187" i="17" s="1"/>
  <c r="AJ106" i="17"/>
  <c r="AJ108" i="17" s="1"/>
  <c r="AJ131" i="17" s="1"/>
  <c r="BB97" i="17"/>
  <c r="BB158" i="17" s="1"/>
  <c r="D219" i="17" s="1"/>
  <c r="BB219" i="17" s="1"/>
  <c r="D280" i="17" s="1"/>
  <c r="BB280" i="17" s="1"/>
  <c r="AF106" i="17"/>
  <c r="AF108" i="17" s="1"/>
  <c r="P108" i="17"/>
  <c r="W60" i="17"/>
  <c r="W49" i="17" s="1"/>
  <c r="BA37" i="17"/>
  <c r="BB37" i="17" s="1"/>
  <c r="D98" i="17" s="1"/>
  <c r="AP314" i="17"/>
  <c r="Z314" i="17"/>
  <c r="R314" i="17"/>
  <c r="J314" i="17"/>
  <c r="BA278" i="17"/>
  <c r="BA276" i="17"/>
  <c r="AC253" i="17"/>
  <c r="U253" i="17"/>
  <c r="M253" i="17"/>
  <c r="E253" i="17"/>
  <c r="AR243" i="17"/>
  <c r="AR232" i="17" s="1"/>
  <c r="AE243" i="17"/>
  <c r="AE232" i="17" s="1"/>
  <c r="BB200" i="17"/>
  <c r="D261" i="17" s="1"/>
  <c r="BB180" i="17"/>
  <c r="D241" i="17" s="1"/>
  <c r="BB241" i="17" s="1"/>
  <c r="D302" i="17" s="1"/>
  <c r="AJ182" i="17"/>
  <c r="AJ171" i="17" s="1"/>
  <c r="AL182" i="17"/>
  <c r="AL171" i="17" s="1"/>
  <c r="AQ169" i="17"/>
  <c r="AQ192" i="17" s="1"/>
  <c r="AI169" i="17"/>
  <c r="AA169" i="17"/>
  <c r="S169" i="17"/>
  <c r="K169" i="17"/>
  <c r="AC106" i="17"/>
  <c r="AC108" i="17" s="1"/>
  <c r="M106" i="17"/>
  <c r="AC70" i="17"/>
  <c r="AR60" i="17"/>
  <c r="AR49" i="17" s="1"/>
  <c r="AR70" i="17" s="1"/>
  <c r="BA38" i="17"/>
  <c r="BB38" i="17" s="1"/>
  <c r="D99" i="17" s="1"/>
  <c r="V45" i="17"/>
  <c r="V47" i="17" s="1"/>
  <c r="BA34" i="17"/>
  <c r="BB34" i="17" s="1"/>
  <c r="D95" i="17" s="1"/>
  <c r="AA45" i="17"/>
  <c r="AA47" i="17" s="1"/>
  <c r="AA64" i="17" s="1"/>
  <c r="AA65" i="17" s="1"/>
  <c r="S45" i="17"/>
  <c r="S47" i="17" s="1"/>
  <c r="Y314" i="17"/>
  <c r="Q314" i="17"/>
  <c r="BA272" i="17"/>
  <c r="AQ243" i="17"/>
  <c r="AQ232" i="17" s="1"/>
  <c r="AJ243" i="17"/>
  <c r="AJ232" i="17" s="1"/>
  <c r="AP192" i="17"/>
  <c r="AC192" i="17"/>
  <c r="U192" i="17"/>
  <c r="M192" i="17"/>
  <c r="BB166" i="17"/>
  <c r="D227" i="17" s="1"/>
  <c r="BB227" i="17" s="1"/>
  <c r="D288" i="17" s="1"/>
  <c r="BB288" i="17" s="1"/>
  <c r="AE167" i="17"/>
  <c r="AE169" i="17" s="1"/>
  <c r="BA160" i="17"/>
  <c r="BA115" i="17"/>
  <c r="BB93" i="17"/>
  <c r="AK108" i="17"/>
  <c r="T108" i="17"/>
  <c r="T131" i="17" s="1"/>
  <c r="O45" i="17"/>
  <c r="O47" i="17" s="1"/>
  <c r="AN45" i="17"/>
  <c r="AN47" i="17" s="1"/>
  <c r="R45" i="17"/>
  <c r="J45" i="17"/>
  <c r="X314" i="17"/>
  <c r="P314" i="17"/>
  <c r="H314" i="17"/>
  <c r="BA269" i="17"/>
  <c r="BA273" i="17" s="1"/>
  <c r="BB242" i="17"/>
  <c r="D303" i="17" s="1"/>
  <c r="BB303" i="17" s="1"/>
  <c r="AI243" i="17"/>
  <c r="AI232" i="17" s="1"/>
  <c r="BA222" i="17"/>
  <c r="BA220" i="17"/>
  <c r="BA202" i="17"/>
  <c r="AD182" i="17"/>
  <c r="AD171" i="17" s="1"/>
  <c r="AD192" i="17" s="1"/>
  <c r="K125" i="17"/>
  <c r="K126" i="17" s="1"/>
  <c r="BA98" i="17"/>
  <c r="BB98" i="17" s="1"/>
  <c r="BB159" i="17" s="1"/>
  <c r="D220" i="17" s="1"/>
  <c r="BB220" i="17" s="1"/>
  <c r="D281" i="17" s="1"/>
  <c r="BA95" i="17"/>
  <c r="AS108" i="17"/>
  <c r="AL60" i="17"/>
  <c r="AL49" i="17" s="1"/>
  <c r="AF60" i="17"/>
  <c r="AF49" i="17" s="1"/>
  <c r="L45" i="17"/>
  <c r="BA39" i="17"/>
  <c r="BB39" i="17" s="1"/>
  <c r="D100" i="17" s="1"/>
  <c r="E26" i="11"/>
  <c r="G26" i="11" s="1"/>
  <c r="I26" i="11" s="1"/>
  <c r="K26" i="11" s="1"/>
  <c r="M26" i="11" s="1"/>
  <c r="M20" i="15"/>
  <c r="N6" i="15"/>
  <c r="AQ308" i="17"/>
  <c r="AQ309" i="17" s="1"/>
  <c r="AQ314" i="17"/>
  <c r="AH247" i="17"/>
  <c r="AH248" i="17" s="1"/>
  <c r="AH253" i="17"/>
  <c r="BB334" i="17"/>
  <c r="D391" i="17"/>
  <c r="D395" i="17" s="1"/>
  <c r="AL232" i="17"/>
  <c r="AL253" i="17" s="1"/>
  <c r="G247" i="17"/>
  <c r="G248" i="17" s="1"/>
  <c r="G253" i="17"/>
  <c r="AS247" i="17"/>
  <c r="AS248" i="17" s="1"/>
  <c r="AS253" i="17"/>
  <c r="Z247" i="17"/>
  <c r="Z248" i="17" s="1"/>
  <c r="Z253" i="17"/>
  <c r="L28" i="11"/>
  <c r="Q24" i="11"/>
  <c r="L17" i="15"/>
  <c r="M17" i="15" s="1"/>
  <c r="BB321" i="17"/>
  <c r="BA325" i="17"/>
  <c r="W247" i="17"/>
  <c r="W248" i="17" s="1"/>
  <c r="W253" i="17"/>
  <c r="O247" i="17"/>
  <c r="O248" i="17" s="1"/>
  <c r="O253" i="17"/>
  <c r="N22" i="15"/>
  <c r="BB403" i="17"/>
  <c r="D420" i="17"/>
  <c r="D426" i="17" s="1"/>
  <c r="BB365" i="17"/>
  <c r="E248" i="17"/>
  <c r="AM247" i="17"/>
  <c r="AM248" i="17" s="1"/>
  <c r="AM253" i="17"/>
  <c r="AE247" i="17"/>
  <c r="AE248" i="17" s="1"/>
  <c r="AE253" i="17"/>
  <c r="P58" i="11"/>
  <c r="N28" i="11"/>
  <c r="E17" i="11"/>
  <c r="G17" i="11" s="1"/>
  <c r="I17" i="11" s="1"/>
  <c r="K17" i="11" s="1"/>
  <c r="M17" i="11" s="1"/>
  <c r="AD247" i="17"/>
  <c r="AD248" i="17" s="1"/>
  <c r="AD232" i="17"/>
  <c r="AD253" i="17" s="1"/>
  <c r="I39" i="11"/>
  <c r="K39" i="11" s="1"/>
  <c r="M39" i="11" s="1"/>
  <c r="J28" i="11"/>
  <c r="G30" i="15"/>
  <c r="BB391" i="17"/>
  <c r="BB395" i="17" s="1"/>
  <c r="BA264" i="17"/>
  <c r="T247" i="17"/>
  <c r="T248" i="17" s="1"/>
  <c r="T253" i="17"/>
  <c r="L247" i="17"/>
  <c r="L248" i="17" s="1"/>
  <c r="L253" i="17"/>
  <c r="F7" i="15"/>
  <c r="BB407" i="17"/>
  <c r="BB401" i="17"/>
  <c r="BB397" i="17"/>
  <c r="BB302" i="17"/>
  <c r="AJ247" i="17"/>
  <c r="AJ248" i="17" s="1"/>
  <c r="AJ253" i="17"/>
  <c r="AB247" i="17"/>
  <c r="AB248" i="17" s="1"/>
  <c r="AB253" i="17"/>
  <c r="S247" i="17"/>
  <c r="S248" i="17" s="1"/>
  <c r="S253" i="17"/>
  <c r="K247" i="17"/>
  <c r="K248" i="17" s="1"/>
  <c r="K253" i="17"/>
  <c r="F28" i="11"/>
  <c r="H28" i="11"/>
  <c r="BA411" i="17"/>
  <c r="BA413" i="17" s="1"/>
  <c r="BB400" i="17"/>
  <c r="I369" i="17"/>
  <c r="I370" i="17" s="1"/>
  <c r="AI253" i="17"/>
  <c r="AA247" i="17"/>
  <c r="AA248" i="17" s="1"/>
  <c r="AA253" i="17"/>
  <c r="R247" i="17"/>
  <c r="R248" i="17" s="1"/>
  <c r="R253" i="17"/>
  <c r="J247" i="17"/>
  <c r="J248" i="17" s="1"/>
  <c r="J253" i="17"/>
  <c r="BA348" i="17"/>
  <c r="BB348" i="17" s="1"/>
  <c r="D409" i="17" s="1"/>
  <c r="BB409" i="17" s="1"/>
  <c r="BA263" i="17"/>
  <c r="BB261" i="17"/>
  <c r="BA240" i="17"/>
  <c r="Z131" i="17"/>
  <c r="Z125" i="17"/>
  <c r="Z126" i="17" s="1"/>
  <c r="J125" i="17"/>
  <c r="J126" i="17" s="1"/>
  <c r="X70" i="17"/>
  <c r="X64" i="17"/>
  <c r="X65" i="17" s="1"/>
  <c r="N64" i="17"/>
  <c r="N65" i="17" s="1"/>
  <c r="N70" i="17"/>
  <c r="G70" i="17"/>
  <c r="G64" i="17"/>
  <c r="G65" i="17" s="1"/>
  <c r="BA237" i="17"/>
  <c r="AR192" i="17"/>
  <c r="AB192" i="17"/>
  <c r="AB186" i="17"/>
  <c r="AB187" i="17" s="1"/>
  <c r="T192" i="17"/>
  <c r="T186" i="17"/>
  <c r="T187" i="17" s="1"/>
  <c r="L192" i="17"/>
  <c r="L186" i="17"/>
  <c r="L187" i="17" s="1"/>
  <c r="V186" i="17"/>
  <c r="V187" i="17" s="1"/>
  <c r="V192" i="17"/>
  <c r="N186" i="17"/>
  <c r="N187" i="17" s="1"/>
  <c r="N192" i="17"/>
  <c r="F186" i="17"/>
  <c r="F192" i="17"/>
  <c r="W131" i="17"/>
  <c r="W125" i="17"/>
  <c r="W126" i="17" s="1"/>
  <c r="G131" i="17"/>
  <c r="G125" i="17"/>
  <c r="G126" i="17" s="1"/>
  <c r="BA224" i="17"/>
  <c r="AG192" i="17"/>
  <c r="AG186" i="17"/>
  <c r="AG187" i="17" s="1"/>
  <c r="AH192" i="17"/>
  <c r="AH186" i="17"/>
  <c r="AH187" i="17" s="1"/>
  <c r="Z192" i="17"/>
  <c r="Z186" i="17"/>
  <c r="Z187" i="17" s="1"/>
  <c r="R192" i="17"/>
  <c r="R186" i="17"/>
  <c r="R187" i="17" s="1"/>
  <c r="J192" i="17"/>
  <c r="J186" i="17"/>
  <c r="J187" i="17" s="1"/>
  <c r="D208" i="17"/>
  <c r="AG125" i="17"/>
  <c r="AG126" i="17" s="1"/>
  <c r="AG131" i="17"/>
  <c r="W70" i="17"/>
  <c r="AQ70" i="17"/>
  <c r="AQ64" i="17"/>
  <c r="AQ65" i="17" s="1"/>
  <c r="D101" i="17"/>
  <c r="BB101" i="17"/>
  <c r="BB162" i="17" s="1"/>
  <c r="D223" i="17" s="1"/>
  <c r="BB223" i="17" s="1"/>
  <c r="D284" i="17" s="1"/>
  <c r="BB284" i="17" s="1"/>
  <c r="BA238" i="17"/>
  <c r="AA192" i="17"/>
  <c r="AA186" i="17"/>
  <c r="AA187" i="17" s="1"/>
  <c r="S192" i="17"/>
  <c r="S186" i="17"/>
  <c r="S187" i="17" s="1"/>
  <c r="K192" i="17"/>
  <c r="K186" i="17"/>
  <c r="K187" i="17" s="1"/>
  <c r="V64" i="17"/>
  <c r="V65" i="17" s="1"/>
  <c r="V70" i="17"/>
  <c r="E325" i="17"/>
  <c r="AE192" i="17"/>
  <c r="AE186" i="17"/>
  <c r="AE187" i="17" s="1"/>
  <c r="BA142" i="17"/>
  <c r="BA121" i="17"/>
  <c r="BA110" i="17" s="1"/>
  <c r="BA334" i="17"/>
  <c r="BA225" i="17"/>
  <c r="BA203" i="17"/>
  <c r="D159" i="17"/>
  <c r="BD98" i="17"/>
  <c r="BB95" i="17"/>
  <c r="AI182" i="17"/>
  <c r="AI171" i="17" s="1"/>
  <c r="AC64" i="17"/>
  <c r="AC65" i="17" s="1"/>
  <c r="BA178" i="17"/>
  <c r="BB178" i="17" s="1"/>
  <c r="D239" i="17" s="1"/>
  <c r="L131" i="17"/>
  <c r="L125" i="17"/>
  <c r="L126" i="17" s="1"/>
  <c r="AN70" i="17"/>
  <c r="AN64" i="17"/>
  <c r="AN65" i="17" s="1"/>
  <c r="BA16" i="17"/>
  <c r="E20" i="17"/>
  <c r="AN171" i="17"/>
  <c r="AF171" i="17"/>
  <c r="AF192" i="17" s="1"/>
  <c r="X171" i="17"/>
  <c r="P171" i="17"/>
  <c r="H171" i="17"/>
  <c r="H192" i="17" s="1"/>
  <c r="BA41" i="17"/>
  <c r="BB41" i="17" s="1"/>
  <c r="D102" i="17" s="1"/>
  <c r="T45" i="17"/>
  <c r="T47" i="17" s="1"/>
  <c r="BA26" i="17"/>
  <c r="O106" i="17"/>
  <c r="O108" i="17" s="1"/>
  <c r="AQ108" i="17"/>
  <c r="AP70" i="17"/>
  <c r="AD64" i="17"/>
  <c r="AD65" i="17" s="1"/>
  <c r="BA176" i="17"/>
  <c r="BA161" i="17"/>
  <c r="AI121" i="17"/>
  <c r="AI110" i="17" s="1"/>
  <c r="AI131" i="17" s="1"/>
  <c r="AH121" i="17"/>
  <c r="AH110" i="17" s="1"/>
  <c r="AH131" i="17" s="1"/>
  <c r="P64" i="17"/>
  <c r="P65" i="17" s="1"/>
  <c r="BA54" i="17"/>
  <c r="H70" i="17"/>
  <c r="AA70" i="17"/>
  <c r="S64" i="17"/>
  <c r="S65" i="17" s="1"/>
  <c r="S70" i="17"/>
  <c r="K45" i="17"/>
  <c r="K47" i="17" s="1"/>
  <c r="AP203" i="17"/>
  <c r="AP230" i="17" s="1"/>
  <c r="AP247" i="17" s="1"/>
  <c r="AP248" i="17" s="1"/>
  <c r="Y131" i="17"/>
  <c r="BA90" i="17"/>
  <c r="E106" i="17"/>
  <c r="E108" i="17" s="1"/>
  <c r="AN108" i="17"/>
  <c r="AB64" i="17"/>
  <c r="AB65" i="17" s="1"/>
  <c r="AM45" i="17"/>
  <c r="AM47" i="17" s="1"/>
  <c r="E45" i="17"/>
  <c r="K131" i="17"/>
  <c r="AB106" i="17"/>
  <c r="AB108" i="17" s="1"/>
  <c r="M64" i="17"/>
  <c r="M65" i="17" s="1"/>
  <c r="F45" i="17"/>
  <c r="F47" i="17" s="1"/>
  <c r="Z47" i="17"/>
  <c r="R47" i="17"/>
  <c r="J47" i="17"/>
  <c r="O167" i="17"/>
  <c r="O169" i="17" s="1"/>
  <c r="BA151" i="17"/>
  <c r="BB116" i="17"/>
  <c r="D177" i="17" s="1"/>
  <c r="AF121" i="17"/>
  <c r="AI125" i="17"/>
  <c r="AI126" i="17" s="1"/>
  <c r="S125" i="17"/>
  <c r="S126" i="17" s="1"/>
  <c r="BA103" i="17"/>
  <c r="BB103" i="17" s="1"/>
  <c r="BB164" i="17" s="1"/>
  <c r="D225" i="17" s="1"/>
  <c r="AR106" i="17"/>
  <c r="AR108" i="17" s="1"/>
  <c r="BA99" i="17"/>
  <c r="BB99" i="17" s="1"/>
  <c r="BB160" i="17" s="1"/>
  <c r="D221" i="17" s="1"/>
  <c r="BB221" i="17" s="1"/>
  <c r="D282" i="17" s="1"/>
  <c r="AL108" i="17"/>
  <c r="U108" i="17"/>
  <c r="M108" i="17"/>
  <c r="D51" i="17"/>
  <c r="AL45" i="17"/>
  <c r="AL47" i="17" s="1"/>
  <c r="Q47" i="17"/>
  <c r="BA57" i="17"/>
  <c r="BB57" i="17" s="1"/>
  <c r="D118" i="17" s="1"/>
  <c r="SY71" i="13"/>
  <c r="SW74" i="13"/>
  <c r="SW76" i="13" s="1"/>
  <c r="SY64" i="13"/>
  <c r="SY67" i="13" s="1"/>
  <c r="SW67" i="13"/>
  <c r="OM34" i="13"/>
  <c r="OM35" i="13"/>
  <c r="SV96" i="13"/>
  <c r="SV98" i="13"/>
  <c r="SS85" i="13"/>
  <c r="SS102" i="13"/>
  <c r="PJ50" i="13"/>
  <c r="PL38" i="13"/>
  <c r="PL50" i="13" s="1"/>
  <c r="E27" i="11"/>
  <c r="G27" i="11" s="1"/>
  <c r="I27" i="11" s="1"/>
  <c r="K27" i="11" s="1"/>
  <c r="M27" i="11" s="1"/>
  <c r="O27" i="11" s="1"/>
  <c r="E16" i="11"/>
  <c r="G16" i="11" s="1"/>
  <c r="I16" i="11" s="1"/>
  <c r="K16" i="11" s="1"/>
  <c r="M16" i="11" s="1"/>
  <c r="SX92" i="13"/>
  <c r="SX94" i="13" s="1"/>
  <c r="SU100" i="13"/>
  <c r="G66" i="13"/>
  <c r="L65" i="13"/>
  <c r="L64" i="13"/>
  <c r="L66" i="13"/>
  <c r="KZ32" i="13"/>
  <c r="KZ33" i="13" s="1"/>
  <c r="RO29" i="13"/>
  <c r="RO31" i="13" s="1"/>
  <c r="C20" i="10"/>
  <c r="D20" i="10" s="1"/>
  <c r="ST78" i="13"/>
  <c r="ST80" i="13"/>
  <c r="F66" i="13"/>
  <c r="F67" i="13" s="1"/>
  <c r="F69" i="13" s="1"/>
  <c r="G65" i="13"/>
  <c r="G64" i="13"/>
  <c r="G67" i="13" s="1"/>
  <c r="G69" i="13" s="1"/>
  <c r="Q54" i="11"/>
  <c r="Q58" i="11" s="1"/>
  <c r="ST96" i="13"/>
  <c r="ST98" i="13"/>
  <c r="SU88" i="13"/>
  <c r="SS92" i="13"/>
  <c r="SS94" i="13" s="1"/>
  <c r="SW55" i="13"/>
  <c r="SY55" i="13" s="1"/>
  <c r="SY56" i="13" s="1"/>
  <c r="SY58" i="13" s="1"/>
  <c r="SU56" i="13"/>
  <c r="SU58" i="13" s="1"/>
  <c r="PH50" i="13"/>
  <c r="SV44" i="13"/>
  <c r="SV42" i="13"/>
  <c r="AD29" i="13"/>
  <c r="AB69" i="13"/>
  <c r="NN20" i="13"/>
  <c r="NM21" i="13"/>
  <c r="NN21" i="13" s="1"/>
  <c r="JP22" i="13"/>
  <c r="JO22" i="13" s="1"/>
  <c r="JO23" i="13" s="1"/>
  <c r="JP23" i="13"/>
  <c r="K63" i="11"/>
  <c r="L63" i="11" s="1"/>
  <c r="M63" i="11" s="1"/>
  <c r="A18" i="12"/>
  <c r="B18" i="12"/>
  <c r="C44" i="11"/>
  <c r="Q44" i="11"/>
  <c r="C19" i="11"/>
  <c r="SR98" i="13"/>
  <c r="SY74" i="13"/>
  <c r="SY76" i="13" s="1"/>
  <c r="PG53" i="13"/>
  <c r="PG52" i="13"/>
  <c r="GT34" i="13"/>
  <c r="GT36" i="13" s="1"/>
  <c r="NR31" i="13"/>
  <c r="NR30" i="13"/>
  <c r="SW31" i="13"/>
  <c r="NK21" i="13"/>
  <c r="NK22" i="13" s="1"/>
  <c r="Q70" i="13"/>
  <c r="Q71" i="13" s="1"/>
  <c r="HF36" i="13"/>
  <c r="HF34" i="13"/>
  <c r="SU74" i="13"/>
  <c r="SU76" i="13" s="1"/>
  <c r="SU67" i="13"/>
  <c r="D65" i="13"/>
  <c r="D64" i="13"/>
  <c r="D66" i="13"/>
  <c r="SW56" i="13"/>
  <c r="SW58" i="13" s="1"/>
  <c r="U44" i="13"/>
  <c r="V69" i="13"/>
  <c r="MJ25" i="13"/>
  <c r="MJ27" i="13" s="1"/>
  <c r="ML21" i="13"/>
  <c r="C58" i="11"/>
  <c r="D72" i="17" s="1"/>
  <c r="I64" i="13"/>
  <c r="I66" i="13"/>
  <c r="I65" i="13"/>
  <c r="PK52" i="13"/>
  <c r="PK53" i="13" s="1"/>
  <c r="PH24" i="13"/>
  <c r="PF27" i="13"/>
  <c r="PF35" i="13" s="1"/>
  <c r="RJ29" i="13"/>
  <c r="RJ31" i="13"/>
  <c r="C28" i="11"/>
  <c r="C45" i="11" s="1"/>
  <c r="SU84" i="13"/>
  <c r="SY82" i="13"/>
  <c r="SV78" i="13"/>
  <c r="SV80" i="13" s="1"/>
  <c r="J70" i="13"/>
  <c r="J71" i="13" s="1"/>
  <c r="N66" i="13"/>
  <c r="N67" i="13" s="1"/>
  <c r="N69" i="13" s="1"/>
  <c r="PF53" i="13"/>
  <c r="PF52" i="13"/>
  <c r="LA33" i="13"/>
  <c r="LA32" i="13"/>
  <c r="GF31" i="13"/>
  <c r="GF32" i="13" s="1"/>
  <c r="GH22" i="13"/>
  <c r="GJ22" i="13" s="1"/>
  <c r="GL22" i="13" s="1"/>
  <c r="EU25" i="13"/>
  <c r="EU27" i="13"/>
  <c r="G24" i="11"/>
  <c r="SX62" i="13"/>
  <c r="SS49" i="13"/>
  <c r="RK34" i="13"/>
  <c r="PJ33" i="13"/>
  <c r="OL34" i="13"/>
  <c r="OL35" i="13"/>
  <c r="KY33" i="13"/>
  <c r="KY32" i="13"/>
  <c r="UB34" i="13"/>
  <c r="SY28" i="13"/>
  <c r="SY31" i="13" s="1"/>
  <c r="PD35" i="13"/>
  <c r="CH32" i="14"/>
  <c r="CH44" i="14" s="1"/>
  <c r="CF44" i="14"/>
  <c r="SV62" i="13"/>
  <c r="SV60" i="13"/>
  <c r="PB44" i="13"/>
  <c r="PB50" i="13" s="1"/>
  <c r="PC41" i="13"/>
  <c r="PC44" i="13" s="1"/>
  <c r="OJ35" i="13"/>
  <c r="GG31" i="13"/>
  <c r="GG32" i="13" s="1"/>
  <c r="CB20" i="13"/>
  <c r="BZ20" i="13"/>
  <c r="LB29" i="13"/>
  <c r="LB31" i="13" s="1"/>
  <c r="BE43" i="14"/>
  <c r="BH43" i="14" s="1"/>
  <c r="TZ23" i="13"/>
  <c r="UA23" i="13" s="1"/>
  <c r="UB23" i="13" s="1"/>
  <c r="AM24" i="13"/>
  <c r="R71" i="13"/>
  <c r="SW46" i="13"/>
  <c r="SW100" i="13" s="1"/>
  <c r="SU49" i="13"/>
  <c r="OK35" i="13"/>
  <c r="PH33" i="13"/>
  <c r="NY24" i="13"/>
  <c r="NY26" i="13" s="1"/>
  <c r="NY29" i="13" s="1"/>
  <c r="FN20" i="13"/>
  <c r="FL23" i="13"/>
  <c r="EB20" i="13"/>
  <c r="ED20" i="13" s="1"/>
  <c r="EF20" i="13" s="1"/>
  <c r="EH20" i="13" s="1"/>
  <c r="EJ20" i="13" s="1"/>
  <c r="DZ21" i="13"/>
  <c r="B14" i="12"/>
  <c r="SR62" i="13"/>
  <c r="PD53" i="13"/>
  <c r="PE50" i="13"/>
  <c r="W61" i="13"/>
  <c r="X42" i="13"/>
  <c r="X36" i="13"/>
  <c r="Y36" i="13"/>
  <c r="Z36" i="13"/>
  <c r="AB36" i="13"/>
  <c r="M56" i="13"/>
  <c r="LG32" i="13"/>
  <c r="LG33" i="13" s="1"/>
  <c r="NV30" i="13"/>
  <c r="NV31" i="13"/>
  <c r="NT30" i="13"/>
  <c r="NT31" i="13"/>
  <c r="AF23" i="13"/>
  <c r="AD33" i="13"/>
  <c r="FB27" i="13"/>
  <c r="ND18" i="13"/>
  <c r="ND49" i="13" s="1"/>
  <c r="NF17" i="13"/>
  <c r="ND48" i="13"/>
  <c r="LZ17" i="13"/>
  <c r="GL17" i="13"/>
  <c r="GL26" i="13" s="1"/>
  <c r="GL29" i="13" s="1"/>
  <c r="U42" i="13"/>
  <c r="V33" i="13"/>
  <c r="V68" i="13"/>
  <c r="K56" i="13"/>
  <c r="SS38" i="13"/>
  <c r="SS40" i="13" s="1"/>
  <c r="SU34" i="13"/>
  <c r="LE33" i="13"/>
  <c r="LE32" i="13"/>
  <c r="KX33" i="13"/>
  <c r="EZ25" i="13"/>
  <c r="EZ27" i="13" s="1"/>
  <c r="AN23" i="13"/>
  <c r="AN24" i="13"/>
  <c r="AN22" i="13"/>
  <c r="IH18" i="13"/>
  <c r="IJ16" i="13"/>
  <c r="FT16" i="13"/>
  <c r="FT18" i="13" s="1"/>
  <c r="FR18" i="13"/>
  <c r="H66" i="13"/>
  <c r="H67" i="13" s="1"/>
  <c r="H69" i="13" s="1"/>
  <c r="W72" i="13"/>
  <c r="PC50" i="13"/>
  <c r="PI53" i="13"/>
  <c r="ST44" i="13"/>
  <c r="U38" i="13"/>
  <c r="AE36" i="13"/>
  <c r="LI32" i="13"/>
  <c r="LI33" i="13" s="1"/>
  <c r="MH35" i="13"/>
  <c r="MJ35" i="13" s="1"/>
  <c r="ML35" i="13" s="1"/>
  <c r="MN35" i="13" s="1"/>
  <c r="MP35" i="13" s="1"/>
  <c r="MR35" i="13" s="1"/>
  <c r="MH31" i="13"/>
  <c r="V28" i="13"/>
  <c r="W37" i="13"/>
  <c r="MQ29" i="13"/>
  <c r="MQ31" i="13" s="1"/>
  <c r="MQ34" i="13"/>
  <c r="MQ36" i="13" s="1"/>
  <c r="E37" i="13"/>
  <c r="E56" i="13" s="1"/>
  <c r="RH31" i="13"/>
  <c r="FP18" i="13"/>
  <c r="SY26" i="13"/>
  <c r="SY24" i="13"/>
  <c r="AD68" i="13"/>
  <c r="SD30" i="13"/>
  <c r="WV21" i="13"/>
  <c r="WK21" i="13"/>
  <c r="TL23" i="13"/>
  <c r="TL25" i="13"/>
  <c r="SC24" i="13"/>
  <c r="SC26" i="13" s="1"/>
  <c r="DJ21" i="13"/>
  <c r="DH22" i="13"/>
  <c r="OA24" i="13"/>
  <c r="OA26" i="13" s="1"/>
  <c r="OA29" i="13" s="1"/>
  <c r="LD18" i="13"/>
  <c r="BZ46" i="14"/>
  <c r="BZ47" i="14"/>
  <c r="AO22" i="13"/>
  <c r="AQ22" i="13"/>
  <c r="AR22" i="13"/>
  <c r="TK23" i="13"/>
  <c r="TK25" i="13"/>
  <c r="AP22" i="13"/>
  <c r="AP23" i="13"/>
  <c r="G4" i="15"/>
  <c r="MO34" i="13"/>
  <c r="MO36" i="13" s="1"/>
  <c r="AB33" i="13"/>
  <c r="HA26" i="13"/>
  <c r="AP24" i="13"/>
  <c r="RN25" i="13"/>
  <c r="RN27" i="13" s="1"/>
  <c r="GX23" i="13"/>
  <c r="GZ23" i="13" s="1"/>
  <c r="HB23" i="13" s="1"/>
  <c r="HD23" i="13" s="1"/>
  <c r="EY25" i="13"/>
  <c r="EY27" i="13" s="1"/>
  <c r="ND21" i="13"/>
  <c r="NB22" i="13"/>
  <c r="LT21" i="13"/>
  <c r="LR22" i="13"/>
  <c r="ES21" i="13"/>
  <c r="ES23" i="13" s="1"/>
  <c r="LL26" i="13"/>
  <c r="LL29" i="13" s="1"/>
  <c r="LL31" i="13" s="1"/>
  <c r="SG19" i="13"/>
  <c r="SG20" i="13" s="1"/>
  <c r="SG24" i="13" s="1"/>
  <c r="SG26" i="13" s="1"/>
  <c r="SE20" i="13"/>
  <c r="SE24" i="13" s="1"/>
  <c r="SE26" i="13" s="1"/>
  <c r="CV17" i="13"/>
  <c r="BL16" i="13"/>
  <c r="BJ20" i="13"/>
  <c r="BJ22" i="13" s="1"/>
  <c r="CR22" i="14"/>
  <c r="CS18" i="14"/>
  <c r="CS22" i="14" s="1"/>
  <c r="AB37" i="13"/>
  <c r="SA30" i="13"/>
  <c r="GE29" i="13"/>
  <c r="VA26" i="13"/>
  <c r="VA27" i="13"/>
  <c r="GX26" i="13"/>
  <c r="GV28" i="13"/>
  <c r="UB21" i="13"/>
  <c r="UB24" i="13" s="1"/>
  <c r="UB36" i="13" s="1"/>
  <c r="UA24" i="13"/>
  <c r="UA36" i="13" s="1"/>
  <c r="PJ21" i="13"/>
  <c r="ER25" i="13"/>
  <c r="ER27" i="13" s="1"/>
  <c r="SR26" i="13"/>
  <c r="SR24" i="13"/>
  <c r="TP18" i="13"/>
  <c r="TN21" i="13"/>
  <c r="BM46" i="14"/>
  <c r="BM48" i="14"/>
  <c r="BI22" i="14"/>
  <c r="BI33" i="14" s="1"/>
  <c r="BJ19" i="14"/>
  <c r="Z68" i="13"/>
  <c r="Z33" i="13"/>
  <c r="UZ26" i="13"/>
  <c r="UZ27" i="13" s="1"/>
  <c r="VD27" i="13"/>
  <c r="NC22" i="13"/>
  <c r="NC53" i="13" s="1"/>
  <c r="CR19" i="13"/>
  <c r="CP20" i="13"/>
  <c r="RL25" i="13"/>
  <c r="RL27" i="13" s="1"/>
  <c r="BH44" i="14"/>
  <c r="JQ23" i="13"/>
  <c r="JQ22" i="13"/>
  <c r="ED19" i="13"/>
  <c r="EB21" i="13"/>
  <c r="WB20" i="13"/>
  <c r="WB21" i="13" s="1"/>
  <c r="JX16" i="13"/>
  <c r="JX18" i="13" s="1"/>
  <c r="JX20" i="13" s="1"/>
  <c r="CB46" i="14"/>
  <c r="CB47" i="14"/>
  <c r="CD44" i="14"/>
  <c r="HT16" i="13"/>
  <c r="HR18" i="13"/>
  <c r="CA46" i="14"/>
  <c r="CA47" i="14" s="1"/>
  <c r="CF26" i="14"/>
  <c r="CD27" i="14"/>
  <c r="CT31" i="14"/>
  <c r="CT29" i="14"/>
  <c r="M14" i="15"/>
  <c r="QS18" i="13"/>
  <c r="QQ19" i="13"/>
  <c r="DR18" i="13"/>
  <c r="DR19" i="13" s="1"/>
  <c r="DP19" i="13"/>
  <c r="CJ46" i="14"/>
  <c r="CJ47" i="14" s="1"/>
  <c r="BX47" i="14"/>
  <c r="CQ29" i="14"/>
  <c r="CQ31" i="14" s="1"/>
  <c r="JB17" i="13"/>
  <c r="IZ19" i="13"/>
  <c r="EF16" i="13"/>
  <c r="ED17" i="13"/>
  <c r="CI46" i="14"/>
  <c r="CI47" i="14" s="1"/>
  <c r="BP29" i="14"/>
  <c r="BP31" i="14" s="1"/>
  <c r="BN31" i="14"/>
  <c r="BJ31" i="14"/>
  <c r="SS20" i="13"/>
  <c r="SS22" i="13" s="1"/>
  <c r="BL31" i="14"/>
  <c r="BJ40" i="14"/>
  <c r="BL40" i="14" s="1"/>
  <c r="BN40" i="14" s="1"/>
  <c r="BP40" i="14" s="1"/>
  <c r="BJ39" i="14"/>
  <c r="CU31" i="14"/>
  <c r="CV25" i="14"/>
  <c r="M26" i="15"/>
  <c r="M18" i="15"/>
  <c r="M10" i="15"/>
  <c r="BL36" i="14"/>
  <c r="CF17" i="14"/>
  <c r="CD22" i="14"/>
  <c r="CD28" i="14" s="1"/>
  <c r="M6" i="15"/>
  <c r="CG47" i="14"/>
  <c r="BY47" i="14"/>
  <c r="BK33" i="14"/>
  <c r="CR31" i="14"/>
  <c r="M42" i="15"/>
  <c r="E16" i="9"/>
  <c r="E18" i="9" s="1"/>
  <c r="E14" i="9"/>
  <c r="B14" i="9" s="1"/>
  <c r="A12" i="9"/>
  <c r="A13" i="9" s="1"/>
  <c r="A14" i="9" s="1"/>
  <c r="A15" i="9" s="1"/>
  <c r="A16" i="9" s="1"/>
  <c r="A17" i="9" s="1"/>
  <c r="A5" i="9"/>
  <c r="A4" i="9"/>
  <c r="O64" i="17" l="1"/>
  <c r="O65" i="17" s="1"/>
  <c r="O70" i="17"/>
  <c r="O308" i="17"/>
  <c r="O309" i="17" s="1"/>
  <c r="O314" i="17"/>
  <c r="AL186" i="17"/>
  <c r="AL187" i="17" s="1"/>
  <c r="AL192" i="17"/>
  <c r="S308" i="17"/>
  <c r="S309" i="17" s="1"/>
  <c r="S314" i="17"/>
  <c r="BB281" i="17"/>
  <c r="AN314" i="17"/>
  <c r="BB149" i="17"/>
  <c r="D210" i="17" s="1"/>
  <c r="BB210" i="17" s="1"/>
  <c r="D271" i="17" s="1"/>
  <c r="BB271" i="17" s="1"/>
  <c r="Y369" i="17"/>
  <c r="Y370" i="17" s="1"/>
  <c r="Y375" i="17"/>
  <c r="X375" i="17"/>
  <c r="X369" i="17"/>
  <c r="X370" i="17" s="1"/>
  <c r="BB239" i="17"/>
  <c r="D300" i="17" s="1"/>
  <c r="BB300" i="17" s="1"/>
  <c r="AC431" i="17"/>
  <c r="AK125" i="17"/>
  <c r="AK126" i="17" s="1"/>
  <c r="AK131" i="17"/>
  <c r="Q369" i="17"/>
  <c r="Q370" i="17" s="1"/>
  <c r="Q375" i="17"/>
  <c r="BD93" i="17"/>
  <c r="D154" i="17"/>
  <c r="AH308" i="17"/>
  <c r="AH309" i="17" s="1"/>
  <c r="AA125" i="17"/>
  <c r="AA126" i="17" s="1"/>
  <c r="BB141" i="17"/>
  <c r="D202" i="17" s="1"/>
  <c r="BB202" i="17" s="1"/>
  <c r="D263" i="17" s="1"/>
  <c r="AG375" i="17"/>
  <c r="AG369" i="17"/>
  <c r="AG370" i="17" s="1"/>
  <c r="AG253" i="17"/>
  <c r="BB96" i="17"/>
  <c r="D157" i="17" s="1"/>
  <c r="AJ125" i="17"/>
  <c r="AJ126" i="17" s="1"/>
  <c r="E47" i="17"/>
  <c r="R125" i="17"/>
  <c r="R126" i="17" s="1"/>
  <c r="AQ253" i="17"/>
  <c r="E308" i="17"/>
  <c r="Q253" i="17"/>
  <c r="L70" i="17"/>
  <c r="BB140" i="17"/>
  <c r="D201" i="17" s="1"/>
  <c r="BB201" i="17" s="1"/>
  <c r="D262" i="17" s="1"/>
  <c r="BB262" i="17" s="1"/>
  <c r="AG314" i="17"/>
  <c r="AI369" i="17"/>
  <c r="AI370" i="17" s="1"/>
  <c r="AI375" i="17"/>
  <c r="AR314" i="17"/>
  <c r="AR64" i="17"/>
  <c r="AR65" i="17" s="1"/>
  <c r="BB282" i="17"/>
  <c r="AI192" i="17"/>
  <c r="BA350" i="17"/>
  <c r="BA352" i="17" s="1"/>
  <c r="E352" i="17"/>
  <c r="E375" i="17" s="1"/>
  <c r="AJ186" i="17"/>
  <c r="AJ187" i="17" s="1"/>
  <c r="AR253" i="17"/>
  <c r="BB276" i="17"/>
  <c r="P125" i="17"/>
  <c r="P126" i="17" s="1"/>
  <c r="P131" i="17"/>
  <c r="K314" i="17"/>
  <c r="BB216" i="17"/>
  <c r="D277" i="17" s="1"/>
  <c r="BB277" i="17" s="1"/>
  <c r="K436" i="17"/>
  <c r="K430" i="17"/>
  <c r="K431" i="17" s="1"/>
  <c r="S375" i="17"/>
  <c r="S369" i="17"/>
  <c r="S370" i="17" s="1"/>
  <c r="U369" i="17"/>
  <c r="U370" i="17" s="1"/>
  <c r="U375" i="17"/>
  <c r="T125" i="17"/>
  <c r="T126" i="17" s="1"/>
  <c r="AQ186" i="17"/>
  <c r="AQ187" i="17" s="1"/>
  <c r="Q131" i="17"/>
  <c r="AK64" i="17"/>
  <c r="AK65" i="17" s="1"/>
  <c r="BB272" i="17"/>
  <c r="AF70" i="17"/>
  <c r="BB275" i="17"/>
  <c r="AA436" i="17"/>
  <c r="AA430" i="17"/>
  <c r="AA431" i="17" s="1"/>
  <c r="AN308" i="17"/>
  <c r="AN309" i="17" s="1"/>
  <c r="K375" i="17"/>
  <c r="K369" i="17"/>
  <c r="K370" i="17" s="1"/>
  <c r="E192" i="17"/>
  <c r="BD97" i="17"/>
  <c r="D158" i="17"/>
  <c r="U70" i="17"/>
  <c r="G192" i="17"/>
  <c r="G186" i="17"/>
  <c r="G187" i="17" s="1"/>
  <c r="W64" i="17"/>
  <c r="W65" i="17" s="1"/>
  <c r="F64" i="17"/>
  <c r="F65" i="17" s="1"/>
  <c r="F70" i="17"/>
  <c r="E131" i="17"/>
  <c r="E125" i="17"/>
  <c r="AN125" i="17"/>
  <c r="AN126" i="17" s="1"/>
  <c r="AN131" i="17"/>
  <c r="D40" i="15"/>
  <c r="O131" i="17"/>
  <c r="O125" i="17"/>
  <c r="O126" i="17" s="1"/>
  <c r="X192" i="17"/>
  <c r="K24" i="15"/>
  <c r="BB208" i="17"/>
  <c r="U131" i="17"/>
  <c r="U125" i="17"/>
  <c r="U126" i="17" s="1"/>
  <c r="D21" i="15"/>
  <c r="AF110" i="17"/>
  <c r="AF131" i="17" s="1"/>
  <c r="AF125" i="17"/>
  <c r="AF126" i="17" s="1"/>
  <c r="BD100" i="17"/>
  <c r="D161" i="17"/>
  <c r="BB225" i="17"/>
  <c r="D286" i="17" s="1"/>
  <c r="BB286" i="17" s="1"/>
  <c r="AI186" i="17"/>
  <c r="AI187" i="17" s="1"/>
  <c r="D163" i="17"/>
  <c r="BD102" i="17"/>
  <c r="AH125" i="17"/>
  <c r="AH126" i="17" s="1"/>
  <c r="Q64" i="17"/>
  <c r="Q65" i="17" s="1"/>
  <c r="Q70" i="17"/>
  <c r="AC131" i="17"/>
  <c r="AC125" i="17"/>
  <c r="AC126" i="17" s="1"/>
  <c r="AB131" i="17"/>
  <c r="AB125" i="17"/>
  <c r="AB126" i="17" s="1"/>
  <c r="BD95" i="17"/>
  <c r="D156" i="17"/>
  <c r="Y64" i="17"/>
  <c r="Y65" i="17" s="1"/>
  <c r="Y70" i="17"/>
  <c r="BD96" i="17"/>
  <c r="BB157" i="17"/>
  <c r="D218" i="17" s="1"/>
  <c r="BB218" i="17" s="1"/>
  <c r="D279" i="17" s="1"/>
  <c r="BB279" i="17" s="1"/>
  <c r="BB161" i="17"/>
  <c r="D222" i="17" s="1"/>
  <c r="BB222" i="17" s="1"/>
  <c r="D283" i="17" s="1"/>
  <c r="BB283" i="17" s="1"/>
  <c r="BB26" i="17"/>
  <c r="BA29" i="17"/>
  <c r="E70" i="17"/>
  <c r="E64" i="17"/>
  <c r="BB118" i="17"/>
  <c r="F187" i="17"/>
  <c r="BB411" i="17"/>
  <c r="E309" i="17"/>
  <c r="M131" i="17"/>
  <c r="M125" i="17"/>
  <c r="M126" i="17" s="1"/>
  <c r="O192" i="17"/>
  <c r="O186" i="17"/>
  <c r="O187" i="17" s="1"/>
  <c r="BA182" i="17"/>
  <c r="BA171" i="17" s="1"/>
  <c r="T64" i="17"/>
  <c r="T65" i="17" s="1"/>
  <c r="T70" i="17"/>
  <c r="BB16" i="17"/>
  <c r="BA20" i="17"/>
  <c r="BB156" i="17"/>
  <c r="D217" i="17" s="1"/>
  <c r="BB217" i="17" s="1"/>
  <c r="D278" i="17" s="1"/>
  <c r="BB278" i="17" s="1"/>
  <c r="BB325" i="17"/>
  <c r="D382" i="17"/>
  <c r="D411" i="17"/>
  <c r="D160" i="17"/>
  <c r="BD99" i="17"/>
  <c r="AR125" i="17"/>
  <c r="AR126" i="17" s="1"/>
  <c r="AR131" i="17"/>
  <c r="J64" i="17"/>
  <c r="J65" i="17" s="1"/>
  <c r="J70" i="17"/>
  <c r="BB177" i="17"/>
  <c r="D238" i="17" s="1"/>
  <c r="BB238" i="17" s="1"/>
  <c r="D299" i="17" s="1"/>
  <c r="BB299" i="17" s="1"/>
  <c r="BB350" i="17"/>
  <c r="AL64" i="17"/>
  <c r="AL65" i="17" s="1"/>
  <c r="AL70" i="17"/>
  <c r="BD103" i="17"/>
  <c r="D164" i="17"/>
  <c r="R64" i="17"/>
  <c r="R65" i="17" s="1"/>
  <c r="R70" i="17"/>
  <c r="AM64" i="17"/>
  <c r="AM65" i="17" s="1"/>
  <c r="AM70" i="17"/>
  <c r="BA60" i="17"/>
  <c r="BA49" i="17" s="1"/>
  <c r="BB54" i="17"/>
  <c r="BD101" i="17"/>
  <c r="D162" i="17"/>
  <c r="BB163" i="17"/>
  <c r="D224" i="17" s="1"/>
  <c r="BB224" i="17" s="1"/>
  <c r="D285" i="17" s="1"/>
  <c r="BB285" i="17" s="1"/>
  <c r="BA243" i="17"/>
  <c r="BA232" i="17" s="1"/>
  <c r="AP253" i="17"/>
  <c r="BB354" i="17"/>
  <c r="BB377" i="17"/>
  <c r="O85" i="11"/>
  <c r="BB420" i="17"/>
  <c r="BB426" i="17" s="1"/>
  <c r="BB415" i="17" s="1"/>
  <c r="AL125" i="17"/>
  <c r="AL126" i="17" s="1"/>
  <c r="AL131" i="17"/>
  <c r="Z64" i="17"/>
  <c r="Z65" i="17" s="1"/>
  <c r="Z70" i="17"/>
  <c r="C26" i="15"/>
  <c r="K64" i="17"/>
  <c r="K65" i="17" s="1"/>
  <c r="K70" i="17"/>
  <c r="AQ125" i="17"/>
  <c r="AQ126" i="17" s="1"/>
  <c r="AQ131" i="17"/>
  <c r="P192" i="17"/>
  <c r="K16" i="15"/>
  <c r="M16" i="15" s="1"/>
  <c r="BB263" i="17"/>
  <c r="D415" i="17"/>
  <c r="D438" i="17"/>
  <c r="N70" i="13"/>
  <c r="N71" i="13" s="1"/>
  <c r="G70" i="13"/>
  <c r="G71" i="13" s="1"/>
  <c r="SV100" i="13"/>
  <c r="SY60" i="13"/>
  <c r="SY62" i="13"/>
  <c r="SU38" i="13"/>
  <c r="SU40" i="13" s="1"/>
  <c r="SW34" i="13"/>
  <c r="NY30" i="13"/>
  <c r="NY31" i="13"/>
  <c r="PH52" i="13"/>
  <c r="PH53" i="13" s="1"/>
  <c r="IZ22" i="13"/>
  <c r="IZ21" i="13"/>
  <c r="CD46" i="14"/>
  <c r="CD47" i="14"/>
  <c r="BM49" i="14"/>
  <c r="ND22" i="13"/>
  <c r="HC26" i="13"/>
  <c r="HC28" i="13" s="1"/>
  <c r="HA28" i="13"/>
  <c r="AP25" i="13"/>
  <c r="AP27" i="13" s="1"/>
  <c r="LF18" i="13"/>
  <c r="LD26" i="13"/>
  <c r="LD29" i="13" s="1"/>
  <c r="LD31" i="13" s="1"/>
  <c r="E66" i="13"/>
  <c r="E65" i="13"/>
  <c r="E64" i="13"/>
  <c r="E67" i="13" s="1"/>
  <c r="E69" i="13" s="1"/>
  <c r="MH36" i="13"/>
  <c r="K65" i="13"/>
  <c r="K66" i="13"/>
  <c r="K64" i="13"/>
  <c r="K67" i="13" s="1"/>
  <c r="K69" i="13"/>
  <c r="Y39" i="13"/>
  <c r="Y63" i="13" s="1"/>
  <c r="CH46" i="14"/>
  <c r="CH47" i="14"/>
  <c r="NM22" i="13"/>
  <c r="NN22" i="13" s="1"/>
  <c r="SU60" i="13"/>
  <c r="SU62" i="13"/>
  <c r="F70" i="13"/>
  <c r="F71" i="13" s="1"/>
  <c r="PJ52" i="13"/>
  <c r="PJ53" i="13" s="1"/>
  <c r="SW78" i="13"/>
  <c r="SW80" i="13"/>
  <c r="RN29" i="13"/>
  <c r="RN31" i="13"/>
  <c r="LV21" i="13"/>
  <c r="LT22" i="13"/>
  <c r="SS42" i="13"/>
  <c r="SS44" i="13"/>
  <c r="GE31" i="13"/>
  <c r="GE32" i="13" s="1"/>
  <c r="V70" i="13"/>
  <c r="NH17" i="13"/>
  <c r="NF18" i="13"/>
  <c r="NF49" i="13" s="1"/>
  <c r="NF48" i="13"/>
  <c r="BI43" i="14"/>
  <c r="BI44" i="14" s="1"/>
  <c r="RK36" i="13"/>
  <c r="RM34" i="13"/>
  <c r="I67" i="13"/>
  <c r="I69" i="13" s="1"/>
  <c r="SW60" i="13"/>
  <c r="SW62" i="13" s="1"/>
  <c r="ST100" i="13"/>
  <c r="ST103" i="13" s="1"/>
  <c r="SR102" i="13"/>
  <c r="SR103" i="13" s="1"/>
  <c r="SS103" i="13"/>
  <c r="H70" i="13"/>
  <c r="H71" i="13" s="1"/>
  <c r="CF46" i="14"/>
  <c r="CF47" i="14" s="1"/>
  <c r="PL52" i="13"/>
  <c r="PL53" i="13"/>
  <c r="CX25" i="14"/>
  <c r="CV27" i="14"/>
  <c r="CX17" i="13"/>
  <c r="QU18" i="13"/>
  <c r="QS19" i="13"/>
  <c r="BH48" i="14"/>
  <c r="BH46" i="14"/>
  <c r="BH49" i="14" s="1"/>
  <c r="TN23" i="13"/>
  <c r="TN25" i="13"/>
  <c r="UA37" i="13"/>
  <c r="UA38" i="13" s="1"/>
  <c r="SE28" i="13"/>
  <c r="SE30" i="13" s="1"/>
  <c r="Z38" i="13"/>
  <c r="AA38" i="13"/>
  <c r="AA39" i="13" s="1"/>
  <c r="AA63" i="13" s="1"/>
  <c r="AB38" i="13"/>
  <c r="V38" i="13"/>
  <c r="V77" i="13" s="1"/>
  <c r="AD38" i="13"/>
  <c r="W38" i="13"/>
  <c r="W77" i="13" s="1"/>
  <c r="X38" i="13"/>
  <c r="X39" i="13" s="1"/>
  <c r="X63" i="13" s="1"/>
  <c r="Y38" i="13"/>
  <c r="AC38" i="13"/>
  <c r="AC39" i="13" s="1"/>
  <c r="AC63" i="13" s="1"/>
  <c r="AE38" i="13"/>
  <c r="AE39" i="13" s="1"/>
  <c r="AE63" i="13" s="1"/>
  <c r="IJ18" i="13"/>
  <c r="IL16" i="13"/>
  <c r="LB32" i="13"/>
  <c r="LB33" i="13" s="1"/>
  <c r="SY78" i="13"/>
  <c r="SY80" i="13"/>
  <c r="SX96" i="13"/>
  <c r="SX98" i="13" s="1"/>
  <c r="AB39" i="13"/>
  <c r="BL20" i="13"/>
  <c r="BL22" i="13" s="1"/>
  <c r="BN16" i="13"/>
  <c r="Z39" i="13"/>
  <c r="CF27" i="14"/>
  <c r="CH26" i="14"/>
  <c r="CH27" i="14" s="1"/>
  <c r="NF21" i="13"/>
  <c r="ND52" i="13"/>
  <c r="RL29" i="13"/>
  <c r="RL31" i="13"/>
  <c r="TR18" i="13"/>
  <c r="TR21" i="13" s="1"/>
  <c r="TP21" i="13"/>
  <c r="PB52" i="13"/>
  <c r="PB53" i="13"/>
  <c r="LP23" i="13"/>
  <c r="C85" i="11"/>
  <c r="EH16" i="13"/>
  <c r="EF17" i="13"/>
  <c r="EF19" i="13"/>
  <c r="ED21" i="13"/>
  <c r="AR24" i="13"/>
  <c r="AR76" i="13" s="1"/>
  <c r="AO24" i="13"/>
  <c r="AQ24" i="13"/>
  <c r="AQ76" i="13" s="1"/>
  <c r="SU78" i="13"/>
  <c r="SU80" i="13"/>
  <c r="OA30" i="13"/>
  <c r="OA31" i="13" s="1"/>
  <c r="BL39" i="14"/>
  <c r="JX22" i="13"/>
  <c r="JX23" i="13"/>
  <c r="UB37" i="13"/>
  <c r="UB38" i="13"/>
  <c r="SG28" i="13"/>
  <c r="SG30" i="13"/>
  <c r="AR74" i="13"/>
  <c r="W76" i="13"/>
  <c r="IH20" i="13"/>
  <c r="IH21" i="13"/>
  <c r="X61" i="13"/>
  <c r="Z42" i="13"/>
  <c r="CH17" i="14"/>
  <c r="CH22" i="14" s="1"/>
  <c r="CH28" i="14" s="1"/>
  <c r="CF22" i="14"/>
  <c r="CF28" i="14" s="1"/>
  <c r="BL19" i="14"/>
  <c r="BJ22" i="14"/>
  <c r="BJ33" i="14" s="1"/>
  <c r="LL32" i="13"/>
  <c r="LL33" i="13"/>
  <c r="AQ74" i="13"/>
  <c r="DL21" i="13"/>
  <c r="DJ22" i="13"/>
  <c r="V36" i="13"/>
  <c r="V37" i="13"/>
  <c r="V76" i="13" s="1"/>
  <c r="U60" i="13"/>
  <c r="GH26" i="13"/>
  <c r="GH29" i="13" s="1"/>
  <c r="GJ26" i="13"/>
  <c r="GJ29" i="13" s="1"/>
  <c r="SY100" i="13"/>
  <c r="PJ24" i="13"/>
  <c r="PH27" i="13"/>
  <c r="PH35" i="13" s="1"/>
  <c r="MN21" i="13"/>
  <c r="ML25" i="13"/>
  <c r="ML27" i="13" s="1"/>
  <c r="D67" i="13"/>
  <c r="D69" i="13" s="1"/>
  <c r="A19" i="12"/>
  <c r="A20" i="12" s="1"/>
  <c r="B20" i="12"/>
  <c r="AF29" i="13"/>
  <c r="AF33" i="13" s="1"/>
  <c r="AD37" i="13"/>
  <c r="AD69" i="13"/>
  <c r="AD36" i="13"/>
  <c r="AD39" i="13" s="1"/>
  <c r="SS98" i="13"/>
  <c r="SS96" i="13"/>
  <c r="L67" i="13"/>
  <c r="L69" i="13" s="1"/>
  <c r="O28" i="11"/>
  <c r="O45" i="11" s="1"/>
  <c r="O47" i="11" s="1"/>
  <c r="Q27" i="11"/>
  <c r="Q28" i="11" s="1"/>
  <c r="Q45" i="11" s="1"/>
  <c r="GZ26" i="13"/>
  <c r="GX28" i="13"/>
  <c r="GW28" i="13" s="1"/>
  <c r="GW30" i="13" s="1"/>
  <c r="SS26" i="13"/>
  <c r="SS24" i="13"/>
  <c r="JD17" i="13"/>
  <c r="JB19" i="13"/>
  <c r="BN36" i="14"/>
  <c r="HV16" i="13"/>
  <c r="HV18" i="13" s="1"/>
  <c r="HT18" i="13"/>
  <c r="CT19" i="13"/>
  <c r="CR20" i="13"/>
  <c r="GU28" i="13"/>
  <c r="GU30" i="13" s="1"/>
  <c r="GU32" i="13" s="1"/>
  <c r="GV30" i="13"/>
  <c r="ES25" i="13"/>
  <c r="ES27" i="13" s="1"/>
  <c r="AO25" i="13"/>
  <c r="AO27" i="13" s="1"/>
  <c r="SC28" i="13"/>
  <c r="SC30" i="13"/>
  <c r="PC52" i="13"/>
  <c r="PC53" i="13"/>
  <c r="AN25" i="13"/>
  <c r="AN27" i="13" s="1"/>
  <c r="GL31" i="13"/>
  <c r="GL32" i="13"/>
  <c r="M66" i="13"/>
  <c r="M65" i="13"/>
  <c r="M64" i="13"/>
  <c r="M67" i="13" s="1"/>
  <c r="M69" i="13" s="1"/>
  <c r="PE52" i="13"/>
  <c r="PE53" i="13" s="1"/>
  <c r="FN23" i="13"/>
  <c r="FP20" i="13"/>
  <c r="SY46" i="13"/>
  <c r="SY49" i="13" s="1"/>
  <c r="SW49" i="13"/>
  <c r="I24" i="11"/>
  <c r="SW84" i="13"/>
  <c r="SU85" i="13"/>
  <c r="SU102" i="13"/>
  <c r="ST102" i="13" s="1"/>
  <c r="MJ29" i="13"/>
  <c r="MJ31" i="13" s="1"/>
  <c r="MJ34" i="13"/>
  <c r="MJ36" i="13" s="1"/>
  <c r="C47" i="11"/>
  <c r="D71" i="17" s="1"/>
  <c r="SW88" i="13"/>
  <c r="SU92" i="13"/>
  <c r="SU94" i="13" s="1"/>
  <c r="B18" i="9"/>
  <c r="A18" i="9"/>
  <c r="E20" i="9"/>
  <c r="E369" i="17" l="1"/>
  <c r="BA430" i="17"/>
  <c r="BA431" i="17" s="1"/>
  <c r="D269" i="17"/>
  <c r="D87" i="17"/>
  <c r="D90" i="17" s="1"/>
  <c r="BB87" i="17"/>
  <c r="BB29" i="17"/>
  <c r="BB438" i="17"/>
  <c r="BB382" i="17"/>
  <c r="BB386" i="17" s="1"/>
  <c r="BB413" i="17" s="1"/>
  <c r="BB430" i="17" s="1"/>
  <c r="BB431" i="17" s="1"/>
  <c r="BB433" i="17" s="1"/>
  <c r="D386" i="17"/>
  <c r="D413" i="17" s="1"/>
  <c r="BA369" i="17"/>
  <c r="BA370" i="17" s="1"/>
  <c r="E370" i="17"/>
  <c r="BB60" i="17"/>
  <c r="BB49" i="17" s="1"/>
  <c r="D115" i="17"/>
  <c r="D121" i="17" s="1"/>
  <c r="D110" i="17" s="1"/>
  <c r="BB115" i="17"/>
  <c r="BB352" i="17"/>
  <c r="BB369" i="17" s="1"/>
  <c r="BB370" i="17" s="1"/>
  <c r="BB372" i="17" s="1"/>
  <c r="E126" i="17"/>
  <c r="O62" i="11"/>
  <c r="D437" i="17"/>
  <c r="D179" i="17"/>
  <c r="BB179" i="17"/>
  <c r="D240" i="17" s="1"/>
  <c r="BB240" i="17" s="1"/>
  <c r="D301" i="17" s="1"/>
  <c r="BB301" i="17" s="1"/>
  <c r="D77" i="17"/>
  <c r="D81" i="17" s="1"/>
  <c r="BB20" i="17"/>
  <c r="BB77" i="17"/>
  <c r="E65" i="17"/>
  <c r="E70" i="13"/>
  <c r="E71" i="13"/>
  <c r="AE64" i="13"/>
  <c r="AE65" i="13"/>
  <c r="X64" i="13"/>
  <c r="X65" i="13"/>
  <c r="M70" i="13"/>
  <c r="M71" i="13"/>
  <c r="ML29" i="13"/>
  <c r="ML31" i="13"/>
  <c r="ML34" i="13"/>
  <c r="ML36" i="13" s="1"/>
  <c r="MP21" i="13"/>
  <c r="MN25" i="13"/>
  <c r="MN27" i="13" s="1"/>
  <c r="EJ16" i="13"/>
  <c r="EJ17" i="13" s="1"/>
  <c r="EH17" i="13"/>
  <c r="QW18" i="13"/>
  <c r="QW19" i="13" s="1"/>
  <c r="QU19" i="13"/>
  <c r="SU103" i="13"/>
  <c r="V73" i="13"/>
  <c r="V39" i="13"/>
  <c r="V63" i="13" s="1"/>
  <c r="W39" i="13"/>
  <c r="W63" i="13" s="1"/>
  <c r="IL18" i="13"/>
  <c r="IN16" i="13"/>
  <c r="IN18" i="13" s="1"/>
  <c r="NF22" i="13"/>
  <c r="ND53" i="13"/>
  <c r="BP36" i="14"/>
  <c r="SY84" i="13"/>
  <c r="SW102" i="13"/>
  <c r="SW85" i="13"/>
  <c r="GX30" i="13"/>
  <c r="GV32" i="13"/>
  <c r="GZ28" i="13"/>
  <c r="HB26" i="13"/>
  <c r="PL24" i="13"/>
  <c r="PL27" i="13" s="1"/>
  <c r="PL35" i="13" s="1"/>
  <c r="PJ27" i="13"/>
  <c r="PJ35" i="13" s="1"/>
  <c r="BL22" i="14"/>
  <c r="BL33" i="14" s="1"/>
  <c r="BN19" i="14"/>
  <c r="NH21" i="13"/>
  <c r="NF52" i="13"/>
  <c r="IJ20" i="13"/>
  <c r="IJ21" i="13"/>
  <c r="CZ17" i="13"/>
  <c r="NH18" i="13"/>
  <c r="NH49" i="13" s="1"/>
  <c r="NJ17" i="13"/>
  <c r="NH48" i="13"/>
  <c r="Y64" i="13"/>
  <c r="Y65" i="13" s="1"/>
  <c r="DN21" i="13"/>
  <c r="DL22" i="13"/>
  <c r="BN39" i="14"/>
  <c r="AF38" i="13"/>
  <c r="CV29" i="14"/>
  <c r="CV31" i="14" s="1"/>
  <c r="AF69" i="13"/>
  <c r="I70" i="13"/>
  <c r="I71" i="13" s="1"/>
  <c r="LX21" i="13"/>
  <c r="LV22" i="13"/>
  <c r="K70" i="13"/>
  <c r="K71" i="13" s="1"/>
  <c r="AO29" i="13"/>
  <c r="AO30" i="13"/>
  <c r="AR25" i="13"/>
  <c r="AA65" i="13"/>
  <c r="AA64" i="13"/>
  <c r="CX27" i="14"/>
  <c r="CZ25" i="14"/>
  <c r="CZ27" i="14" s="1"/>
  <c r="RO34" i="13"/>
  <c r="RO36" i="13" s="1"/>
  <c r="RM36" i="13"/>
  <c r="LD32" i="13"/>
  <c r="LD33" i="13"/>
  <c r="BI48" i="14"/>
  <c r="BI46" i="14"/>
  <c r="SU96" i="13"/>
  <c r="SU98" i="13"/>
  <c r="AN29" i="13"/>
  <c r="AN30" i="13"/>
  <c r="SW92" i="13"/>
  <c r="SW94" i="13" s="1"/>
  <c r="SY88" i="13"/>
  <c r="SY92" i="13" s="1"/>
  <c r="SY94" i="13" s="1"/>
  <c r="C49" i="11"/>
  <c r="C84" i="11"/>
  <c r="C62" i="11"/>
  <c r="C65" i="11" s="1"/>
  <c r="JB21" i="13"/>
  <c r="JB22" i="13"/>
  <c r="SX100" i="13"/>
  <c r="L70" i="13"/>
  <c r="L71" i="13"/>
  <c r="GJ31" i="13"/>
  <c r="GJ32" i="13"/>
  <c r="AQ25" i="13"/>
  <c r="Z61" i="13"/>
  <c r="Z63" i="13" s="1"/>
  <c r="AB42" i="13"/>
  <c r="TP23" i="13"/>
  <c r="TP25" i="13" s="1"/>
  <c r="AC65" i="13"/>
  <c r="AC64" i="13"/>
  <c r="LH18" i="13"/>
  <c r="LH26" i="13" s="1"/>
  <c r="LH29" i="13" s="1"/>
  <c r="LH31" i="13" s="1"/>
  <c r="LF26" i="13"/>
  <c r="LF29" i="13" s="1"/>
  <c r="LF31" i="13" s="1"/>
  <c r="SW38" i="13"/>
  <c r="SW40" i="13" s="1"/>
  <c r="SY34" i="13"/>
  <c r="SY38" i="13" s="1"/>
  <c r="SY40" i="13" s="1"/>
  <c r="FR20" i="13"/>
  <c r="FP23" i="13"/>
  <c r="GW32" i="13"/>
  <c r="GY30" i="13"/>
  <c r="K24" i="11"/>
  <c r="GU34" i="13"/>
  <c r="GU36" i="13"/>
  <c r="AF37" i="13"/>
  <c r="AF36" i="13"/>
  <c r="AF39" i="13" s="1"/>
  <c r="CV19" i="13"/>
  <c r="CT20" i="13"/>
  <c r="JF17" i="13"/>
  <c r="JF19" i="13" s="1"/>
  <c r="JD19" i="13"/>
  <c r="D70" i="13"/>
  <c r="D71" i="13"/>
  <c r="GH31" i="13"/>
  <c r="GH32" i="13" s="1"/>
  <c r="EH19" i="13"/>
  <c r="EF21" i="13"/>
  <c r="TR23" i="13"/>
  <c r="TR25" i="13"/>
  <c r="BP16" i="13"/>
  <c r="BP20" i="13" s="1"/>
  <c r="BP22" i="13" s="1"/>
  <c r="BN20" i="13"/>
  <c r="BN22" i="13" s="1"/>
  <c r="BJ43" i="14"/>
  <c r="AP29" i="13"/>
  <c r="AP30" i="13"/>
  <c r="SU42" i="13"/>
  <c r="SU44" i="13" s="1"/>
  <c r="A19" i="9"/>
  <c r="A20" i="9" s="1"/>
  <c r="BB121" i="17" l="1"/>
  <c r="BB110" i="17" s="1"/>
  <c r="D176" i="17"/>
  <c r="D182" i="17" s="1"/>
  <c r="D171" i="17" s="1"/>
  <c r="BB176" i="17"/>
  <c r="D148" i="17"/>
  <c r="D151" i="17" s="1"/>
  <c r="BB148" i="17"/>
  <c r="BB90" i="17"/>
  <c r="BB81" i="17"/>
  <c r="D138" i="17"/>
  <c r="D142" i="17" s="1"/>
  <c r="BB138" i="17"/>
  <c r="BB269" i="17"/>
  <c r="BB376" i="17"/>
  <c r="D430" i="17"/>
  <c r="D431" i="17" s="1"/>
  <c r="D417" i="17"/>
  <c r="Z64" i="13"/>
  <c r="Z65" i="13" s="1"/>
  <c r="W64" i="13"/>
  <c r="W78" i="13" s="1"/>
  <c r="W79" i="13" s="1"/>
  <c r="W65" i="13"/>
  <c r="SY96" i="13"/>
  <c r="SY98" i="13"/>
  <c r="HD26" i="13"/>
  <c r="HD28" i="13" s="1"/>
  <c r="HB28" i="13"/>
  <c r="BL43" i="14"/>
  <c r="BJ44" i="14"/>
  <c r="V79" i="13"/>
  <c r="EH21" i="13"/>
  <c r="EJ19" i="13"/>
  <c r="EJ21" i="13" s="1"/>
  <c r="DN22" i="13"/>
  <c r="DP21" i="13"/>
  <c r="SY42" i="13"/>
  <c r="SY44" i="13" s="1"/>
  <c r="GV34" i="13"/>
  <c r="GV36" i="13" s="1"/>
  <c r="CX19" i="13"/>
  <c r="CV20" i="13"/>
  <c r="V64" i="13"/>
  <c r="V78" i="13" s="1"/>
  <c r="V65" i="13"/>
  <c r="SW96" i="13"/>
  <c r="SW98" i="13"/>
  <c r="SW42" i="13"/>
  <c r="SW44" i="13" s="1"/>
  <c r="NJ21" i="13"/>
  <c r="NJ52" i="13" s="1"/>
  <c r="NH52" i="13"/>
  <c r="GX32" i="13"/>
  <c r="GZ30" i="13"/>
  <c r="GW34" i="13"/>
  <c r="GW36" i="13" s="1"/>
  <c r="MR21" i="13"/>
  <c r="MR25" i="13" s="1"/>
  <c r="MR27" i="13" s="1"/>
  <c r="MP25" i="13"/>
  <c r="MP27" i="13" s="1"/>
  <c r="FT20" i="13"/>
  <c r="FT23" i="13" s="1"/>
  <c r="FR23" i="13"/>
  <c r="LF32" i="13"/>
  <c r="LF33" i="13" s="1"/>
  <c r="NJ18" i="13"/>
  <c r="NJ49" i="13" s="1"/>
  <c r="NJ48" i="13"/>
  <c r="BP19" i="14"/>
  <c r="BP22" i="14" s="1"/>
  <c r="BP33" i="14" s="1"/>
  <c r="BN22" i="14"/>
  <c r="BN33" i="14" s="1"/>
  <c r="NH22" i="13"/>
  <c r="NF53" i="13"/>
  <c r="MN29" i="13"/>
  <c r="MN34" i="13"/>
  <c r="MN36" i="13" s="1"/>
  <c r="MN31" i="13"/>
  <c r="AR27" i="13"/>
  <c r="AR77" i="13"/>
  <c r="AB61" i="13"/>
  <c r="AB63" i="13" s="1"/>
  <c r="AD42" i="13"/>
  <c r="JD21" i="13"/>
  <c r="JD22" i="13" s="1"/>
  <c r="CZ29" i="14"/>
  <c r="CZ31" i="14" s="1"/>
  <c r="JF21" i="13"/>
  <c r="JF22" i="13" s="1"/>
  <c r="M24" i="11"/>
  <c r="BP39" i="14"/>
  <c r="SV102" i="13"/>
  <c r="SV103" i="13" s="1"/>
  <c r="SW103" i="13"/>
  <c r="IN20" i="13"/>
  <c r="IN21" i="13" s="1"/>
  <c r="AQ27" i="13"/>
  <c r="AQ77" i="13"/>
  <c r="LH32" i="13"/>
  <c r="LH33" i="13"/>
  <c r="CX29" i="14"/>
  <c r="CX31" i="14"/>
  <c r="GY32" i="13"/>
  <c r="HA30" i="13"/>
  <c r="BI49" i="14"/>
  <c r="LZ21" i="13"/>
  <c r="LZ22" i="13" s="1"/>
  <c r="LX22" i="13"/>
  <c r="SY102" i="13"/>
  <c r="SY85" i="13"/>
  <c r="IL20" i="13"/>
  <c r="IL21" i="13" s="1"/>
  <c r="B20" i="9"/>
  <c r="BB142" i="17" l="1"/>
  <c r="D199" i="17"/>
  <c r="D209" i="17"/>
  <c r="BB151" i="17"/>
  <c r="BB182" i="17"/>
  <c r="BB171" i="17" s="1"/>
  <c r="D237" i="17"/>
  <c r="AQ29" i="13"/>
  <c r="AQ81" i="13" s="1"/>
  <c r="AQ79" i="13"/>
  <c r="GY34" i="13"/>
  <c r="GY36" i="13"/>
  <c r="MR29" i="13"/>
  <c r="MR31" i="13"/>
  <c r="MR34" i="13"/>
  <c r="MR36" i="13" s="1"/>
  <c r="CZ19" i="13"/>
  <c r="CZ20" i="13" s="1"/>
  <c r="CX20" i="13"/>
  <c r="AF42" i="13"/>
  <c r="AF61" i="13" s="1"/>
  <c r="AF63" i="13" s="1"/>
  <c r="AD61" i="13"/>
  <c r="AD63" i="13" s="1"/>
  <c r="AB64" i="13"/>
  <c r="AB65" i="13"/>
  <c r="NJ22" i="13"/>
  <c r="NJ53" i="13" s="1"/>
  <c r="NH53" i="13"/>
  <c r="HC30" i="13"/>
  <c r="HC32" i="13" s="1"/>
  <c r="HA32" i="13"/>
  <c r="MP29" i="13"/>
  <c r="MP31" i="13" s="1"/>
  <c r="MP34" i="13"/>
  <c r="MP36" i="13" s="1"/>
  <c r="AR30" i="13"/>
  <c r="AR82" i="13" s="1"/>
  <c r="AR29" i="13"/>
  <c r="AR81" i="13" s="1"/>
  <c r="AR79" i="13"/>
  <c r="SX102" i="13"/>
  <c r="SX103" i="13" s="1"/>
  <c r="SY103" i="13"/>
  <c r="HB30" i="13"/>
  <c r="GZ32" i="13"/>
  <c r="BJ48" i="14"/>
  <c r="BJ46" i="14"/>
  <c r="BJ49" i="14" s="1"/>
  <c r="GX34" i="13"/>
  <c r="GX36" i="13"/>
  <c r="BN43" i="14"/>
  <c r="BL44" i="14"/>
  <c r="DR21" i="13"/>
  <c r="DR22" i="13" s="1"/>
  <c r="DP22" i="13"/>
  <c r="AD470" i="3"/>
  <c r="AE470" i="3"/>
  <c r="AF470" i="3"/>
  <c r="AF492" i="3" s="1"/>
  <c r="AG470" i="3"/>
  <c r="AH470" i="3"/>
  <c r="AH492" i="3" s="1"/>
  <c r="AI470" i="3"/>
  <c r="AI492" i="3" s="1"/>
  <c r="AJ470" i="3"/>
  <c r="AK473" i="3"/>
  <c r="AK495" i="3" s="1"/>
  <c r="AO474" i="3"/>
  <c r="AP474" i="3"/>
  <c r="AQ474" i="3"/>
  <c r="AQ496" i="3" s="1"/>
  <c r="AR474" i="3"/>
  <c r="AS474" i="3"/>
  <c r="AS496" i="3" s="1"/>
  <c r="AT474" i="3"/>
  <c r="AU474" i="3"/>
  <c r="AU496" i="3" s="1"/>
  <c r="AK476" i="3"/>
  <c r="AM476" i="3"/>
  <c r="AO476" i="3"/>
  <c r="AP476" i="3"/>
  <c r="AP498" i="3" s="1"/>
  <c r="AQ476" i="3"/>
  <c r="AR476" i="3"/>
  <c r="AR498" i="3" s="1"/>
  <c r="AS476" i="3"/>
  <c r="AT476" i="3"/>
  <c r="AT498" i="3" s="1"/>
  <c r="AU476" i="3"/>
  <c r="AU498" i="3" s="1"/>
  <c r="AV476" i="3"/>
  <c r="AA479" i="3"/>
  <c r="AA501" i="3" s="1"/>
  <c r="AK479" i="3"/>
  <c r="AK501" i="3" s="1"/>
  <c r="AA482" i="3"/>
  <c r="AA504" i="3" s="1"/>
  <c r="AK482" i="3"/>
  <c r="AK504" i="3" s="1"/>
  <c r="D484" i="3"/>
  <c r="AK484" i="3"/>
  <c r="D485" i="3"/>
  <c r="AK485" i="3"/>
  <c r="D486" i="3"/>
  <c r="AK486" i="3"/>
  <c r="D487" i="3"/>
  <c r="AK487" i="3"/>
  <c r="D488" i="3"/>
  <c r="AK488" i="3"/>
  <c r="D489" i="3"/>
  <c r="AK489" i="3"/>
  <c r="AD492" i="3"/>
  <c r="AE492" i="3"/>
  <c r="AG492" i="3"/>
  <c r="AJ492" i="3"/>
  <c r="AO496" i="3"/>
  <c r="AP496" i="3"/>
  <c r="AR496" i="3"/>
  <c r="AT496" i="3"/>
  <c r="AK498" i="3"/>
  <c r="AM498" i="3"/>
  <c r="AO498" i="3"/>
  <c r="AQ498" i="3"/>
  <c r="AS498" i="3"/>
  <c r="AV498" i="3"/>
  <c r="BB209" i="17" l="1"/>
  <c r="D212" i="17"/>
  <c r="BB199" i="17"/>
  <c r="D203" i="17"/>
  <c r="D243" i="17"/>
  <c r="D232" i="17" s="1"/>
  <c r="BB237" i="17"/>
  <c r="GZ36" i="13"/>
  <c r="GZ34" i="13"/>
  <c r="HD30" i="13"/>
  <c r="HD32" i="13" s="1"/>
  <c r="HB32" i="13"/>
  <c r="AD64" i="13"/>
  <c r="AD65" i="13"/>
  <c r="BL46" i="14"/>
  <c r="BL48" i="14"/>
  <c r="HA36" i="13"/>
  <c r="HA34" i="13"/>
  <c r="AF64" i="13"/>
  <c r="AF65" i="13"/>
  <c r="AQ30" i="13"/>
  <c r="AQ82" i="13" s="1"/>
  <c r="BP43" i="14"/>
  <c r="BP44" i="14" s="1"/>
  <c r="BN44" i="14"/>
  <c r="HC34" i="13"/>
  <c r="HC36" i="13"/>
  <c r="A80" i="4"/>
  <c r="A81" i="4"/>
  <c r="A82" i="4"/>
  <c r="S76" i="4"/>
  <c r="D298" i="17" l="1"/>
  <c r="BB243" i="17"/>
  <c r="BB232" i="17" s="1"/>
  <c r="BB203" i="17"/>
  <c r="D260" i="17"/>
  <c r="D270" i="17"/>
  <c r="BB212" i="17"/>
  <c r="BL49" i="14"/>
  <c r="BP46" i="14"/>
  <c r="BP48" i="14"/>
  <c r="HB34" i="13"/>
  <c r="HB36" i="13" s="1"/>
  <c r="BN46" i="14"/>
  <c r="BN48" i="14"/>
  <c r="HD34" i="13"/>
  <c r="HD36" i="13" s="1"/>
  <c r="RS288" i="5"/>
  <c r="RR288" i="5"/>
  <c r="RQ288" i="5"/>
  <c r="RP288" i="5"/>
  <c r="RO288" i="5"/>
  <c r="RN288" i="5"/>
  <c r="RM288" i="5"/>
  <c r="RL288" i="5"/>
  <c r="RK288" i="5"/>
  <c r="RJ288" i="5"/>
  <c r="RI288" i="5"/>
  <c r="RH288" i="5"/>
  <c r="RG288" i="5"/>
  <c r="RS287" i="5"/>
  <c r="RR287" i="5"/>
  <c r="RQ287" i="5"/>
  <c r="RP287" i="5"/>
  <c r="RO287" i="5"/>
  <c r="RN287" i="5"/>
  <c r="RM287" i="5"/>
  <c r="RL287" i="5"/>
  <c r="RK287" i="5"/>
  <c r="RJ287" i="5"/>
  <c r="RI287" i="5"/>
  <c r="RH287" i="5"/>
  <c r="RG287" i="5"/>
  <c r="RS286" i="5"/>
  <c r="RR286" i="5"/>
  <c r="RQ286" i="5"/>
  <c r="RP286" i="5"/>
  <c r="RO286" i="5"/>
  <c r="RN286" i="5"/>
  <c r="RM286" i="5"/>
  <c r="RL286" i="5"/>
  <c r="RK286" i="5"/>
  <c r="RJ286" i="5"/>
  <c r="RI286" i="5"/>
  <c r="RH286" i="5"/>
  <c r="RG286" i="5"/>
  <c r="RS285" i="5"/>
  <c r="RR285" i="5"/>
  <c r="RQ285" i="5"/>
  <c r="RP285" i="5"/>
  <c r="RO285" i="5"/>
  <c r="RN285" i="5"/>
  <c r="RM285" i="5"/>
  <c r="RL285" i="5"/>
  <c r="RK285" i="5"/>
  <c r="RJ285" i="5"/>
  <c r="RI285" i="5"/>
  <c r="RH285" i="5"/>
  <c r="RG285" i="5"/>
  <c r="RS284" i="5"/>
  <c r="RR284" i="5"/>
  <c r="RQ284" i="5"/>
  <c r="RP284" i="5"/>
  <c r="RO284" i="5"/>
  <c r="RN284" i="5"/>
  <c r="RM284" i="5"/>
  <c r="RL284" i="5"/>
  <c r="RK284" i="5"/>
  <c r="RJ284" i="5"/>
  <c r="RI284" i="5"/>
  <c r="RH284" i="5"/>
  <c r="RG284" i="5"/>
  <c r="RS283" i="5"/>
  <c r="RR283" i="5"/>
  <c r="RQ283" i="5"/>
  <c r="RP283" i="5"/>
  <c r="RO283" i="5"/>
  <c r="RN283" i="5"/>
  <c r="RM283" i="5"/>
  <c r="RL283" i="5"/>
  <c r="RK283" i="5"/>
  <c r="RJ283" i="5"/>
  <c r="RI283" i="5"/>
  <c r="RH283" i="5"/>
  <c r="RG283" i="5"/>
  <c r="RS282" i="5"/>
  <c r="RR282" i="5"/>
  <c r="RQ282" i="5"/>
  <c r="RP282" i="5"/>
  <c r="RO282" i="5"/>
  <c r="RN282" i="5"/>
  <c r="RM282" i="5"/>
  <c r="RL282" i="5"/>
  <c r="RK282" i="5"/>
  <c r="RJ282" i="5"/>
  <c r="RI282" i="5"/>
  <c r="RH282" i="5"/>
  <c r="RG282" i="5"/>
  <c r="RS281" i="5"/>
  <c r="RR281" i="5"/>
  <c r="RQ281" i="5"/>
  <c r="RP281" i="5"/>
  <c r="RO281" i="5"/>
  <c r="RN281" i="5"/>
  <c r="RM281" i="5"/>
  <c r="RL281" i="5"/>
  <c r="RK281" i="5"/>
  <c r="RJ281" i="5"/>
  <c r="RI281" i="5"/>
  <c r="RH281" i="5"/>
  <c r="RG281" i="5"/>
  <c r="RS280" i="5"/>
  <c r="RR280" i="5"/>
  <c r="RQ280" i="5"/>
  <c r="RP280" i="5"/>
  <c r="RO280" i="5"/>
  <c r="RN280" i="5"/>
  <c r="RM280" i="5"/>
  <c r="RL280" i="5"/>
  <c r="RK280" i="5"/>
  <c r="RJ280" i="5"/>
  <c r="RI280" i="5"/>
  <c r="RH280" i="5"/>
  <c r="RG280" i="5"/>
  <c r="RS279" i="5"/>
  <c r="RR279" i="5"/>
  <c r="RQ279" i="5"/>
  <c r="RP279" i="5"/>
  <c r="RO279" i="5"/>
  <c r="RN279" i="5"/>
  <c r="RM279" i="5"/>
  <c r="RL279" i="5"/>
  <c r="RK279" i="5"/>
  <c r="RJ279" i="5"/>
  <c r="RI279" i="5"/>
  <c r="RH279" i="5"/>
  <c r="RG279" i="5"/>
  <c r="RS278" i="5"/>
  <c r="RR278" i="5"/>
  <c r="RQ278" i="5"/>
  <c r="RP278" i="5"/>
  <c r="RO278" i="5"/>
  <c r="RN278" i="5"/>
  <c r="RM278" i="5"/>
  <c r="RL278" i="5"/>
  <c r="RK278" i="5"/>
  <c r="RJ278" i="5"/>
  <c r="RI278" i="5"/>
  <c r="RH278" i="5"/>
  <c r="RG278" i="5"/>
  <c r="RS277" i="5"/>
  <c r="RR277" i="5"/>
  <c r="RQ277" i="5"/>
  <c r="RP277" i="5"/>
  <c r="RO277" i="5"/>
  <c r="RN277" i="5"/>
  <c r="RM277" i="5"/>
  <c r="RL277" i="5"/>
  <c r="RK277" i="5"/>
  <c r="RJ277" i="5"/>
  <c r="RI277" i="5"/>
  <c r="RH277" i="5"/>
  <c r="RG277" i="5"/>
  <c r="RS276" i="5"/>
  <c r="RR276" i="5"/>
  <c r="RQ276" i="5"/>
  <c r="RP276" i="5"/>
  <c r="RO276" i="5"/>
  <c r="RN276" i="5"/>
  <c r="RM276" i="5"/>
  <c r="RL276" i="5"/>
  <c r="RK276" i="5"/>
  <c r="RJ276" i="5"/>
  <c r="RI276" i="5"/>
  <c r="RH276" i="5"/>
  <c r="RG276" i="5"/>
  <c r="RS275" i="5"/>
  <c r="RR275" i="5"/>
  <c r="RQ275" i="5"/>
  <c r="RP275" i="5"/>
  <c r="RO275" i="5"/>
  <c r="RN275" i="5"/>
  <c r="RM275" i="5"/>
  <c r="RL275" i="5"/>
  <c r="RK275" i="5"/>
  <c r="RJ275" i="5"/>
  <c r="RI275" i="5"/>
  <c r="RH275" i="5"/>
  <c r="RG275" i="5"/>
  <c r="RS274" i="5"/>
  <c r="RR274" i="5"/>
  <c r="RQ274" i="5"/>
  <c r="RP274" i="5"/>
  <c r="RO274" i="5"/>
  <c r="RN274" i="5"/>
  <c r="RM274" i="5"/>
  <c r="RL274" i="5"/>
  <c r="RK274" i="5"/>
  <c r="RJ274" i="5"/>
  <c r="RI274" i="5"/>
  <c r="RH274" i="5"/>
  <c r="RG274" i="5"/>
  <c r="RS273" i="5"/>
  <c r="RR273" i="5"/>
  <c r="RQ273" i="5"/>
  <c r="RP273" i="5"/>
  <c r="RO273" i="5"/>
  <c r="RN273" i="5"/>
  <c r="RM273" i="5"/>
  <c r="RL273" i="5"/>
  <c r="RK273" i="5"/>
  <c r="RJ273" i="5"/>
  <c r="RI273" i="5"/>
  <c r="RH273" i="5"/>
  <c r="RG273" i="5"/>
  <c r="RS272" i="5"/>
  <c r="RR272" i="5"/>
  <c r="RQ272" i="5"/>
  <c r="RP272" i="5"/>
  <c r="RO272" i="5"/>
  <c r="RN272" i="5"/>
  <c r="RM272" i="5"/>
  <c r="RL272" i="5"/>
  <c r="RK272" i="5"/>
  <c r="RJ272" i="5"/>
  <c r="RI272" i="5"/>
  <c r="RH272" i="5"/>
  <c r="RG272" i="5"/>
  <c r="RS271" i="5"/>
  <c r="RR271" i="5"/>
  <c r="RQ271" i="5"/>
  <c r="RP271" i="5"/>
  <c r="RO271" i="5"/>
  <c r="RN271" i="5"/>
  <c r="RM271" i="5"/>
  <c r="RL271" i="5"/>
  <c r="RK271" i="5"/>
  <c r="RJ271" i="5"/>
  <c r="RI271" i="5"/>
  <c r="RH271" i="5"/>
  <c r="RG271" i="5"/>
  <c r="RS270" i="5"/>
  <c r="RR270" i="5"/>
  <c r="RQ270" i="5"/>
  <c r="RP270" i="5"/>
  <c r="RO270" i="5"/>
  <c r="RN270" i="5"/>
  <c r="RM270" i="5"/>
  <c r="RL270" i="5"/>
  <c r="RK270" i="5"/>
  <c r="RJ270" i="5"/>
  <c r="RI270" i="5"/>
  <c r="RH270" i="5"/>
  <c r="RG270" i="5"/>
  <c r="RS269" i="5"/>
  <c r="RR269" i="5"/>
  <c r="RQ269" i="5"/>
  <c r="RP269" i="5"/>
  <c r="RO269" i="5"/>
  <c r="RN269" i="5"/>
  <c r="RM269" i="5"/>
  <c r="RL269" i="5"/>
  <c r="RK269" i="5"/>
  <c r="RJ269" i="5"/>
  <c r="RI269" i="5"/>
  <c r="RH269" i="5"/>
  <c r="RG269" i="5"/>
  <c r="RS268" i="5"/>
  <c r="RR268" i="5"/>
  <c r="RQ268" i="5"/>
  <c r="RP268" i="5"/>
  <c r="RO268" i="5"/>
  <c r="RN268" i="5"/>
  <c r="RM268" i="5"/>
  <c r="RL268" i="5"/>
  <c r="RK268" i="5"/>
  <c r="RJ268" i="5"/>
  <c r="RI268" i="5"/>
  <c r="RH268" i="5"/>
  <c r="RG268" i="5"/>
  <c r="RS267" i="5"/>
  <c r="RR267" i="5"/>
  <c r="RQ267" i="5"/>
  <c r="RP267" i="5"/>
  <c r="RO267" i="5"/>
  <c r="RN267" i="5"/>
  <c r="RM267" i="5"/>
  <c r="RL267" i="5"/>
  <c r="RK267" i="5"/>
  <c r="RJ267" i="5"/>
  <c r="RI267" i="5"/>
  <c r="RH267" i="5"/>
  <c r="RG267" i="5"/>
  <c r="RS266" i="5"/>
  <c r="RR266" i="5"/>
  <c r="RQ266" i="5"/>
  <c r="RP266" i="5"/>
  <c r="RO266" i="5"/>
  <c r="RN266" i="5"/>
  <c r="RM266" i="5"/>
  <c r="RL266" i="5"/>
  <c r="RK266" i="5"/>
  <c r="RJ266" i="5"/>
  <c r="RI266" i="5"/>
  <c r="RH266" i="5"/>
  <c r="RG266" i="5"/>
  <c r="RS265" i="5"/>
  <c r="RR265" i="5"/>
  <c r="RQ265" i="5"/>
  <c r="RP265" i="5"/>
  <c r="RO265" i="5"/>
  <c r="RN265" i="5"/>
  <c r="RM265" i="5"/>
  <c r="RL265" i="5"/>
  <c r="RK265" i="5"/>
  <c r="RJ265" i="5"/>
  <c r="RI265" i="5"/>
  <c r="RH265" i="5"/>
  <c r="RG265" i="5"/>
  <c r="RS264" i="5"/>
  <c r="RR264" i="5"/>
  <c r="RQ264" i="5"/>
  <c r="RP264" i="5"/>
  <c r="RO264" i="5"/>
  <c r="RN264" i="5"/>
  <c r="RM264" i="5"/>
  <c r="RL264" i="5"/>
  <c r="RK264" i="5"/>
  <c r="RJ264" i="5"/>
  <c r="RI264" i="5"/>
  <c r="RH264" i="5"/>
  <c r="RG264" i="5"/>
  <c r="RS263" i="5"/>
  <c r="RR263" i="5"/>
  <c r="RQ263" i="5"/>
  <c r="RP263" i="5"/>
  <c r="RO263" i="5"/>
  <c r="RN263" i="5"/>
  <c r="RM263" i="5"/>
  <c r="RL263" i="5"/>
  <c r="RK263" i="5"/>
  <c r="RJ263" i="5"/>
  <c r="RI263" i="5"/>
  <c r="RH263" i="5"/>
  <c r="RG263" i="5"/>
  <c r="RS262" i="5"/>
  <c r="RR262" i="5"/>
  <c r="RQ262" i="5"/>
  <c r="RP262" i="5"/>
  <c r="RO262" i="5"/>
  <c r="RN262" i="5"/>
  <c r="RM262" i="5"/>
  <c r="RL262" i="5"/>
  <c r="RK262" i="5"/>
  <c r="RJ262" i="5"/>
  <c r="RI262" i="5"/>
  <c r="RH262" i="5"/>
  <c r="RG262" i="5"/>
  <c r="RS261" i="5"/>
  <c r="RR261" i="5"/>
  <c r="RQ261" i="5"/>
  <c r="RP261" i="5"/>
  <c r="RO261" i="5"/>
  <c r="RN261" i="5"/>
  <c r="RM261" i="5"/>
  <c r="RL261" i="5"/>
  <c r="RK261" i="5"/>
  <c r="RJ261" i="5"/>
  <c r="RI261" i="5"/>
  <c r="RH261" i="5"/>
  <c r="RG261" i="5"/>
  <c r="RS260" i="5"/>
  <c r="RR260" i="5"/>
  <c r="RQ260" i="5"/>
  <c r="RP260" i="5"/>
  <c r="RO260" i="5"/>
  <c r="RN260" i="5"/>
  <c r="RM260" i="5"/>
  <c r="RL260" i="5"/>
  <c r="RK260" i="5"/>
  <c r="RJ260" i="5"/>
  <c r="RI260" i="5"/>
  <c r="RH260" i="5"/>
  <c r="RG260" i="5"/>
  <c r="RS259" i="5"/>
  <c r="RR259" i="5"/>
  <c r="RQ259" i="5"/>
  <c r="RP259" i="5"/>
  <c r="RO259" i="5"/>
  <c r="RN259" i="5"/>
  <c r="RM259" i="5"/>
  <c r="RL259" i="5"/>
  <c r="RK259" i="5"/>
  <c r="RJ259" i="5"/>
  <c r="RI259" i="5"/>
  <c r="RH259" i="5"/>
  <c r="RG259" i="5"/>
  <c r="RS258" i="5"/>
  <c r="RR258" i="5"/>
  <c r="RQ258" i="5"/>
  <c r="RP258" i="5"/>
  <c r="RO258" i="5"/>
  <c r="RN258" i="5"/>
  <c r="RM258" i="5"/>
  <c r="RL258" i="5"/>
  <c r="RK258" i="5"/>
  <c r="RJ258" i="5"/>
  <c r="RI258" i="5"/>
  <c r="RH258" i="5"/>
  <c r="RG258" i="5"/>
  <c r="RS257" i="5"/>
  <c r="RR257" i="5"/>
  <c r="RQ257" i="5"/>
  <c r="RP257" i="5"/>
  <c r="RO257" i="5"/>
  <c r="RN257" i="5"/>
  <c r="RM257" i="5"/>
  <c r="RL257" i="5"/>
  <c r="RK257" i="5"/>
  <c r="RJ257" i="5"/>
  <c r="RI257" i="5"/>
  <c r="RH257" i="5"/>
  <c r="RG257" i="5"/>
  <c r="RS256" i="5"/>
  <c r="RR256" i="5"/>
  <c r="RQ256" i="5"/>
  <c r="RP256" i="5"/>
  <c r="RO256" i="5"/>
  <c r="RN256" i="5"/>
  <c r="RM256" i="5"/>
  <c r="RL256" i="5"/>
  <c r="RK256" i="5"/>
  <c r="RJ256" i="5"/>
  <c r="RI256" i="5"/>
  <c r="RH256" i="5"/>
  <c r="RG256" i="5"/>
  <c r="RS255" i="5"/>
  <c r="RR255" i="5"/>
  <c r="RQ255" i="5"/>
  <c r="RP255" i="5"/>
  <c r="RO255" i="5"/>
  <c r="RN255" i="5"/>
  <c r="RM255" i="5"/>
  <c r="RL255" i="5"/>
  <c r="RK255" i="5"/>
  <c r="RJ255" i="5"/>
  <c r="RI255" i="5"/>
  <c r="RH255" i="5"/>
  <c r="RG255" i="5"/>
  <c r="RS254" i="5"/>
  <c r="RR254" i="5"/>
  <c r="RQ254" i="5"/>
  <c r="RP254" i="5"/>
  <c r="RO254" i="5"/>
  <c r="RN254" i="5"/>
  <c r="RM254" i="5"/>
  <c r="RL254" i="5"/>
  <c r="RK254" i="5"/>
  <c r="RJ254" i="5"/>
  <c r="RI254" i="5"/>
  <c r="RH254" i="5"/>
  <c r="RG254" i="5"/>
  <c r="RS253" i="5"/>
  <c r="RR253" i="5"/>
  <c r="RQ253" i="5"/>
  <c r="RP253" i="5"/>
  <c r="RO253" i="5"/>
  <c r="RN253" i="5"/>
  <c r="RM253" i="5"/>
  <c r="RL253" i="5"/>
  <c r="RK253" i="5"/>
  <c r="RJ253" i="5"/>
  <c r="RI253" i="5"/>
  <c r="RH253" i="5"/>
  <c r="RG253" i="5"/>
  <c r="RS252" i="5"/>
  <c r="RR252" i="5"/>
  <c r="RQ252" i="5"/>
  <c r="RP252" i="5"/>
  <c r="RO252" i="5"/>
  <c r="RN252" i="5"/>
  <c r="RM252" i="5"/>
  <c r="RL252" i="5"/>
  <c r="RK252" i="5"/>
  <c r="RJ252" i="5"/>
  <c r="RI252" i="5"/>
  <c r="RH252" i="5"/>
  <c r="RG252" i="5"/>
  <c r="RS251" i="5"/>
  <c r="RR251" i="5"/>
  <c r="RQ251" i="5"/>
  <c r="RP251" i="5"/>
  <c r="RO251" i="5"/>
  <c r="RN251" i="5"/>
  <c r="RM251" i="5"/>
  <c r="RL251" i="5"/>
  <c r="RK251" i="5"/>
  <c r="RJ251" i="5"/>
  <c r="RI251" i="5"/>
  <c r="RH251" i="5"/>
  <c r="RG251" i="5"/>
  <c r="RS250" i="5"/>
  <c r="RR250" i="5"/>
  <c r="RQ250" i="5"/>
  <c r="RP250" i="5"/>
  <c r="RO250" i="5"/>
  <c r="RN250" i="5"/>
  <c r="RM250" i="5"/>
  <c r="RL250" i="5"/>
  <c r="RK250" i="5"/>
  <c r="RJ250" i="5"/>
  <c r="RI250" i="5"/>
  <c r="RH250" i="5"/>
  <c r="RG250" i="5"/>
  <c r="RS249" i="5"/>
  <c r="RR249" i="5"/>
  <c r="RQ249" i="5"/>
  <c r="RP249" i="5"/>
  <c r="RO249" i="5"/>
  <c r="RN249" i="5"/>
  <c r="RM249" i="5"/>
  <c r="RL249" i="5"/>
  <c r="RK249" i="5"/>
  <c r="RJ249" i="5"/>
  <c r="RI249" i="5"/>
  <c r="RH249" i="5"/>
  <c r="RG249" i="5"/>
  <c r="RS248" i="5"/>
  <c r="RR248" i="5"/>
  <c r="RQ248" i="5"/>
  <c r="RP248" i="5"/>
  <c r="RO248" i="5"/>
  <c r="RN248" i="5"/>
  <c r="RM248" i="5"/>
  <c r="RL248" i="5"/>
  <c r="RK248" i="5"/>
  <c r="RJ248" i="5"/>
  <c r="RI248" i="5"/>
  <c r="RH248" i="5"/>
  <c r="RG248" i="5"/>
  <c r="RS247" i="5"/>
  <c r="RR247" i="5"/>
  <c r="RQ247" i="5"/>
  <c r="RP247" i="5"/>
  <c r="RO247" i="5"/>
  <c r="RN247" i="5"/>
  <c r="RM247" i="5"/>
  <c r="RL247" i="5"/>
  <c r="RK247" i="5"/>
  <c r="RJ247" i="5"/>
  <c r="RI247" i="5"/>
  <c r="RH247" i="5"/>
  <c r="RG247" i="5"/>
  <c r="RS246" i="5"/>
  <c r="RR246" i="5"/>
  <c r="RQ246" i="5"/>
  <c r="RP246" i="5"/>
  <c r="RO246" i="5"/>
  <c r="RN246" i="5"/>
  <c r="RM246" i="5"/>
  <c r="RL246" i="5"/>
  <c r="RK246" i="5"/>
  <c r="RJ246" i="5"/>
  <c r="RI246" i="5"/>
  <c r="RH246" i="5"/>
  <c r="RG246" i="5"/>
  <c r="RS245" i="5"/>
  <c r="RR245" i="5"/>
  <c r="RQ245" i="5"/>
  <c r="RP245" i="5"/>
  <c r="RO245" i="5"/>
  <c r="RN245" i="5"/>
  <c r="RM245" i="5"/>
  <c r="RL245" i="5"/>
  <c r="RK245" i="5"/>
  <c r="RJ245" i="5"/>
  <c r="RI245" i="5"/>
  <c r="RH245" i="5"/>
  <c r="RG245" i="5"/>
  <c r="RS244" i="5"/>
  <c r="RR244" i="5"/>
  <c r="RQ244" i="5"/>
  <c r="RP244" i="5"/>
  <c r="RO244" i="5"/>
  <c r="RN244" i="5"/>
  <c r="RM244" i="5"/>
  <c r="RL244" i="5"/>
  <c r="RK244" i="5"/>
  <c r="RJ244" i="5"/>
  <c r="RI244" i="5"/>
  <c r="RH244" i="5"/>
  <c r="RG244" i="5"/>
  <c r="RS243" i="5"/>
  <c r="RR243" i="5"/>
  <c r="RQ243" i="5"/>
  <c r="RP243" i="5"/>
  <c r="RO243" i="5"/>
  <c r="RN243" i="5"/>
  <c r="RM243" i="5"/>
  <c r="RL243" i="5"/>
  <c r="RK243" i="5"/>
  <c r="RJ243" i="5"/>
  <c r="RI243" i="5"/>
  <c r="RH243" i="5"/>
  <c r="RG243" i="5"/>
  <c r="RS242" i="5"/>
  <c r="RR242" i="5"/>
  <c r="RQ242" i="5"/>
  <c r="RP242" i="5"/>
  <c r="RO242" i="5"/>
  <c r="RN242" i="5"/>
  <c r="RM242" i="5"/>
  <c r="RL242" i="5"/>
  <c r="RK242" i="5"/>
  <c r="RJ242" i="5"/>
  <c r="RI242" i="5"/>
  <c r="RH242" i="5"/>
  <c r="RG242" i="5"/>
  <c r="RS241" i="5"/>
  <c r="RR241" i="5"/>
  <c r="RQ241" i="5"/>
  <c r="RP241" i="5"/>
  <c r="RO241" i="5"/>
  <c r="RN241" i="5"/>
  <c r="RM241" i="5"/>
  <c r="RL241" i="5"/>
  <c r="RK241" i="5"/>
  <c r="RJ241" i="5"/>
  <c r="RI241" i="5"/>
  <c r="RH241" i="5"/>
  <c r="RG241" i="5"/>
  <c r="RS240" i="5"/>
  <c r="RR240" i="5"/>
  <c r="RQ240" i="5"/>
  <c r="RP240" i="5"/>
  <c r="RO240" i="5"/>
  <c r="RN240" i="5"/>
  <c r="RM240" i="5"/>
  <c r="RL240" i="5"/>
  <c r="RK240" i="5"/>
  <c r="RJ240" i="5"/>
  <c r="RI240" i="5"/>
  <c r="RH240" i="5"/>
  <c r="RG240" i="5"/>
  <c r="RS239" i="5"/>
  <c r="RR239" i="5"/>
  <c r="RQ239" i="5"/>
  <c r="RP239" i="5"/>
  <c r="RO239" i="5"/>
  <c r="RN239" i="5"/>
  <c r="RM239" i="5"/>
  <c r="RL239" i="5"/>
  <c r="RK239" i="5"/>
  <c r="RJ239" i="5"/>
  <c r="RI239" i="5"/>
  <c r="RH239" i="5"/>
  <c r="RG239" i="5"/>
  <c r="RS238" i="5"/>
  <c r="RR238" i="5"/>
  <c r="RQ238" i="5"/>
  <c r="RP238" i="5"/>
  <c r="RO238" i="5"/>
  <c r="RN238" i="5"/>
  <c r="RM238" i="5"/>
  <c r="RL238" i="5"/>
  <c r="RK238" i="5"/>
  <c r="RJ238" i="5"/>
  <c r="RI238" i="5"/>
  <c r="RH238" i="5"/>
  <c r="RG238" i="5"/>
  <c r="RS237" i="5"/>
  <c r="RR237" i="5"/>
  <c r="RQ237" i="5"/>
  <c r="RP237" i="5"/>
  <c r="RO237" i="5"/>
  <c r="RN237" i="5"/>
  <c r="RM237" i="5"/>
  <c r="RL237" i="5"/>
  <c r="RK237" i="5"/>
  <c r="RJ237" i="5"/>
  <c r="RI237" i="5"/>
  <c r="RH237" i="5"/>
  <c r="RG237" i="5"/>
  <c r="RS236" i="5"/>
  <c r="RR236" i="5"/>
  <c r="RQ236" i="5"/>
  <c r="RP236" i="5"/>
  <c r="RO236" i="5"/>
  <c r="RN236" i="5"/>
  <c r="RM236" i="5"/>
  <c r="RL236" i="5"/>
  <c r="RK236" i="5"/>
  <c r="RJ236" i="5"/>
  <c r="RI236" i="5"/>
  <c r="RH236" i="5"/>
  <c r="RG236" i="5"/>
  <c r="RS235" i="5"/>
  <c r="RR235" i="5"/>
  <c r="RQ235" i="5"/>
  <c r="RP235" i="5"/>
  <c r="RO235" i="5"/>
  <c r="RN235" i="5"/>
  <c r="RM235" i="5"/>
  <c r="RL235" i="5"/>
  <c r="RK235" i="5"/>
  <c r="RJ235" i="5"/>
  <c r="RI235" i="5"/>
  <c r="RH235" i="5"/>
  <c r="RG235" i="5"/>
  <c r="RS234" i="5"/>
  <c r="RR234" i="5"/>
  <c r="RQ234" i="5"/>
  <c r="RP234" i="5"/>
  <c r="RO234" i="5"/>
  <c r="RN234" i="5"/>
  <c r="RM234" i="5"/>
  <c r="RL234" i="5"/>
  <c r="RK234" i="5"/>
  <c r="RJ234" i="5"/>
  <c r="RI234" i="5"/>
  <c r="RH234" i="5"/>
  <c r="RG234" i="5"/>
  <c r="RS233" i="5"/>
  <c r="RR233" i="5"/>
  <c r="RQ233" i="5"/>
  <c r="RP233" i="5"/>
  <c r="RO233" i="5"/>
  <c r="RN233" i="5"/>
  <c r="RM233" i="5"/>
  <c r="RL233" i="5"/>
  <c r="RK233" i="5"/>
  <c r="RJ233" i="5"/>
  <c r="RI233" i="5"/>
  <c r="RH233" i="5"/>
  <c r="RG233" i="5"/>
  <c r="RS232" i="5"/>
  <c r="RR232" i="5"/>
  <c r="RQ232" i="5"/>
  <c r="RP232" i="5"/>
  <c r="RO232" i="5"/>
  <c r="RN232" i="5"/>
  <c r="RM232" i="5"/>
  <c r="RL232" i="5"/>
  <c r="RK232" i="5"/>
  <c r="RJ232" i="5"/>
  <c r="RI232" i="5"/>
  <c r="RH232" i="5"/>
  <c r="RG232" i="5"/>
  <c r="RS231" i="5"/>
  <c r="RR231" i="5"/>
  <c r="RQ231" i="5"/>
  <c r="RP231" i="5"/>
  <c r="RO231" i="5"/>
  <c r="RN231" i="5"/>
  <c r="RM231" i="5"/>
  <c r="RL231" i="5"/>
  <c r="RK231" i="5"/>
  <c r="RJ231" i="5"/>
  <c r="RI231" i="5"/>
  <c r="RH231" i="5"/>
  <c r="RG231" i="5"/>
  <c r="RS230" i="5"/>
  <c r="RR230" i="5"/>
  <c r="RQ230" i="5"/>
  <c r="RP230" i="5"/>
  <c r="RO230" i="5"/>
  <c r="RN230" i="5"/>
  <c r="RM230" i="5"/>
  <c r="RL230" i="5"/>
  <c r="RK230" i="5"/>
  <c r="RJ230" i="5"/>
  <c r="RI230" i="5"/>
  <c r="RH230" i="5"/>
  <c r="RG230" i="5"/>
  <c r="RS229" i="5"/>
  <c r="RR229" i="5"/>
  <c r="RQ229" i="5"/>
  <c r="RP229" i="5"/>
  <c r="RO229" i="5"/>
  <c r="RN229" i="5"/>
  <c r="RM229" i="5"/>
  <c r="RL229" i="5"/>
  <c r="RK229" i="5"/>
  <c r="RJ229" i="5"/>
  <c r="RI229" i="5"/>
  <c r="RH229" i="5"/>
  <c r="RG229" i="5"/>
  <c r="RS228" i="5"/>
  <c r="RR228" i="5"/>
  <c r="RQ228" i="5"/>
  <c r="RP228" i="5"/>
  <c r="RO228" i="5"/>
  <c r="RN228" i="5"/>
  <c r="RM228" i="5"/>
  <c r="RL228" i="5"/>
  <c r="RK228" i="5"/>
  <c r="RJ228" i="5"/>
  <c r="RI228" i="5"/>
  <c r="RH228" i="5"/>
  <c r="RG228" i="5"/>
  <c r="RS227" i="5"/>
  <c r="RR227" i="5"/>
  <c r="RQ227" i="5"/>
  <c r="RP227" i="5"/>
  <c r="RO227" i="5"/>
  <c r="RN227" i="5"/>
  <c r="RM227" i="5"/>
  <c r="RL227" i="5"/>
  <c r="RK227" i="5"/>
  <c r="RJ227" i="5"/>
  <c r="RI227" i="5"/>
  <c r="RH227" i="5"/>
  <c r="RG227" i="5"/>
  <c r="RS226" i="5"/>
  <c r="RR226" i="5"/>
  <c r="RQ226" i="5"/>
  <c r="RP226" i="5"/>
  <c r="RO226" i="5"/>
  <c r="RN226" i="5"/>
  <c r="RM226" i="5"/>
  <c r="RL226" i="5"/>
  <c r="RK226" i="5"/>
  <c r="RJ226" i="5"/>
  <c r="RI226" i="5"/>
  <c r="RH226" i="5"/>
  <c r="RG226" i="5"/>
  <c r="RS225" i="5"/>
  <c r="RR225" i="5"/>
  <c r="RQ225" i="5"/>
  <c r="RP225" i="5"/>
  <c r="RO225" i="5"/>
  <c r="RN225" i="5"/>
  <c r="RM225" i="5"/>
  <c r="RL225" i="5"/>
  <c r="RK225" i="5"/>
  <c r="RJ225" i="5"/>
  <c r="RI225" i="5"/>
  <c r="RH225" i="5"/>
  <c r="RG225" i="5"/>
  <c r="RS224" i="5"/>
  <c r="RR224" i="5"/>
  <c r="RQ224" i="5"/>
  <c r="RP224" i="5"/>
  <c r="RO224" i="5"/>
  <c r="RN224" i="5"/>
  <c r="RM224" i="5"/>
  <c r="RL224" i="5"/>
  <c r="RK224" i="5"/>
  <c r="RJ224" i="5"/>
  <c r="RI224" i="5"/>
  <c r="RH224" i="5"/>
  <c r="RG224" i="5"/>
  <c r="RS223" i="5"/>
  <c r="RR223" i="5"/>
  <c r="RQ223" i="5"/>
  <c r="RP223" i="5"/>
  <c r="RO223" i="5"/>
  <c r="RN223" i="5"/>
  <c r="RM223" i="5"/>
  <c r="RL223" i="5"/>
  <c r="RK223" i="5"/>
  <c r="RJ223" i="5"/>
  <c r="RI223" i="5"/>
  <c r="RH223" i="5"/>
  <c r="RG223" i="5"/>
  <c r="RS222" i="5"/>
  <c r="RR222" i="5"/>
  <c r="RQ222" i="5"/>
  <c r="RP222" i="5"/>
  <c r="RO222" i="5"/>
  <c r="RN222" i="5"/>
  <c r="RM222" i="5"/>
  <c r="RL222" i="5"/>
  <c r="RK222" i="5"/>
  <c r="RJ222" i="5"/>
  <c r="RI222" i="5"/>
  <c r="RH222" i="5"/>
  <c r="RG222" i="5"/>
  <c r="RS221" i="5"/>
  <c r="RR221" i="5"/>
  <c r="RQ221" i="5"/>
  <c r="RP221" i="5"/>
  <c r="RO221" i="5"/>
  <c r="RN221" i="5"/>
  <c r="RM221" i="5"/>
  <c r="RL221" i="5"/>
  <c r="RK221" i="5"/>
  <c r="RJ221" i="5"/>
  <c r="RI221" i="5"/>
  <c r="RH221" i="5"/>
  <c r="RG221" i="5"/>
  <c r="RS220" i="5"/>
  <c r="RR220" i="5"/>
  <c r="RQ220" i="5"/>
  <c r="RP220" i="5"/>
  <c r="RO220" i="5"/>
  <c r="RN220" i="5"/>
  <c r="RM220" i="5"/>
  <c r="RL220" i="5"/>
  <c r="RK220" i="5"/>
  <c r="RJ220" i="5"/>
  <c r="RI220" i="5"/>
  <c r="RH220" i="5"/>
  <c r="RG220" i="5"/>
  <c r="RS219" i="5"/>
  <c r="RR219" i="5"/>
  <c r="RQ219" i="5"/>
  <c r="RP219" i="5"/>
  <c r="RO219" i="5"/>
  <c r="RN219" i="5"/>
  <c r="RM219" i="5"/>
  <c r="RL219" i="5"/>
  <c r="RK219" i="5"/>
  <c r="RJ219" i="5"/>
  <c r="RI219" i="5"/>
  <c r="RH219" i="5"/>
  <c r="RG219" i="5"/>
  <c r="RS218" i="5"/>
  <c r="RR218" i="5"/>
  <c r="RQ218" i="5"/>
  <c r="RP218" i="5"/>
  <c r="RO218" i="5"/>
  <c r="RN218" i="5"/>
  <c r="RM218" i="5"/>
  <c r="RL218" i="5"/>
  <c r="RK218" i="5"/>
  <c r="RJ218" i="5"/>
  <c r="RI218" i="5"/>
  <c r="RH218" i="5"/>
  <c r="RG218" i="5"/>
  <c r="RS217" i="5"/>
  <c r="RR217" i="5"/>
  <c r="RQ217" i="5"/>
  <c r="RP217" i="5"/>
  <c r="RO217" i="5"/>
  <c r="RN217" i="5"/>
  <c r="RM217" i="5"/>
  <c r="RL217" i="5"/>
  <c r="RK217" i="5"/>
  <c r="RJ217" i="5"/>
  <c r="RI217" i="5"/>
  <c r="RH217" i="5"/>
  <c r="RG217" i="5"/>
  <c r="RS216" i="5"/>
  <c r="RR216" i="5"/>
  <c r="RQ216" i="5"/>
  <c r="RP216" i="5"/>
  <c r="RO216" i="5"/>
  <c r="RN216" i="5"/>
  <c r="RM216" i="5"/>
  <c r="RL216" i="5"/>
  <c r="RK216" i="5"/>
  <c r="RJ216" i="5"/>
  <c r="RI216" i="5"/>
  <c r="RH216" i="5"/>
  <c r="RG216" i="5"/>
  <c r="RS215" i="5"/>
  <c r="RR215" i="5"/>
  <c r="RQ215" i="5"/>
  <c r="RP215" i="5"/>
  <c r="RO215" i="5"/>
  <c r="RN215" i="5"/>
  <c r="RM215" i="5"/>
  <c r="RL215" i="5"/>
  <c r="RK215" i="5"/>
  <c r="RJ215" i="5"/>
  <c r="RI215" i="5"/>
  <c r="RH215" i="5"/>
  <c r="RG215" i="5"/>
  <c r="RS214" i="5"/>
  <c r="RR214" i="5"/>
  <c r="RQ214" i="5"/>
  <c r="RP214" i="5"/>
  <c r="RO214" i="5"/>
  <c r="RN214" i="5"/>
  <c r="RM214" i="5"/>
  <c r="RL214" i="5"/>
  <c r="RK214" i="5"/>
  <c r="RJ214" i="5"/>
  <c r="RI214" i="5"/>
  <c r="RH214" i="5"/>
  <c r="RG214" i="5"/>
  <c r="RS213" i="5"/>
  <c r="RR213" i="5"/>
  <c r="RQ213" i="5"/>
  <c r="RP213" i="5"/>
  <c r="RO213" i="5"/>
  <c r="RN213" i="5"/>
  <c r="RM213" i="5"/>
  <c r="RL213" i="5"/>
  <c r="RK213" i="5"/>
  <c r="RJ213" i="5"/>
  <c r="RI213" i="5"/>
  <c r="RH213" i="5"/>
  <c r="RG213" i="5"/>
  <c r="RS212" i="5"/>
  <c r="RR212" i="5"/>
  <c r="RQ212" i="5"/>
  <c r="RP212" i="5"/>
  <c r="RO212" i="5"/>
  <c r="RN212" i="5"/>
  <c r="RM212" i="5"/>
  <c r="RL212" i="5"/>
  <c r="RK212" i="5"/>
  <c r="RJ212" i="5"/>
  <c r="RI212" i="5"/>
  <c r="RH212" i="5"/>
  <c r="RG212" i="5"/>
  <c r="RS211" i="5"/>
  <c r="RR211" i="5"/>
  <c r="RQ211" i="5"/>
  <c r="RP211" i="5"/>
  <c r="RO211" i="5"/>
  <c r="RN211" i="5"/>
  <c r="RM211" i="5"/>
  <c r="RL211" i="5"/>
  <c r="RK211" i="5"/>
  <c r="RJ211" i="5"/>
  <c r="RI211" i="5"/>
  <c r="RH211" i="5"/>
  <c r="RG211" i="5"/>
  <c r="RS210" i="5"/>
  <c r="RR210" i="5"/>
  <c r="RQ210" i="5"/>
  <c r="RP210" i="5"/>
  <c r="RO210" i="5"/>
  <c r="RN210" i="5"/>
  <c r="RM210" i="5"/>
  <c r="RL210" i="5"/>
  <c r="RK210" i="5"/>
  <c r="RJ210" i="5"/>
  <c r="RI210" i="5"/>
  <c r="RH210" i="5"/>
  <c r="RG210" i="5"/>
  <c r="EJ210" i="5"/>
  <c r="EI210" i="5"/>
  <c r="EH210" i="5"/>
  <c r="EG210" i="5"/>
  <c r="EF210" i="5"/>
  <c r="EE210" i="5"/>
  <c r="ED210" i="5"/>
  <c r="EC210" i="5"/>
  <c r="RS209" i="5"/>
  <c r="RR209" i="5"/>
  <c r="RQ209" i="5"/>
  <c r="RP209" i="5"/>
  <c r="RO209" i="5"/>
  <c r="RN209" i="5"/>
  <c r="RM209" i="5"/>
  <c r="RL209" i="5"/>
  <c r="RK209" i="5"/>
  <c r="RJ209" i="5"/>
  <c r="RI209" i="5"/>
  <c r="RH209" i="5"/>
  <c r="RG209" i="5"/>
  <c r="EI209" i="5"/>
  <c r="EG209" i="5"/>
  <c r="EE209" i="5"/>
  <c r="EC209" i="5"/>
  <c r="RS208" i="5"/>
  <c r="RR208" i="5"/>
  <c r="RQ208" i="5"/>
  <c r="RP208" i="5"/>
  <c r="RO208" i="5"/>
  <c r="RN208" i="5"/>
  <c r="RM208" i="5"/>
  <c r="RL208" i="5"/>
  <c r="RK208" i="5"/>
  <c r="RJ208" i="5"/>
  <c r="RI208" i="5"/>
  <c r="RH208" i="5"/>
  <c r="RG208" i="5"/>
  <c r="EJ208" i="5"/>
  <c r="EI208" i="5"/>
  <c r="EH208" i="5"/>
  <c r="EG208" i="5"/>
  <c r="EF208" i="5"/>
  <c r="EE208" i="5"/>
  <c r="ED208" i="5"/>
  <c r="EC208" i="5"/>
  <c r="RS207" i="5"/>
  <c r="RR207" i="5"/>
  <c r="RQ207" i="5"/>
  <c r="RP207" i="5"/>
  <c r="RO207" i="5"/>
  <c r="RN207" i="5"/>
  <c r="RM207" i="5"/>
  <c r="RL207" i="5"/>
  <c r="RK207" i="5"/>
  <c r="RJ207" i="5"/>
  <c r="RI207" i="5"/>
  <c r="RH207" i="5"/>
  <c r="RG207" i="5"/>
  <c r="EJ207" i="5"/>
  <c r="EI207" i="5"/>
  <c r="EH207" i="5"/>
  <c r="EG207" i="5"/>
  <c r="EF207" i="5"/>
  <c r="EE207" i="5"/>
  <c r="ED207" i="5"/>
  <c r="EC207" i="5"/>
  <c r="RS206" i="5"/>
  <c r="RR206" i="5"/>
  <c r="RQ206" i="5"/>
  <c r="RP206" i="5"/>
  <c r="RO206" i="5"/>
  <c r="RN206" i="5"/>
  <c r="RM206" i="5"/>
  <c r="RL206" i="5"/>
  <c r="RK206" i="5"/>
  <c r="RJ206" i="5"/>
  <c r="RI206" i="5"/>
  <c r="RH206" i="5"/>
  <c r="RG206" i="5"/>
  <c r="EI206" i="5"/>
  <c r="EG206" i="5"/>
  <c r="EE206" i="5"/>
  <c r="EC206" i="5"/>
  <c r="RS205" i="5"/>
  <c r="RR205" i="5"/>
  <c r="RQ205" i="5"/>
  <c r="RP205" i="5"/>
  <c r="RO205" i="5"/>
  <c r="RN205" i="5"/>
  <c r="RM205" i="5"/>
  <c r="RL205" i="5"/>
  <c r="RK205" i="5"/>
  <c r="RJ205" i="5"/>
  <c r="RI205" i="5"/>
  <c r="RH205" i="5"/>
  <c r="RG205" i="5"/>
  <c r="EI205" i="5"/>
  <c r="EG205" i="5"/>
  <c r="EE205" i="5"/>
  <c r="EC205" i="5"/>
  <c r="RS204" i="5"/>
  <c r="RR204" i="5"/>
  <c r="RQ204" i="5"/>
  <c r="RP204" i="5"/>
  <c r="RO204" i="5"/>
  <c r="RN204" i="5"/>
  <c r="RM204" i="5"/>
  <c r="RL204" i="5"/>
  <c r="RK204" i="5"/>
  <c r="RJ204" i="5"/>
  <c r="RI204" i="5"/>
  <c r="RH204" i="5"/>
  <c r="RG204" i="5"/>
  <c r="EJ204" i="5"/>
  <c r="EI204" i="5"/>
  <c r="EH204" i="5"/>
  <c r="EG204" i="5"/>
  <c r="EF204" i="5"/>
  <c r="EE204" i="5"/>
  <c r="ED204" i="5"/>
  <c r="EC204" i="5"/>
  <c r="RS203" i="5"/>
  <c r="RR203" i="5"/>
  <c r="RQ203" i="5"/>
  <c r="RP203" i="5"/>
  <c r="RO203" i="5"/>
  <c r="RN203" i="5"/>
  <c r="RM203" i="5"/>
  <c r="RL203" i="5"/>
  <c r="RK203" i="5"/>
  <c r="RJ203" i="5"/>
  <c r="RI203" i="5"/>
  <c r="RH203" i="5"/>
  <c r="RG203" i="5"/>
  <c r="EJ203" i="5"/>
  <c r="EI203" i="5"/>
  <c r="EH203" i="5"/>
  <c r="EG203" i="5"/>
  <c r="EF203" i="5"/>
  <c r="EE203" i="5"/>
  <c r="ED203" i="5"/>
  <c r="EC203" i="5"/>
  <c r="RS202" i="5"/>
  <c r="RR202" i="5"/>
  <c r="RQ202" i="5"/>
  <c r="RP202" i="5"/>
  <c r="RO202" i="5"/>
  <c r="RN202" i="5"/>
  <c r="RM202" i="5"/>
  <c r="RL202" i="5"/>
  <c r="RK202" i="5"/>
  <c r="RJ202" i="5"/>
  <c r="RI202" i="5"/>
  <c r="RH202" i="5"/>
  <c r="RG202" i="5"/>
  <c r="EI202" i="5"/>
  <c r="EG202" i="5"/>
  <c r="EE202" i="5"/>
  <c r="EC202" i="5"/>
  <c r="RS201" i="5"/>
  <c r="RR201" i="5"/>
  <c r="RQ201" i="5"/>
  <c r="RP201" i="5"/>
  <c r="RO201" i="5"/>
  <c r="RN201" i="5"/>
  <c r="RM201" i="5"/>
  <c r="RL201" i="5"/>
  <c r="RK201" i="5"/>
  <c r="RJ201" i="5"/>
  <c r="RI201" i="5"/>
  <c r="RH201" i="5"/>
  <c r="RG201" i="5"/>
  <c r="EJ201" i="5"/>
  <c r="EI201" i="5"/>
  <c r="EH201" i="5"/>
  <c r="EG201" i="5"/>
  <c r="EF201" i="5"/>
  <c r="EE201" i="5"/>
  <c r="ED201" i="5"/>
  <c r="EC201" i="5"/>
  <c r="EJ200" i="5"/>
  <c r="EI200" i="5"/>
  <c r="EH200" i="5"/>
  <c r="EG200" i="5"/>
  <c r="EF200" i="5"/>
  <c r="EE200" i="5"/>
  <c r="ED200" i="5"/>
  <c r="EC200" i="5"/>
  <c r="EJ199" i="5"/>
  <c r="EI199" i="5"/>
  <c r="EH199" i="5"/>
  <c r="EG199" i="5"/>
  <c r="EF199" i="5"/>
  <c r="EE199" i="5"/>
  <c r="ED199" i="5"/>
  <c r="EC199" i="5"/>
  <c r="EI198" i="5"/>
  <c r="EG198" i="5"/>
  <c r="EE198" i="5"/>
  <c r="EC198" i="5"/>
  <c r="EI197" i="5"/>
  <c r="EG197" i="5"/>
  <c r="EE197" i="5"/>
  <c r="EC197" i="5"/>
  <c r="EI196" i="5"/>
  <c r="EG196" i="5"/>
  <c r="EE196" i="5"/>
  <c r="EC196" i="5"/>
  <c r="EJ195" i="5"/>
  <c r="EI195" i="5"/>
  <c r="EH195" i="5"/>
  <c r="EG195" i="5"/>
  <c r="EF195" i="5"/>
  <c r="EE195" i="5"/>
  <c r="ED195" i="5"/>
  <c r="EC195" i="5"/>
  <c r="EJ194" i="5"/>
  <c r="EI194" i="5"/>
  <c r="EH194" i="5"/>
  <c r="EG194" i="5"/>
  <c r="EF194" i="5"/>
  <c r="EE194" i="5"/>
  <c r="ED194" i="5"/>
  <c r="EC194" i="5"/>
  <c r="EJ193" i="5"/>
  <c r="EI193" i="5"/>
  <c r="EH193" i="5"/>
  <c r="EG193" i="5"/>
  <c r="EF193" i="5"/>
  <c r="EE193" i="5"/>
  <c r="ED193" i="5"/>
  <c r="EC193" i="5"/>
  <c r="EJ192" i="5"/>
  <c r="EI192" i="5"/>
  <c r="EH192" i="5"/>
  <c r="EG192" i="5"/>
  <c r="EF192" i="5"/>
  <c r="EE192" i="5"/>
  <c r="ED192" i="5"/>
  <c r="EC192" i="5"/>
  <c r="EI190" i="5"/>
  <c r="EG190" i="5"/>
  <c r="EE190" i="5"/>
  <c r="EC190" i="5"/>
  <c r="EI189" i="5"/>
  <c r="EG189" i="5"/>
  <c r="EE189" i="5"/>
  <c r="EC189" i="5"/>
  <c r="EI188" i="5"/>
  <c r="EG188" i="5"/>
  <c r="EE188" i="5"/>
  <c r="EC188" i="5"/>
  <c r="EI187" i="5"/>
  <c r="EG187" i="5"/>
  <c r="EE187" i="5"/>
  <c r="EC187" i="5"/>
  <c r="EJ186" i="5"/>
  <c r="EI186" i="5"/>
  <c r="EH186" i="5"/>
  <c r="EG186" i="5"/>
  <c r="EF186" i="5"/>
  <c r="EE186" i="5"/>
  <c r="ED186" i="5"/>
  <c r="EC186" i="5"/>
  <c r="EJ185" i="5"/>
  <c r="EI185" i="5"/>
  <c r="EH185" i="5"/>
  <c r="EG185" i="5"/>
  <c r="EF185" i="5"/>
  <c r="EE185" i="5"/>
  <c r="ED185" i="5"/>
  <c r="EC185" i="5"/>
  <c r="EI183" i="5"/>
  <c r="EG183" i="5"/>
  <c r="EE183" i="5"/>
  <c r="EC183" i="5"/>
  <c r="EI182" i="5"/>
  <c r="EG182" i="5"/>
  <c r="EE182" i="5"/>
  <c r="EC182" i="5"/>
  <c r="EI181" i="5"/>
  <c r="EG181" i="5"/>
  <c r="EE181" i="5"/>
  <c r="EC181" i="5"/>
  <c r="EI180" i="5"/>
  <c r="EG180" i="5"/>
  <c r="EE180" i="5"/>
  <c r="EC180" i="5"/>
  <c r="EI179" i="5"/>
  <c r="EG179" i="5"/>
  <c r="EE179" i="5"/>
  <c r="EC179" i="5"/>
  <c r="EI178" i="5"/>
  <c r="EG178" i="5"/>
  <c r="EE178" i="5"/>
  <c r="EC178" i="5"/>
  <c r="EI177" i="5"/>
  <c r="EG177" i="5"/>
  <c r="EE177" i="5"/>
  <c r="EC177" i="5"/>
  <c r="EJ176" i="5"/>
  <c r="EI176" i="5"/>
  <c r="EH176" i="5"/>
  <c r="EG176" i="5"/>
  <c r="EF176" i="5"/>
  <c r="EE176" i="5"/>
  <c r="ED176" i="5"/>
  <c r="EC176" i="5"/>
  <c r="EJ175" i="5"/>
  <c r="EI175" i="5"/>
  <c r="EH175" i="5"/>
  <c r="EG175" i="5"/>
  <c r="EF175" i="5"/>
  <c r="EE175" i="5"/>
  <c r="ED175" i="5"/>
  <c r="EC175" i="5"/>
  <c r="EI173" i="5"/>
  <c r="EG173" i="5"/>
  <c r="EE173" i="5"/>
  <c r="EC173" i="5"/>
  <c r="EI172" i="5"/>
  <c r="EG172" i="5"/>
  <c r="EE172" i="5"/>
  <c r="EC172" i="5"/>
  <c r="EI171" i="5"/>
  <c r="EG171" i="5"/>
  <c r="EE171" i="5"/>
  <c r="EC171" i="5"/>
  <c r="EI170" i="5"/>
  <c r="EG170" i="5"/>
  <c r="EE170" i="5"/>
  <c r="EC170" i="5"/>
  <c r="EI169" i="5"/>
  <c r="EG169" i="5"/>
  <c r="EE169" i="5"/>
  <c r="EC169" i="5"/>
  <c r="EI168" i="5"/>
  <c r="EG168" i="5"/>
  <c r="EE168" i="5"/>
  <c r="EC168" i="5"/>
  <c r="EJ167" i="5"/>
  <c r="EI167" i="5"/>
  <c r="EH167" i="5"/>
  <c r="EG167" i="5"/>
  <c r="EF167" i="5"/>
  <c r="EE167" i="5"/>
  <c r="ED167" i="5"/>
  <c r="EC167" i="5"/>
  <c r="EJ166" i="5"/>
  <c r="EI166" i="5"/>
  <c r="EH166" i="5"/>
  <c r="EG166" i="5"/>
  <c r="EF166" i="5"/>
  <c r="EE166" i="5"/>
  <c r="ED166" i="5"/>
  <c r="EC166" i="5"/>
  <c r="EI164" i="5"/>
  <c r="EG164" i="5"/>
  <c r="EE164" i="5"/>
  <c r="EC164" i="5"/>
  <c r="EI163" i="5"/>
  <c r="EG163" i="5"/>
  <c r="EE163" i="5"/>
  <c r="EC163" i="5"/>
  <c r="EJ162" i="5"/>
  <c r="EI162" i="5"/>
  <c r="EH162" i="5"/>
  <c r="EG162" i="5"/>
  <c r="EF162" i="5"/>
  <c r="EE162" i="5"/>
  <c r="ED162" i="5"/>
  <c r="EC162" i="5"/>
  <c r="EI161" i="5"/>
  <c r="EG161" i="5"/>
  <c r="EE161" i="5"/>
  <c r="EC161" i="5"/>
  <c r="EI160" i="5"/>
  <c r="EG160" i="5"/>
  <c r="EE160" i="5"/>
  <c r="EC160" i="5"/>
  <c r="EJ159" i="5"/>
  <c r="EI159" i="5"/>
  <c r="EH159" i="5"/>
  <c r="EG159" i="5"/>
  <c r="EF159" i="5"/>
  <c r="EE159" i="5"/>
  <c r="ED159" i="5"/>
  <c r="EC159" i="5"/>
  <c r="EJ158" i="5"/>
  <c r="EI158" i="5"/>
  <c r="EH158" i="5"/>
  <c r="EG158" i="5"/>
  <c r="EF158" i="5"/>
  <c r="EE158" i="5"/>
  <c r="ED158" i="5"/>
  <c r="EC158" i="5"/>
  <c r="EI156" i="5"/>
  <c r="EG156" i="5"/>
  <c r="EE156" i="5"/>
  <c r="EC156" i="5"/>
  <c r="EI155" i="5"/>
  <c r="EG155" i="5"/>
  <c r="EE155" i="5"/>
  <c r="EC155" i="5"/>
  <c r="EI154" i="5"/>
  <c r="EG154" i="5"/>
  <c r="EE154" i="5"/>
  <c r="EC154" i="5"/>
  <c r="EI75" i="5"/>
  <c r="EI211" i="5" s="1"/>
  <c r="EG75" i="5"/>
  <c r="EG211" i="5" s="1"/>
  <c r="EE75" i="5"/>
  <c r="EE211" i="5" s="1"/>
  <c r="EC75" i="5"/>
  <c r="EC211" i="5" s="1"/>
  <c r="DW75" i="5"/>
  <c r="DW74" i="5"/>
  <c r="DW73" i="5"/>
  <c r="DW72" i="5"/>
  <c r="DW71" i="5"/>
  <c r="DW70" i="5"/>
  <c r="BU70" i="5"/>
  <c r="DW69" i="5"/>
  <c r="BU69" i="5"/>
  <c r="EA68" i="5"/>
  <c r="EB68" i="5" s="1"/>
  <c r="DW68" i="5"/>
  <c r="BU68" i="5"/>
  <c r="DW67" i="5"/>
  <c r="BU67" i="5"/>
  <c r="DW66" i="5"/>
  <c r="BU66" i="5"/>
  <c r="EA65" i="5"/>
  <c r="EB65" i="5" s="1"/>
  <c r="DW65" i="5"/>
  <c r="BU65" i="5"/>
  <c r="EA64" i="5"/>
  <c r="DW64" i="5"/>
  <c r="BU64" i="5"/>
  <c r="EB63" i="5"/>
  <c r="DW63" i="5"/>
  <c r="BU63" i="5"/>
  <c r="DW62" i="5"/>
  <c r="BU62" i="5"/>
  <c r="DW61" i="5"/>
  <c r="CE61" i="5"/>
  <c r="BU61" i="5"/>
  <c r="DW60" i="5"/>
  <c r="CA60" i="5"/>
  <c r="BY60" i="5"/>
  <c r="BU60" i="5"/>
  <c r="EB59" i="5"/>
  <c r="DW59" i="5"/>
  <c r="CG59" i="5"/>
  <c r="CC59" i="5"/>
  <c r="BY59" i="5"/>
  <c r="BU59" i="5"/>
  <c r="DZ75" i="5"/>
  <c r="DW58" i="5"/>
  <c r="CG58" i="5"/>
  <c r="CE58" i="5"/>
  <c r="BY58" i="5"/>
  <c r="BU58" i="5"/>
  <c r="DW57" i="5"/>
  <c r="CG57" i="5"/>
  <c r="BU57" i="5"/>
  <c r="DW56" i="5"/>
  <c r="CA56" i="5"/>
  <c r="BY56" i="5"/>
  <c r="BU56" i="5"/>
  <c r="EI55" i="5"/>
  <c r="EI191" i="5" s="1"/>
  <c r="EG55" i="5"/>
  <c r="EG191" i="5" s="1"/>
  <c r="EE55" i="5"/>
  <c r="EE191" i="5" s="1"/>
  <c r="EC55" i="5"/>
  <c r="EC191" i="5" s="1"/>
  <c r="DW55" i="5"/>
  <c r="CG55" i="5"/>
  <c r="CE55" i="5"/>
  <c r="CA55" i="5"/>
  <c r="BY55" i="5"/>
  <c r="BU55" i="5"/>
  <c r="DW54" i="5"/>
  <c r="CE54" i="5"/>
  <c r="CA54" i="5"/>
  <c r="BU54" i="5"/>
  <c r="EB53" i="5"/>
  <c r="DW53" i="5"/>
  <c r="CG53" i="5"/>
  <c r="CA53" i="5"/>
  <c r="BY53" i="5"/>
  <c r="BU53" i="5"/>
  <c r="DW52" i="5"/>
  <c r="CG52" i="5"/>
  <c r="CE52" i="5"/>
  <c r="CC52" i="5"/>
  <c r="CA52" i="5"/>
  <c r="BU52" i="5"/>
  <c r="FG51" i="5"/>
  <c r="DZ55" i="5"/>
  <c r="DW51" i="5"/>
  <c r="CG51" i="5"/>
  <c r="CE51" i="5"/>
  <c r="CC51" i="5"/>
  <c r="CA51" i="5"/>
  <c r="BU51" i="5"/>
  <c r="FG50" i="5"/>
  <c r="DW50" i="5"/>
  <c r="CG50" i="5"/>
  <c r="CC50" i="5"/>
  <c r="CA50" i="5"/>
  <c r="BY50" i="5"/>
  <c r="BU50" i="5"/>
  <c r="FG49" i="5"/>
  <c r="DW49" i="5"/>
  <c r="CG49" i="5"/>
  <c r="CC49" i="5"/>
  <c r="CA49" i="5"/>
  <c r="BU49" i="5"/>
  <c r="FG48" i="5"/>
  <c r="EI48" i="5"/>
  <c r="EI184" i="5" s="1"/>
  <c r="EG48" i="5"/>
  <c r="EG184" i="5" s="1"/>
  <c r="EE48" i="5"/>
  <c r="EE184" i="5" s="1"/>
  <c r="EC48" i="5"/>
  <c r="EC184" i="5" s="1"/>
  <c r="DW48" i="5"/>
  <c r="BU48" i="5"/>
  <c r="FO47" i="5"/>
  <c r="FG47" i="5"/>
  <c r="EB47" i="5"/>
  <c r="DW47" i="5"/>
  <c r="CG47" i="5"/>
  <c r="CA47" i="5"/>
  <c r="BY47" i="5"/>
  <c r="BU47" i="5"/>
  <c r="FG46" i="5"/>
  <c r="DW46" i="5"/>
  <c r="CG46" i="5"/>
  <c r="CA46" i="5"/>
  <c r="BY46" i="5"/>
  <c r="BU46" i="5"/>
  <c r="FS45" i="5"/>
  <c r="FQ45" i="5"/>
  <c r="FO45" i="5"/>
  <c r="FM45" i="5"/>
  <c r="FG45" i="5"/>
  <c r="EB45" i="5"/>
  <c r="DW45" i="5"/>
  <c r="CG45" i="5"/>
  <c r="CE45" i="5"/>
  <c r="CA45" i="5"/>
  <c r="BY45" i="5"/>
  <c r="BU45" i="5"/>
  <c r="FG44" i="5"/>
  <c r="DW44" i="5"/>
  <c r="BU44" i="5"/>
  <c r="FG43" i="5"/>
  <c r="DW43" i="5"/>
  <c r="BU43" i="5"/>
  <c r="FY42" i="5"/>
  <c r="FL42" i="5"/>
  <c r="FG42" i="5"/>
  <c r="EO42" i="5"/>
  <c r="DW42" i="5"/>
  <c r="CL62" i="5"/>
  <c r="CL64" i="5" s="1"/>
  <c r="CK42" i="5"/>
  <c r="CK62" i="5" s="1"/>
  <c r="CJ62" i="5"/>
  <c r="CE42" i="5"/>
  <c r="CD62" i="5"/>
  <c r="BY42" i="5"/>
  <c r="BU42" i="5"/>
  <c r="FY41" i="5"/>
  <c r="FG41" i="5"/>
  <c r="EO41" i="5"/>
  <c r="DW41" i="5"/>
  <c r="BU41" i="5"/>
  <c r="A41" i="5"/>
  <c r="FY40" i="5"/>
  <c r="FG40" i="5"/>
  <c r="EO40" i="5"/>
  <c r="DW40" i="5"/>
  <c r="BU40" i="5"/>
  <c r="A40" i="5"/>
  <c r="GD39" i="5"/>
  <c r="GD41" i="5" s="1"/>
  <c r="GD42" i="5" s="1"/>
  <c r="FY39" i="5"/>
  <c r="FG39" i="5"/>
  <c r="FE39" i="5"/>
  <c r="FE41" i="5" s="1"/>
  <c r="EO39" i="5"/>
  <c r="DW39" i="5"/>
  <c r="CJ39" i="5"/>
  <c r="BX39" i="5"/>
  <c r="BU39" i="5"/>
  <c r="A39" i="5"/>
  <c r="FY38" i="5"/>
  <c r="FG38" i="5"/>
  <c r="EO38" i="5"/>
  <c r="EI38" i="5"/>
  <c r="EI174" i="5" s="1"/>
  <c r="EG38" i="5"/>
  <c r="EG174" i="5" s="1"/>
  <c r="EE38" i="5"/>
  <c r="EE174" i="5" s="1"/>
  <c r="EC38" i="5"/>
  <c r="EC174" i="5" s="1"/>
  <c r="DW38" i="5"/>
  <c r="CL38" i="5"/>
  <c r="CK38" i="5"/>
  <c r="CJ38" i="5"/>
  <c r="CI38" i="5"/>
  <c r="BY38" i="5"/>
  <c r="BX38" i="5"/>
  <c r="BU38" i="5"/>
  <c r="A38" i="5"/>
  <c r="GQ37" i="5"/>
  <c r="GD37" i="5"/>
  <c r="GC37" i="5"/>
  <c r="GC39" i="5" s="1"/>
  <c r="GB37" i="5"/>
  <c r="GB39" i="5" s="1"/>
  <c r="FY37" i="5"/>
  <c r="FG37" i="5"/>
  <c r="FF37" i="5"/>
  <c r="FF39" i="5" s="1"/>
  <c r="FE37" i="5"/>
  <c r="FD37" i="5"/>
  <c r="FD39" i="5" s="1"/>
  <c r="FC37" i="5"/>
  <c r="FC39" i="5" s="1"/>
  <c r="EO37" i="5"/>
  <c r="DW37" i="5"/>
  <c r="CE37" i="5"/>
  <c r="AY240" i="3" s="1"/>
  <c r="CC37" i="5"/>
  <c r="AY179" i="3" s="1"/>
  <c r="CA37" i="5"/>
  <c r="AY118" i="3" s="1"/>
  <c r="BU37" i="5"/>
  <c r="A37" i="5"/>
  <c r="GX36" i="5"/>
  <c r="GW36" i="5"/>
  <c r="GQ36" i="5"/>
  <c r="GF36" i="5"/>
  <c r="GH36" i="5" s="1"/>
  <c r="GJ36" i="5" s="1"/>
  <c r="GL36" i="5" s="1"/>
  <c r="GC36" i="5"/>
  <c r="FY36" i="5"/>
  <c r="FG36" i="5"/>
  <c r="EO36" i="5"/>
  <c r="EB36" i="5"/>
  <c r="DW36" i="5"/>
  <c r="CH38" i="5"/>
  <c r="CF38" i="5"/>
  <c r="CD38" i="5"/>
  <c r="CA36" i="5"/>
  <c r="BZ38" i="5"/>
  <c r="BU36" i="5"/>
  <c r="A36" i="5"/>
  <c r="GQ35" i="5"/>
  <c r="GK37" i="5"/>
  <c r="GK39" i="5" s="1"/>
  <c r="GG37" i="5"/>
  <c r="GG39" i="5" s="1"/>
  <c r="GF35" i="5"/>
  <c r="GC35" i="5"/>
  <c r="FY35" i="5"/>
  <c r="FG35" i="5"/>
  <c r="EO35" i="5"/>
  <c r="DW35" i="5"/>
  <c r="BU35" i="5"/>
  <c r="A35" i="5"/>
  <c r="GZ34" i="5"/>
  <c r="GY34" i="5"/>
  <c r="GX34" i="5"/>
  <c r="GW34" i="5"/>
  <c r="GQ34" i="5"/>
  <c r="FY34" i="5"/>
  <c r="FG34" i="5"/>
  <c r="EZ37" i="5"/>
  <c r="EZ39" i="5" s="1"/>
  <c r="EY37" i="5"/>
  <c r="EY39" i="5" s="1"/>
  <c r="EU37" i="5"/>
  <c r="ER37" i="5"/>
  <c r="ER39" i="5" s="1"/>
  <c r="EO34" i="5"/>
  <c r="DW34" i="5"/>
  <c r="BU34" i="5"/>
  <c r="A34" i="5"/>
  <c r="GQ33" i="5"/>
  <c r="FY33" i="5"/>
  <c r="FS33" i="5"/>
  <c r="FQ33" i="5"/>
  <c r="FO33" i="5"/>
  <c r="FM33" i="5"/>
  <c r="FG33" i="5"/>
  <c r="EO33" i="5"/>
  <c r="DW33" i="5"/>
  <c r="BU33" i="5"/>
  <c r="F33" i="5"/>
  <c r="A33" i="5"/>
  <c r="HC32" i="5"/>
  <c r="GQ32" i="5"/>
  <c r="FY32" i="5"/>
  <c r="FG32" i="5"/>
  <c r="EO32" i="5"/>
  <c r="EB32" i="5"/>
  <c r="DW32" i="5"/>
  <c r="CL32" i="5"/>
  <c r="CL39" i="5" s="1"/>
  <c r="CK32" i="5"/>
  <c r="CJ32" i="5"/>
  <c r="CI32" i="5"/>
  <c r="BY32" i="5"/>
  <c r="BX32" i="5"/>
  <c r="BU32" i="5"/>
  <c r="F32" i="5"/>
  <c r="A32" i="5"/>
  <c r="GQ31" i="5"/>
  <c r="FY31" i="5"/>
  <c r="FG31" i="5"/>
  <c r="EO31" i="5"/>
  <c r="DW31" i="5"/>
  <c r="BU31" i="5"/>
  <c r="F31" i="5"/>
  <c r="A31" i="5"/>
  <c r="GQ30" i="5"/>
  <c r="GC30" i="5"/>
  <c r="GB30" i="5"/>
  <c r="FY30" i="5"/>
  <c r="FG30" i="5"/>
  <c r="EO30" i="5"/>
  <c r="DW30" i="5"/>
  <c r="DU30" i="5"/>
  <c r="DS30" i="5"/>
  <c r="DE30" i="5"/>
  <c r="CG30" i="5"/>
  <c r="CA30" i="5"/>
  <c r="BU30" i="5"/>
  <c r="BC30" i="5"/>
  <c r="A30" i="5"/>
  <c r="GQ29" i="5"/>
  <c r="FY29" i="5"/>
  <c r="FL29" i="5"/>
  <c r="FJ33" i="5"/>
  <c r="FG29" i="5"/>
  <c r="FF29" i="5"/>
  <c r="FE29" i="5"/>
  <c r="FD29" i="5"/>
  <c r="FC29" i="5"/>
  <c r="EO29" i="5"/>
  <c r="EI29" i="5"/>
  <c r="EI165" i="5" s="1"/>
  <c r="EG29" i="5"/>
  <c r="EG165" i="5" s="1"/>
  <c r="EE29" i="5"/>
  <c r="EE165" i="5" s="1"/>
  <c r="EC29" i="5"/>
  <c r="EC165" i="5" s="1"/>
  <c r="DW29" i="5"/>
  <c r="DE29" i="5"/>
  <c r="DA29" i="5"/>
  <c r="CM29" i="5"/>
  <c r="CG29" i="5"/>
  <c r="BU29" i="5"/>
  <c r="BC29" i="5"/>
  <c r="AK29" i="5"/>
  <c r="A29" i="5"/>
  <c r="GQ28" i="5"/>
  <c r="GK30" i="5"/>
  <c r="GI30" i="5"/>
  <c r="BE240" i="3" s="1"/>
  <c r="GG30" i="5"/>
  <c r="GE30" i="5"/>
  <c r="BE118" i="3" s="1"/>
  <c r="GF28" i="5"/>
  <c r="GF30" i="5" s="1"/>
  <c r="FY28" i="5"/>
  <c r="FG28" i="5"/>
  <c r="EO28" i="5"/>
  <c r="DW28" i="5"/>
  <c r="DV28" i="5"/>
  <c r="DV30" i="5" s="1"/>
  <c r="DU28" i="5"/>
  <c r="DT28" i="5"/>
  <c r="DT30" i="5" s="1"/>
  <c r="DS28" i="5"/>
  <c r="DE28" i="5"/>
  <c r="DC28" i="5"/>
  <c r="DA28" i="5"/>
  <c r="CW28" i="5"/>
  <c r="CM28" i="5"/>
  <c r="CC28" i="5"/>
  <c r="BU28" i="5"/>
  <c r="BR28" i="5"/>
  <c r="BC28" i="5"/>
  <c r="AW28" i="5"/>
  <c r="AQ28" i="5"/>
  <c r="AK28" i="5"/>
  <c r="A28" i="5"/>
  <c r="GQ27" i="5"/>
  <c r="FY27" i="5"/>
  <c r="FG27" i="5"/>
  <c r="EO27" i="5"/>
  <c r="DW27" i="5"/>
  <c r="DE27" i="5"/>
  <c r="CM27" i="5"/>
  <c r="CE27" i="5"/>
  <c r="BU27" i="5"/>
  <c r="BC27" i="5"/>
  <c r="AK27" i="5"/>
  <c r="A27" i="5"/>
  <c r="GQ26" i="5"/>
  <c r="GI26" i="5"/>
  <c r="GC26" i="5"/>
  <c r="GB26" i="5"/>
  <c r="FY26" i="5"/>
  <c r="FG26" i="5"/>
  <c r="FA29" i="5"/>
  <c r="EZ29" i="5"/>
  <c r="EX29" i="5"/>
  <c r="EW29" i="5"/>
  <c r="EV29" i="5"/>
  <c r="ES29" i="5"/>
  <c r="ER29" i="5"/>
  <c r="EO26" i="5"/>
  <c r="DW26" i="5"/>
  <c r="DE26" i="5"/>
  <c r="DC26" i="5"/>
  <c r="DC29" i="5" s="1"/>
  <c r="DA26" i="5"/>
  <c r="CY26" i="5"/>
  <c r="CW26" i="5"/>
  <c r="CU26" i="5"/>
  <c r="CS26" i="5"/>
  <c r="CS28" i="5" s="1"/>
  <c r="CS29" i="5" s="1"/>
  <c r="CM26" i="5"/>
  <c r="CE26" i="5"/>
  <c r="CA26" i="5"/>
  <c r="BU26" i="5"/>
  <c r="BR26" i="5"/>
  <c r="BC26" i="5"/>
  <c r="BA26" i="5"/>
  <c r="BA29" i="5" s="1"/>
  <c r="AY26" i="5"/>
  <c r="AY29" i="5" s="1"/>
  <c r="AW26" i="5"/>
  <c r="AU26" i="5"/>
  <c r="AS26" i="5"/>
  <c r="AS28" i="5" s="1"/>
  <c r="AQ26" i="5"/>
  <c r="AK26" i="5"/>
  <c r="A26" i="5"/>
  <c r="GQ25" i="5"/>
  <c r="FY25" i="5"/>
  <c r="FG25" i="5"/>
  <c r="EO25" i="5"/>
  <c r="DW25" i="5"/>
  <c r="DE25" i="5"/>
  <c r="CR25" i="5"/>
  <c r="CT25" i="5" s="1"/>
  <c r="CV25" i="5" s="1"/>
  <c r="CX25" i="5" s="1"/>
  <c r="CZ25" i="5" s="1"/>
  <c r="DB25" i="5" s="1"/>
  <c r="DD25" i="5" s="1"/>
  <c r="CM25" i="5"/>
  <c r="CE25" i="5"/>
  <c r="CC25" i="5"/>
  <c r="CA25" i="5"/>
  <c r="BU25" i="5"/>
  <c r="BC25" i="5"/>
  <c r="AK25" i="5"/>
  <c r="F25" i="5"/>
  <c r="A25" i="5"/>
  <c r="GQ24" i="5"/>
  <c r="GK26" i="5"/>
  <c r="GG26" i="5"/>
  <c r="GE26" i="5"/>
  <c r="GD26" i="5"/>
  <c r="FY24" i="5"/>
  <c r="FU24" i="5"/>
  <c r="FL24" i="5"/>
  <c r="FG24" i="5"/>
  <c r="EO24" i="5"/>
  <c r="EB24" i="5"/>
  <c r="DZ29" i="5"/>
  <c r="DW24" i="5"/>
  <c r="DM26" i="5"/>
  <c r="DM28" i="5" s="1"/>
  <c r="DK26" i="5"/>
  <c r="DK28" i="5" s="1"/>
  <c r="DI26" i="5"/>
  <c r="DI28" i="5" s="1"/>
  <c r="DH26" i="5"/>
  <c r="DE24" i="5"/>
  <c r="CQ26" i="5"/>
  <c r="CQ28" i="5" s="1"/>
  <c r="CP26" i="5"/>
  <c r="CM24" i="5"/>
  <c r="CC24" i="5"/>
  <c r="BU24" i="5"/>
  <c r="BC24" i="5"/>
  <c r="AO26" i="5"/>
  <c r="AK24" i="5"/>
  <c r="A24" i="5"/>
  <c r="GQ23" i="5"/>
  <c r="FY23" i="5"/>
  <c r="FL23" i="5"/>
  <c r="FG23" i="5"/>
  <c r="FF23" i="5"/>
  <c r="FF31" i="5" s="1"/>
  <c r="FE23" i="5"/>
  <c r="FE31" i="5" s="1"/>
  <c r="FD23" i="5"/>
  <c r="FD31" i="5" s="1"/>
  <c r="FC23" i="5"/>
  <c r="FC31" i="5" s="1"/>
  <c r="EO23" i="5"/>
  <c r="DW23" i="5"/>
  <c r="DE23" i="5"/>
  <c r="CM23" i="5"/>
  <c r="BU23" i="5"/>
  <c r="BC23" i="5"/>
  <c r="AK23" i="5"/>
  <c r="A23" i="5"/>
  <c r="GQ22" i="5"/>
  <c r="GC22" i="5"/>
  <c r="GC32" i="5" s="1"/>
  <c r="GB22" i="5"/>
  <c r="GB32" i="5" s="1"/>
  <c r="FY22" i="5"/>
  <c r="FW22" i="5"/>
  <c r="FW24" i="5" s="1"/>
  <c r="FU22" i="5"/>
  <c r="FG22" i="5"/>
  <c r="FF22" i="5"/>
  <c r="EO22" i="5"/>
  <c r="DW22" i="5"/>
  <c r="DE22" i="5"/>
  <c r="CM22" i="5"/>
  <c r="CG22" i="5"/>
  <c r="CE22" i="5"/>
  <c r="CC22" i="5"/>
  <c r="CA22" i="5"/>
  <c r="BU22" i="5"/>
  <c r="BR22" i="5"/>
  <c r="BC22" i="5"/>
  <c r="AK22" i="5"/>
  <c r="F22" i="5"/>
  <c r="A22" i="5"/>
  <c r="GQ21" i="5"/>
  <c r="FY21" i="5"/>
  <c r="FX21" i="5"/>
  <c r="FV21" i="5"/>
  <c r="FG21" i="5"/>
  <c r="FF21" i="5"/>
  <c r="EO21" i="5"/>
  <c r="EI21" i="5"/>
  <c r="EI157" i="5" s="1"/>
  <c r="EG21" i="5"/>
  <c r="EG157" i="5" s="1"/>
  <c r="EE21" i="5"/>
  <c r="EE157" i="5" s="1"/>
  <c r="EC21" i="5"/>
  <c r="EC157" i="5" s="1"/>
  <c r="DW21" i="5"/>
  <c r="DE21" i="5"/>
  <c r="DC21" i="5"/>
  <c r="DA21" i="5"/>
  <c r="CY21" i="5"/>
  <c r="CW21" i="5"/>
  <c r="CU21" i="5"/>
  <c r="CS21" i="5"/>
  <c r="CM21" i="5"/>
  <c r="CG21" i="5"/>
  <c r="CE21" i="5"/>
  <c r="CA21" i="5"/>
  <c r="BU21" i="5"/>
  <c r="BC21" i="5"/>
  <c r="BA21" i="5"/>
  <c r="AY21" i="5"/>
  <c r="AK21" i="5"/>
  <c r="A21" i="5"/>
  <c r="GQ20" i="5"/>
  <c r="GK22" i="5"/>
  <c r="GK32" i="5" s="1"/>
  <c r="GI22" i="5"/>
  <c r="GI32" i="5" s="1"/>
  <c r="GG22" i="5"/>
  <c r="GG32" i="5" s="1"/>
  <c r="GE22" i="5"/>
  <c r="GD22" i="5"/>
  <c r="FY20" i="5"/>
  <c r="FV20" i="5"/>
  <c r="FX20" i="5" s="1"/>
  <c r="FG20" i="5"/>
  <c r="FB23" i="5"/>
  <c r="FA23" i="5"/>
  <c r="FA31" i="5" s="1"/>
  <c r="EY23" i="5"/>
  <c r="BC237" i="3" s="1"/>
  <c r="EW23" i="5"/>
  <c r="BC176" i="3" s="1"/>
  <c r="EV23" i="5"/>
  <c r="EU23" i="5"/>
  <c r="BC115" i="3" s="1"/>
  <c r="ET23" i="5"/>
  <c r="ES23" i="5"/>
  <c r="ES31" i="5" s="1"/>
  <c r="EO20" i="5"/>
  <c r="EB20" i="5"/>
  <c r="DW20" i="5"/>
  <c r="DE20" i="5"/>
  <c r="CM20" i="5"/>
  <c r="CG20" i="5"/>
  <c r="CC20" i="5"/>
  <c r="BU20" i="5"/>
  <c r="BT20" i="5"/>
  <c r="BH20" i="5"/>
  <c r="BC20" i="5"/>
  <c r="AP20" i="5"/>
  <c r="AR20" i="5" s="1"/>
  <c r="AT20" i="5" s="1"/>
  <c r="AV20" i="5" s="1"/>
  <c r="AX20" i="5" s="1"/>
  <c r="AZ20" i="5" s="1"/>
  <c r="BB20" i="5" s="1"/>
  <c r="AK20" i="5"/>
  <c r="F20" i="5"/>
  <c r="H20" i="5" s="1"/>
  <c r="A20" i="5"/>
  <c r="GQ19" i="5"/>
  <c r="FY19" i="5"/>
  <c r="FS19" i="5"/>
  <c r="FQ19" i="5"/>
  <c r="FO19" i="5"/>
  <c r="FM19" i="5"/>
  <c r="FG19" i="5"/>
  <c r="EO19" i="5"/>
  <c r="DW19" i="5"/>
  <c r="DE19" i="5"/>
  <c r="CR19" i="5"/>
  <c r="CT19" i="5" s="1"/>
  <c r="CV19" i="5" s="1"/>
  <c r="CX19" i="5" s="1"/>
  <c r="CZ19" i="5" s="1"/>
  <c r="DB19" i="5" s="1"/>
  <c r="DD19" i="5" s="1"/>
  <c r="CM19" i="5"/>
  <c r="BU19" i="5"/>
  <c r="BT19" i="5"/>
  <c r="BH19" i="5"/>
  <c r="BJ19" i="5" s="1"/>
  <c r="BC19" i="5"/>
  <c r="AP19" i="5"/>
  <c r="AK19" i="5"/>
  <c r="A19" i="5"/>
  <c r="GV18" i="5"/>
  <c r="GQ18" i="5"/>
  <c r="FY18" i="5"/>
  <c r="FG18" i="5"/>
  <c r="EO18" i="5"/>
  <c r="DZ21" i="5"/>
  <c r="DW18" i="5"/>
  <c r="DE18" i="5"/>
  <c r="CQ21" i="5"/>
  <c r="CR18" i="5"/>
  <c r="CM18" i="5"/>
  <c r="BU18" i="5"/>
  <c r="BT18" i="5"/>
  <c r="BH18" i="5"/>
  <c r="BC18" i="5"/>
  <c r="AW21" i="5"/>
  <c r="AS21" i="5"/>
  <c r="AQ21" i="5"/>
  <c r="AO21" i="5"/>
  <c r="AK18" i="5"/>
  <c r="G27" i="5"/>
  <c r="A18" i="5"/>
  <c r="GQ17" i="5"/>
  <c r="FY17" i="5"/>
  <c r="FG17" i="5"/>
  <c r="EO17" i="5"/>
  <c r="DW17" i="5"/>
  <c r="DE17" i="5"/>
  <c r="CM17" i="5"/>
  <c r="BU17" i="5"/>
  <c r="BT17" i="5"/>
  <c r="BT22" i="5" s="1"/>
  <c r="BT26" i="5" s="1"/>
  <c r="BT28" i="5" s="1"/>
  <c r="BK22" i="5"/>
  <c r="BK26" i="5" s="1"/>
  <c r="BG22" i="5"/>
  <c r="BG26" i="5" s="1"/>
  <c r="BC17" i="5"/>
  <c r="AK17" i="5"/>
  <c r="A17" i="5"/>
  <c r="GQ16" i="5"/>
  <c r="P140" i="4"/>
  <c r="SM106" i="4"/>
  <c r="SM105" i="4"/>
  <c r="SM104" i="4"/>
  <c r="TA103" i="4"/>
  <c r="SM103" i="4"/>
  <c r="TD102" i="4"/>
  <c r="TD103" i="4" s="1"/>
  <c r="TB102" i="4"/>
  <c r="TC102" i="4" s="1"/>
  <c r="SM102" i="4"/>
  <c r="TD101" i="4"/>
  <c r="TC101" i="4"/>
  <c r="TB101" i="4"/>
  <c r="SM101" i="4"/>
  <c r="TD100" i="4"/>
  <c r="TB100" i="4"/>
  <c r="SM100" i="4"/>
  <c r="SM99" i="4"/>
  <c r="SM98" i="4"/>
  <c r="SM97" i="4"/>
  <c r="SM96" i="4"/>
  <c r="SM95" i="4"/>
  <c r="SM94" i="4"/>
  <c r="SM93" i="4"/>
  <c r="SM92" i="4"/>
  <c r="TC91" i="4"/>
  <c r="TA91" i="4"/>
  <c r="SM91" i="4"/>
  <c r="TC90" i="4"/>
  <c r="TA90" i="4"/>
  <c r="SM90" i="4"/>
  <c r="TC89" i="4"/>
  <c r="TA89" i="4"/>
  <c r="SM89" i="4"/>
  <c r="TC88" i="4"/>
  <c r="TA88" i="4"/>
  <c r="TA92" i="4" s="1"/>
  <c r="TA94" i="4" s="1"/>
  <c r="SM88" i="4"/>
  <c r="SM87" i="4"/>
  <c r="SM86" i="4"/>
  <c r="TD85" i="4"/>
  <c r="TC85" i="4"/>
  <c r="TB85" i="4"/>
  <c r="TA85" i="4"/>
  <c r="SU85" i="4"/>
  <c r="SM85" i="4"/>
  <c r="SM84" i="4"/>
  <c r="SM83" i="4"/>
  <c r="SW85" i="4"/>
  <c r="ST82" i="4"/>
  <c r="SM82" i="4"/>
  <c r="SM81" i="4"/>
  <c r="SM80" i="4"/>
  <c r="SM79" i="4"/>
  <c r="A79" i="4"/>
  <c r="SM78" i="4"/>
  <c r="A78" i="4"/>
  <c r="SM77" i="4"/>
  <c r="A77" i="4"/>
  <c r="TC76" i="4"/>
  <c r="TA76" i="4"/>
  <c r="TA78" i="4" s="1"/>
  <c r="SM76" i="4"/>
  <c r="A76" i="4"/>
  <c r="SM75" i="4"/>
  <c r="S75" i="4"/>
  <c r="A75" i="4"/>
  <c r="TC74" i="4"/>
  <c r="TA74" i="4"/>
  <c r="SM74" i="4"/>
  <c r="S74" i="4"/>
  <c r="A74" i="4"/>
  <c r="SM73" i="4"/>
  <c r="AE73" i="4"/>
  <c r="AC73" i="4"/>
  <c r="AA73" i="4"/>
  <c r="Y73" i="4"/>
  <c r="S73" i="4"/>
  <c r="A73" i="4"/>
  <c r="ST72" i="4"/>
  <c r="SM72" i="4"/>
  <c r="S72" i="4"/>
  <c r="Q72" i="4"/>
  <c r="O72" i="4"/>
  <c r="M72" i="4"/>
  <c r="K72" i="4"/>
  <c r="I72" i="4"/>
  <c r="G72" i="4"/>
  <c r="A72" i="4"/>
  <c r="SM71" i="4"/>
  <c r="AE71" i="4"/>
  <c r="AC71" i="4"/>
  <c r="AA71" i="4"/>
  <c r="Y71" i="4"/>
  <c r="S71" i="4"/>
  <c r="E71" i="4"/>
  <c r="A71" i="4"/>
  <c r="SY74" i="4"/>
  <c r="SY76" i="4" s="1"/>
  <c r="SY78" i="4" s="1"/>
  <c r="AJ287" i="3" s="1"/>
  <c r="SW74" i="4"/>
  <c r="SW76" i="4" s="1"/>
  <c r="SU74" i="4"/>
  <c r="SU76" i="4" s="1"/>
  <c r="ST70" i="4"/>
  <c r="SM70" i="4"/>
  <c r="AE70" i="4"/>
  <c r="AC70" i="4"/>
  <c r="AA70" i="4"/>
  <c r="Y70" i="4"/>
  <c r="S70" i="4"/>
  <c r="A70" i="4"/>
  <c r="SM69" i="4"/>
  <c r="S69" i="4"/>
  <c r="A69" i="4"/>
  <c r="SM68" i="4"/>
  <c r="AE68" i="4"/>
  <c r="AC68" i="4"/>
  <c r="AA68" i="4"/>
  <c r="Y68" i="4"/>
  <c r="S68" i="4"/>
  <c r="E68" i="4"/>
  <c r="A68" i="4"/>
  <c r="TD67" i="4"/>
  <c r="TC67" i="4"/>
  <c r="TB67" i="4"/>
  <c r="TA67" i="4"/>
  <c r="SM67" i="4"/>
  <c r="AE67" i="4"/>
  <c r="AC67" i="4"/>
  <c r="AA67" i="4"/>
  <c r="Y67" i="4"/>
  <c r="S67" i="4"/>
  <c r="A67" i="4"/>
  <c r="ST66" i="4"/>
  <c r="SM66" i="4"/>
  <c r="S66" i="4"/>
  <c r="A66" i="4"/>
  <c r="ST65" i="4"/>
  <c r="SM65" i="4"/>
  <c r="S65" i="4"/>
  <c r="A65" i="4"/>
  <c r="SU67" i="4"/>
  <c r="ST64" i="4"/>
  <c r="SS67" i="4"/>
  <c r="SM64" i="4"/>
  <c r="AE64" i="4"/>
  <c r="AC64" i="4"/>
  <c r="AA64" i="4"/>
  <c r="S64" i="4"/>
  <c r="A64" i="4"/>
  <c r="SM63" i="4"/>
  <c r="AE63" i="4"/>
  <c r="AC63" i="4"/>
  <c r="AA63" i="4"/>
  <c r="Y63" i="4"/>
  <c r="S63" i="4"/>
  <c r="A63" i="4"/>
  <c r="TC62" i="4"/>
  <c r="SM62" i="4"/>
  <c r="AE62" i="4"/>
  <c r="AC62" i="4"/>
  <c r="AA62" i="4"/>
  <c r="S62" i="4"/>
  <c r="Q62" i="4"/>
  <c r="O62" i="4"/>
  <c r="M62" i="4"/>
  <c r="I62" i="4"/>
  <c r="A62" i="4"/>
  <c r="SM61" i="4"/>
  <c r="S61" i="4"/>
  <c r="H61" i="4"/>
  <c r="F61" i="4"/>
  <c r="A61" i="4"/>
  <c r="UK60" i="4"/>
  <c r="TC60" i="4"/>
  <c r="TA60" i="4"/>
  <c r="TA62" i="4" s="1"/>
  <c r="SM60" i="4"/>
  <c r="S60" i="4"/>
  <c r="F60" i="4"/>
  <c r="A60" i="4"/>
  <c r="UK59" i="4"/>
  <c r="SM59" i="4"/>
  <c r="S59" i="4"/>
  <c r="F59" i="4"/>
  <c r="A59" i="4"/>
  <c r="SM58" i="4"/>
  <c r="S58" i="4"/>
  <c r="H58" i="4"/>
  <c r="J58" i="4" s="1"/>
  <c r="F58" i="4"/>
  <c r="A58" i="4"/>
  <c r="SM57" i="4"/>
  <c r="S57" i="4"/>
  <c r="A57" i="4"/>
  <c r="TC56" i="4"/>
  <c r="TA56" i="4"/>
  <c r="SM56" i="4"/>
  <c r="S56" i="4"/>
  <c r="A56" i="4"/>
  <c r="ST55" i="4"/>
  <c r="SV55" i="4" s="1"/>
  <c r="SX55" i="4" s="1"/>
  <c r="SZ55" i="4" s="1"/>
  <c r="TB55" i="4" s="1"/>
  <c r="TD55" i="4" s="1"/>
  <c r="SM55" i="4"/>
  <c r="AE55" i="4"/>
  <c r="AC55" i="4"/>
  <c r="AA55" i="4"/>
  <c r="Y55" i="4"/>
  <c r="S55" i="4"/>
  <c r="A55" i="4"/>
  <c r="ST54" i="4"/>
  <c r="SV54" i="4" s="1"/>
  <c r="SX54" i="4" s="1"/>
  <c r="SZ54" i="4" s="1"/>
  <c r="TB54" i="4" s="1"/>
  <c r="TD54" i="4" s="1"/>
  <c r="SM54" i="4"/>
  <c r="X54" i="4"/>
  <c r="S54" i="4"/>
  <c r="F54" i="4"/>
  <c r="A54" i="4"/>
  <c r="ST53" i="4"/>
  <c r="SV53" i="4" s="1"/>
  <c r="SM53" i="4"/>
  <c r="OW53" i="4"/>
  <c r="W53" i="4"/>
  <c r="S53" i="4"/>
  <c r="H53" i="4"/>
  <c r="F53" i="4"/>
  <c r="A53" i="4"/>
  <c r="SM52" i="4"/>
  <c r="OW52" i="4"/>
  <c r="W52" i="4"/>
  <c r="S52" i="4"/>
  <c r="A52" i="4"/>
  <c r="SM51" i="4"/>
  <c r="OW51" i="4"/>
  <c r="S51" i="4"/>
  <c r="A51" i="4"/>
  <c r="SM50" i="4"/>
  <c r="PE50" i="4"/>
  <c r="PD50" i="4"/>
  <c r="OW50" i="4"/>
  <c r="S50" i="4"/>
  <c r="E50" i="4"/>
  <c r="A50" i="4"/>
  <c r="TD49" i="4"/>
  <c r="TC49" i="4"/>
  <c r="TB49" i="4"/>
  <c r="TA49" i="4"/>
  <c r="SM49" i="4"/>
  <c r="OW49" i="4"/>
  <c r="S49" i="4"/>
  <c r="A49" i="4"/>
  <c r="SM48" i="4"/>
  <c r="PF48" i="4"/>
  <c r="PE48" i="4"/>
  <c r="PD48" i="4"/>
  <c r="PC48" i="4"/>
  <c r="PB48" i="4"/>
  <c r="PA48" i="4"/>
  <c r="OZ48" i="4"/>
  <c r="OW48" i="4"/>
  <c r="W48" i="4"/>
  <c r="S48" i="4"/>
  <c r="A48" i="4"/>
  <c r="ST47" i="4"/>
  <c r="SM47" i="4"/>
  <c r="PN48" i="4"/>
  <c r="PN50" i="4" s="1"/>
  <c r="PJ48" i="4"/>
  <c r="PJ50" i="4" s="1"/>
  <c r="PH48" i="4"/>
  <c r="OW47" i="4"/>
  <c r="V68" i="4"/>
  <c r="S47" i="4"/>
  <c r="A47" i="4"/>
  <c r="ST46" i="4"/>
  <c r="SM46" i="4"/>
  <c r="OW46" i="4"/>
  <c r="W46" i="4"/>
  <c r="S46" i="4"/>
  <c r="A46" i="4"/>
  <c r="SM45" i="4"/>
  <c r="OW45" i="4"/>
  <c r="W45" i="4"/>
  <c r="S45" i="4"/>
  <c r="E78" i="3"/>
  <c r="F45" i="4"/>
  <c r="A45" i="4"/>
  <c r="SM44" i="4"/>
  <c r="OW44" i="4"/>
  <c r="S44" i="4"/>
  <c r="F44" i="4"/>
  <c r="A44" i="4"/>
  <c r="SM43" i="4"/>
  <c r="OW43" i="4"/>
  <c r="W43" i="4"/>
  <c r="S43" i="4"/>
  <c r="A43" i="4"/>
  <c r="SM42" i="4"/>
  <c r="OW42" i="4"/>
  <c r="S42" i="4"/>
  <c r="F42" i="4"/>
  <c r="A42" i="4"/>
  <c r="SM41" i="4"/>
  <c r="OW41" i="4"/>
  <c r="S41" i="4"/>
  <c r="Q46" i="4"/>
  <c r="Q63" i="4" s="1"/>
  <c r="E400" i="3" s="1"/>
  <c r="O46" i="4"/>
  <c r="H41" i="4"/>
  <c r="F41" i="4"/>
  <c r="A41" i="4"/>
  <c r="TF40" i="4"/>
  <c r="TC40" i="4"/>
  <c r="SM40" i="4"/>
  <c r="OW40" i="4"/>
  <c r="S40" i="4"/>
  <c r="J40" i="4"/>
  <c r="H40" i="4"/>
  <c r="F40" i="4"/>
  <c r="A40" i="4"/>
  <c r="TF39" i="4"/>
  <c r="SM39" i="4"/>
  <c r="OW39" i="4"/>
  <c r="AE39" i="4"/>
  <c r="AC39" i="4"/>
  <c r="AA39" i="4"/>
  <c r="S39" i="4"/>
  <c r="J39" i="4"/>
  <c r="H39" i="4"/>
  <c r="F39" i="4"/>
  <c r="A39" i="4"/>
  <c r="TF38" i="4"/>
  <c r="TC38" i="4"/>
  <c r="TA38" i="4"/>
  <c r="TA40" i="4" s="1"/>
  <c r="SM38" i="4"/>
  <c r="OW38" i="4"/>
  <c r="OE38" i="4"/>
  <c r="AE38" i="4"/>
  <c r="AC38" i="4"/>
  <c r="AA38" i="4"/>
  <c r="S38" i="4"/>
  <c r="F38" i="4"/>
  <c r="A38" i="4"/>
  <c r="TF37" i="4"/>
  <c r="ST37" i="4"/>
  <c r="SM37" i="4"/>
  <c r="OW37" i="4"/>
  <c r="OE37" i="4"/>
  <c r="GO37" i="4"/>
  <c r="AE37" i="4"/>
  <c r="AC37" i="4"/>
  <c r="AA37" i="4"/>
  <c r="AA69" i="4" s="1"/>
  <c r="S37" i="4"/>
  <c r="F37" i="4"/>
  <c r="G37" i="4" s="1"/>
  <c r="A37" i="4"/>
  <c r="TF36" i="4"/>
  <c r="ST36" i="4"/>
  <c r="SV36" i="4" s="1"/>
  <c r="SX36" i="4" s="1"/>
  <c r="SM36" i="4"/>
  <c r="RS36" i="4"/>
  <c r="RQ36" i="4"/>
  <c r="RC36" i="4"/>
  <c r="OW36" i="4"/>
  <c r="OE36" i="4"/>
  <c r="MS36" i="4"/>
  <c r="MQ36" i="4"/>
  <c r="GO36" i="4"/>
  <c r="S36" i="4"/>
  <c r="F36" i="4"/>
  <c r="A36" i="4"/>
  <c r="TR35" i="4"/>
  <c r="TF35" i="4"/>
  <c r="SV35" i="4"/>
  <c r="ST35" i="4"/>
  <c r="SM35" i="4"/>
  <c r="SI35" i="4"/>
  <c r="RZ35" i="4"/>
  <c r="RU35" i="4"/>
  <c r="RJ35" i="4"/>
  <c r="RL35" i="4" s="1"/>
  <c r="RC35" i="4"/>
  <c r="OW35" i="4"/>
  <c r="OV35" i="4"/>
  <c r="OV37" i="4" s="1"/>
  <c r="OU35" i="4"/>
  <c r="OU37" i="4" s="1"/>
  <c r="OU39" i="4" s="1"/>
  <c r="OT35" i="4"/>
  <c r="OT37" i="4" s="1"/>
  <c r="OS35" i="4"/>
  <c r="OS37" i="4" s="1"/>
  <c r="OE35" i="4"/>
  <c r="MC35" i="4"/>
  <c r="GO35" i="4"/>
  <c r="S35" i="4"/>
  <c r="E35" i="4"/>
  <c r="A35" i="4"/>
  <c r="TR34" i="4"/>
  <c r="TN34" i="4"/>
  <c r="TF34" i="4"/>
  <c r="SS38" i="4"/>
  <c r="SS40" i="4" s="1"/>
  <c r="SM34" i="4"/>
  <c r="SJ34" i="4"/>
  <c r="RU34" i="4"/>
  <c r="RO36" i="4"/>
  <c r="RM36" i="4"/>
  <c r="RK36" i="4"/>
  <c r="RI36" i="4"/>
  <c r="RJ34" i="4"/>
  <c r="RC34" i="4"/>
  <c r="OW34" i="4"/>
  <c r="OE34" i="4"/>
  <c r="MC34" i="4"/>
  <c r="GO34" i="4"/>
  <c r="AK34" i="4"/>
  <c r="AE34" i="4"/>
  <c r="AC34" i="4"/>
  <c r="AA34" i="4"/>
  <c r="S34" i="4"/>
  <c r="A34" i="4"/>
  <c r="TS33" i="4"/>
  <c r="TR33" i="4"/>
  <c r="TP33" i="4"/>
  <c r="TN33" i="4"/>
  <c r="TL33" i="4"/>
  <c r="TF33" i="4"/>
  <c r="SM33" i="4"/>
  <c r="SK33" i="4"/>
  <c r="SK35" i="4" s="1"/>
  <c r="SG33" i="4"/>
  <c r="SG35" i="4" s="1"/>
  <c r="SF35" i="4"/>
  <c r="SA33" i="4"/>
  <c r="SA35" i="4" s="1"/>
  <c r="RU33" i="4"/>
  <c r="RC33" i="4"/>
  <c r="OW33" i="4"/>
  <c r="OE33" i="4"/>
  <c r="NQ33" i="4"/>
  <c r="NM33" i="4"/>
  <c r="MC33" i="4"/>
  <c r="GO33" i="4"/>
  <c r="G17" i="3"/>
  <c r="AK33" i="4"/>
  <c r="W33" i="4"/>
  <c r="S33" i="4"/>
  <c r="A33" i="4"/>
  <c r="TF32" i="4"/>
  <c r="SM32" i="4"/>
  <c r="RU32" i="4"/>
  <c r="RC32" i="4"/>
  <c r="PH32" i="4"/>
  <c r="PF32" i="4"/>
  <c r="PD32" i="4"/>
  <c r="PB32" i="4"/>
  <c r="OW32" i="4"/>
  <c r="OE32" i="4"/>
  <c r="NT32" i="4"/>
  <c r="NM32" i="4"/>
  <c r="MC32" i="4"/>
  <c r="KS32" i="4"/>
  <c r="GO32" i="4"/>
  <c r="G16" i="3"/>
  <c r="AK32" i="4"/>
  <c r="X32" i="4"/>
  <c r="Y32" i="4" s="1"/>
  <c r="F80" i="3" s="1"/>
  <c r="S32" i="4"/>
  <c r="A32" i="4"/>
  <c r="VE31" i="4"/>
  <c r="UY31" i="4"/>
  <c r="TF31" i="4"/>
  <c r="TD31" i="4"/>
  <c r="TC31" i="4"/>
  <c r="TB31" i="4"/>
  <c r="TA31" i="4"/>
  <c r="SM31" i="4"/>
  <c r="RU31" i="4"/>
  <c r="RC31" i="4"/>
  <c r="PB31" i="4"/>
  <c r="OW31" i="4"/>
  <c r="OE31" i="4"/>
  <c r="NM31" i="4"/>
  <c r="MC31" i="4"/>
  <c r="KS31" i="4"/>
  <c r="GO31" i="4"/>
  <c r="FW31" i="4"/>
  <c r="BA31" i="4"/>
  <c r="AK31" i="4"/>
  <c r="Y31" i="4"/>
  <c r="X31" i="4"/>
  <c r="S31" i="4"/>
  <c r="A31" i="4"/>
  <c r="VE30" i="4"/>
  <c r="UY30" i="4"/>
  <c r="TR30" i="4"/>
  <c r="TP30" i="4"/>
  <c r="TN30" i="4"/>
  <c r="TL30" i="4"/>
  <c r="TJ30" i="4"/>
  <c r="TF30" i="4"/>
  <c r="ST30" i="4"/>
  <c r="SV30" i="4" s="1"/>
  <c r="SM30" i="4"/>
  <c r="RU30" i="4"/>
  <c r="RC30" i="4"/>
  <c r="PM33" i="4"/>
  <c r="PK33" i="4"/>
  <c r="PC33" i="4"/>
  <c r="AB118" i="3" s="1"/>
  <c r="OZ33" i="4"/>
  <c r="OW30" i="4"/>
  <c r="OE30" i="4"/>
  <c r="NM30" i="4"/>
  <c r="MC30" i="4"/>
  <c r="LE30" i="4"/>
  <c r="KS30" i="4"/>
  <c r="GO30" i="4"/>
  <c r="GK30" i="4"/>
  <c r="FW30" i="4"/>
  <c r="BA30" i="4"/>
  <c r="AK30" i="4"/>
  <c r="X30" i="4"/>
  <c r="S30" i="4"/>
  <c r="A30" i="4"/>
  <c r="UY29" i="4"/>
  <c r="TR29" i="4"/>
  <c r="TP29" i="4"/>
  <c r="TN29" i="4"/>
  <c r="TL29" i="4"/>
  <c r="TF29" i="4"/>
  <c r="ST29" i="4"/>
  <c r="SV29" i="4" s="1"/>
  <c r="SM29" i="4"/>
  <c r="RU29" i="4"/>
  <c r="RC29" i="4"/>
  <c r="OW29" i="4"/>
  <c r="OE29" i="4"/>
  <c r="NM29" i="4"/>
  <c r="MC29" i="4"/>
  <c r="KS29" i="4"/>
  <c r="HE29" i="4"/>
  <c r="HE31" i="4" s="1"/>
  <c r="HE33" i="4" s="1"/>
  <c r="GO29" i="4"/>
  <c r="FW29" i="4"/>
  <c r="BA29" i="4"/>
  <c r="AK29" i="4"/>
  <c r="S29" i="4"/>
  <c r="E29" i="4"/>
  <c r="F29" i="4" s="1"/>
  <c r="A29" i="4"/>
  <c r="VH28" i="4"/>
  <c r="VG28" i="4"/>
  <c r="VF28" i="4"/>
  <c r="VE28" i="4"/>
  <c r="UY28" i="4"/>
  <c r="TR28" i="4"/>
  <c r="TP28" i="4"/>
  <c r="TN28" i="4"/>
  <c r="TL28" i="4"/>
  <c r="TJ28" i="4"/>
  <c r="TF28" i="4"/>
  <c r="SW31" i="4"/>
  <c r="ST28" i="4"/>
  <c r="ST31" i="4" s="1"/>
  <c r="SS31" i="4"/>
  <c r="SM28" i="4"/>
  <c r="RU28" i="4"/>
  <c r="RC28" i="4"/>
  <c r="OW28" i="4"/>
  <c r="OL30" i="4"/>
  <c r="OL32" i="4" s="1"/>
  <c r="OJ30" i="4"/>
  <c r="OJ32" i="4" s="1"/>
  <c r="OH30" i="4"/>
  <c r="OH32" i="4" s="1"/>
  <c r="OE28" i="4"/>
  <c r="NT28" i="4"/>
  <c r="NT31" i="4" s="1"/>
  <c r="NS28" i="4"/>
  <c r="NS31" i="4" s="1"/>
  <c r="NP28" i="4"/>
  <c r="NP31" i="4" s="1"/>
  <c r="NM28" i="4"/>
  <c r="MC28" i="4"/>
  <c r="LI28" i="4"/>
  <c r="LI30" i="4" s="1"/>
  <c r="LH28" i="4"/>
  <c r="LH30" i="4" s="1"/>
  <c r="KS28" i="4"/>
  <c r="GO28" i="4"/>
  <c r="GM28" i="4"/>
  <c r="FW28" i="4"/>
  <c r="BA28" i="4"/>
  <c r="AK28" i="4"/>
  <c r="S28" i="4"/>
  <c r="F28" i="4"/>
  <c r="A28" i="4"/>
  <c r="UY27" i="4"/>
  <c r="TU27" i="4"/>
  <c r="TR27" i="4"/>
  <c r="TP27" i="4"/>
  <c r="TN27" i="4"/>
  <c r="TL27" i="4"/>
  <c r="TF27" i="4"/>
  <c r="SM27" i="4"/>
  <c r="RU27" i="4"/>
  <c r="RC27" i="4"/>
  <c r="OW27" i="4"/>
  <c r="OV27" i="4"/>
  <c r="OT27" i="4"/>
  <c r="OE27" i="4"/>
  <c r="NM27" i="4"/>
  <c r="MC27" i="4"/>
  <c r="LJ27" i="4"/>
  <c r="KX27" i="4"/>
  <c r="KS27" i="4"/>
  <c r="HY27" i="4"/>
  <c r="HF27" i="4"/>
  <c r="HF29" i="4" s="1"/>
  <c r="HF31" i="4" s="1"/>
  <c r="HF33" i="4" s="1"/>
  <c r="HE27" i="4"/>
  <c r="HD27" i="4"/>
  <c r="HC27" i="4"/>
  <c r="HC29" i="4" s="1"/>
  <c r="HC31" i="4" s="1"/>
  <c r="HC33" i="4" s="1"/>
  <c r="HA27" i="4"/>
  <c r="GY27" i="4"/>
  <c r="GY29" i="4" s="1"/>
  <c r="GY31" i="4" s="1"/>
  <c r="GY33" i="4" s="1"/>
  <c r="GW27" i="4"/>
  <c r="GU27" i="4"/>
  <c r="GU29" i="4" s="1"/>
  <c r="GU31" i="4" s="1"/>
  <c r="GU33" i="4" s="1"/>
  <c r="GO27" i="4"/>
  <c r="GB27" i="4"/>
  <c r="GD27" i="4" s="1"/>
  <c r="GF27" i="4" s="1"/>
  <c r="GH27" i="4" s="1"/>
  <c r="GJ27" i="4" s="1"/>
  <c r="GL27" i="4" s="1"/>
  <c r="GN27" i="4" s="1"/>
  <c r="FW27" i="4"/>
  <c r="EM27" i="4"/>
  <c r="BA27" i="4"/>
  <c r="AK27" i="4"/>
  <c r="S27" i="4"/>
  <c r="E27" i="4"/>
  <c r="A27" i="4"/>
  <c r="VL28" i="4"/>
  <c r="VL30" i="4" s="1"/>
  <c r="VL31" i="4" s="1"/>
  <c r="VI26" i="4"/>
  <c r="VI28" i="4" s="1"/>
  <c r="UY26" i="4"/>
  <c r="UD26" i="4"/>
  <c r="TU26" i="4"/>
  <c r="TF26" i="4"/>
  <c r="SM26" i="4"/>
  <c r="RU26" i="4"/>
  <c r="RC26" i="4"/>
  <c r="PB26" i="4"/>
  <c r="OW26" i="4"/>
  <c r="OU26" i="4"/>
  <c r="OS26" i="4"/>
  <c r="OE26" i="4"/>
  <c r="NU26" i="4"/>
  <c r="NU28" i="4" s="1"/>
  <c r="NU31" i="4" s="1"/>
  <c r="NT26" i="4"/>
  <c r="NS26" i="4"/>
  <c r="NR26" i="4"/>
  <c r="NR28" i="4" s="1"/>
  <c r="NR31" i="4" s="1"/>
  <c r="NQ26" i="4"/>
  <c r="NQ28" i="4" s="1"/>
  <c r="NQ31" i="4" s="1"/>
  <c r="NQ32" i="4" s="1"/>
  <c r="NP26" i="4"/>
  <c r="NM26" i="4"/>
  <c r="MC26" i="4"/>
  <c r="KS26" i="4"/>
  <c r="HY26" i="4"/>
  <c r="GO26" i="4"/>
  <c r="FW26" i="4"/>
  <c r="EM26" i="4"/>
  <c r="BA26" i="4"/>
  <c r="AK26" i="4"/>
  <c r="S26" i="4"/>
  <c r="A26" i="4"/>
  <c r="UY25" i="4"/>
  <c r="UJ25" i="4"/>
  <c r="TU25" i="4"/>
  <c r="TF25" i="4"/>
  <c r="SM25" i="4"/>
  <c r="RU25" i="4"/>
  <c r="RC25" i="4"/>
  <c r="OW25" i="4"/>
  <c r="OU25" i="4"/>
  <c r="OS25" i="4"/>
  <c r="OE25" i="4"/>
  <c r="NM25" i="4"/>
  <c r="MC25" i="4"/>
  <c r="LI25" i="4"/>
  <c r="LH25" i="4"/>
  <c r="LG25" i="4"/>
  <c r="LG28" i="4" s="1"/>
  <c r="LG30" i="4" s="1"/>
  <c r="LE25" i="4"/>
  <c r="LE28" i="4" s="1"/>
  <c r="LC25" i="4"/>
  <c r="LC28" i="4" s="1"/>
  <c r="LC30" i="4" s="1"/>
  <c r="KS25" i="4"/>
  <c r="HY25" i="4"/>
  <c r="GO25" i="4"/>
  <c r="GM25" i="4"/>
  <c r="GK25" i="4"/>
  <c r="GK28" i="4" s="1"/>
  <c r="FW25" i="4"/>
  <c r="EM25" i="4"/>
  <c r="DC25" i="4"/>
  <c r="BA25" i="4"/>
  <c r="AW25" i="4"/>
  <c r="AU25" i="4"/>
  <c r="AS25" i="4"/>
  <c r="AK25" i="4"/>
  <c r="W25" i="4"/>
  <c r="X25" i="4" s="1"/>
  <c r="S25" i="4"/>
  <c r="E25" i="4"/>
  <c r="A25" i="4"/>
  <c r="UY24" i="4"/>
  <c r="UJ24" i="4"/>
  <c r="UD24" i="4"/>
  <c r="UC24" i="4"/>
  <c r="UB24" i="4"/>
  <c r="UA24" i="4"/>
  <c r="TU24" i="4"/>
  <c r="TF24" i="4"/>
  <c r="SM24" i="4"/>
  <c r="SI24" i="4"/>
  <c r="SI26" i="4" s="1"/>
  <c r="RU24" i="4"/>
  <c r="RS24" i="4"/>
  <c r="RQ24" i="4"/>
  <c r="RO24" i="4"/>
  <c r="RM24" i="4"/>
  <c r="RK24" i="4"/>
  <c r="RI24" i="4"/>
  <c r="RC24" i="4"/>
  <c r="PK27" i="4"/>
  <c r="OW24" i="4"/>
  <c r="OU24" i="4"/>
  <c r="OU27" i="4" s="1"/>
  <c r="OS24" i="4"/>
  <c r="OS27" i="4" s="1"/>
  <c r="OE24" i="4"/>
  <c r="Z220" i="3"/>
  <c r="NM24" i="4"/>
  <c r="MH24" i="4"/>
  <c r="MJ24" i="4" s="1"/>
  <c r="ML24" i="4" s="1"/>
  <c r="MN24" i="4" s="1"/>
  <c r="MP24" i="4" s="1"/>
  <c r="MR24" i="4" s="1"/>
  <c r="MT24" i="4" s="1"/>
  <c r="MC24" i="4"/>
  <c r="LJ24" i="4"/>
  <c r="KS24" i="4"/>
  <c r="HY24" i="4"/>
  <c r="GO24" i="4"/>
  <c r="GB24" i="4"/>
  <c r="GD24" i="4" s="1"/>
  <c r="GF24" i="4" s="1"/>
  <c r="GH24" i="4" s="1"/>
  <c r="GJ24" i="4" s="1"/>
  <c r="GL24" i="4" s="1"/>
  <c r="GN24" i="4" s="1"/>
  <c r="FW24" i="4"/>
  <c r="EM24" i="4"/>
  <c r="DC24" i="4"/>
  <c r="CH24" i="4"/>
  <c r="CH36" i="4" s="1"/>
  <c r="BV24" i="4"/>
  <c r="BS24" i="4"/>
  <c r="BQ24" i="4"/>
  <c r="BA24" i="4"/>
  <c r="AK24" i="4"/>
  <c r="U25" i="4"/>
  <c r="S24" i="4"/>
  <c r="E24" i="4"/>
  <c r="A24" i="4"/>
  <c r="UY23" i="4"/>
  <c r="UP23" i="4"/>
  <c r="UP25" i="4" s="1"/>
  <c r="UJ23" i="4"/>
  <c r="TY23" i="4"/>
  <c r="TX24" i="4"/>
  <c r="TU23" i="4"/>
  <c r="TF23" i="4"/>
  <c r="SM23" i="4"/>
  <c r="SB23" i="4"/>
  <c r="RU23" i="4"/>
  <c r="RS23" i="4"/>
  <c r="RQ23" i="4"/>
  <c r="RO23" i="4"/>
  <c r="RM23" i="4"/>
  <c r="RK23" i="4"/>
  <c r="RI23" i="4"/>
  <c r="RC23" i="4"/>
  <c r="OW23" i="4"/>
  <c r="OE23" i="4"/>
  <c r="NM23" i="4"/>
  <c r="MC23" i="4"/>
  <c r="LJ23" i="4"/>
  <c r="KS23" i="4"/>
  <c r="JI23" i="4"/>
  <c r="IO23" i="4"/>
  <c r="IG23" i="4"/>
  <c r="HY23" i="4"/>
  <c r="GO23" i="4"/>
  <c r="GB23" i="4"/>
  <c r="GD23" i="4" s="1"/>
  <c r="GF23" i="4" s="1"/>
  <c r="GH23" i="4" s="1"/>
  <c r="GJ23" i="4" s="1"/>
  <c r="GL23" i="4" s="1"/>
  <c r="GN23" i="4" s="1"/>
  <c r="FW23" i="4"/>
  <c r="FT23" i="4"/>
  <c r="FE23" i="4"/>
  <c r="FC23" i="4"/>
  <c r="FB23" i="4"/>
  <c r="FA23" i="4"/>
  <c r="FA25" i="4" s="1"/>
  <c r="EY23" i="4"/>
  <c r="EY25" i="4" s="1"/>
  <c r="EW23" i="4"/>
  <c r="EU23" i="4"/>
  <c r="EM23" i="4"/>
  <c r="DI23" i="4"/>
  <c r="DI26" i="4" s="1"/>
  <c r="DC23" i="4"/>
  <c r="CG23" i="4"/>
  <c r="CG24" i="4" s="1"/>
  <c r="CG36" i="4" s="1"/>
  <c r="BV23" i="4"/>
  <c r="BS23" i="4"/>
  <c r="BA23" i="4"/>
  <c r="AQ23" i="4"/>
  <c r="AK23" i="4"/>
  <c r="W23" i="4"/>
  <c r="S23" i="4"/>
  <c r="A23" i="4"/>
  <c r="UY22" i="4"/>
  <c r="UJ22" i="4"/>
  <c r="UE24" i="4"/>
  <c r="AL224" i="3" s="1"/>
  <c r="TZ22" i="4"/>
  <c r="TU22" i="4"/>
  <c r="TF22" i="4"/>
  <c r="SM22" i="4"/>
  <c r="SB22" i="4"/>
  <c r="SD22" i="4" s="1"/>
  <c r="RU22" i="4"/>
  <c r="RS22" i="4"/>
  <c r="RQ22" i="4"/>
  <c r="RO22" i="4"/>
  <c r="RM22" i="4"/>
  <c r="RK22" i="4"/>
  <c r="RI22" i="4"/>
  <c r="RC22" i="4"/>
  <c r="OW22" i="4"/>
  <c r="OE22" i="4"/>
  <c r="Z279" i="3"/>
  <c r="NM22" i="4"/>
  <c r="MH22" i="4"/>
  <c r="MC22" i="4"/>
  <c r="MA22" i="4"/>
  <c r="LZ22" i="4"/>
  <c r="LY22" i="4"/>
  <c r="LW22" i="4"/>
  <c r="LU22" i="4"/>
  <c r="LS22" i="4"/>
  <c r="LQ22" i="4"/>
  <c r="LK22" i="4"/>
  <c r="LJ22" i="4"/>
  <c r="KZ22" i="4"/>
  <c r="LB22" i="4" s="1"/>
  <c r="LD22" i="4" s="1"/>
  <c r="LF22" i="4" s="1"/>
  <c r="KX22" i="4"/>
  <c r="KS22" i="4"/>
  <c r="JI22" i="4"/>
  <c r="IQ22" i="4"/>
  <c r="IO22" i="4"/>
  <c r="IG22" i="4"/>
  <c r="HY22" i="4"/>
  <c r="GO22" i="4"/>
  <c r="GB22" i="4"/>
  <c r="GD22" i="4" s="1"/>
  <c r="GF22" i="4" s="1"/>
  <c r="GH22" i="4" s="1"/>
  <c r="GJ22" i="4" s="1"/>
  <c r="GL22" i="4" s="1"/>
  <c r="GN22" i="4" s="1"/>
  <c r="FW22" i="4"/>
  <c r="FE22" i="4"/>
  <c r="FD22" i="4"/>
  <c r="EV22" i="4"/>
  <c r="EX22" i="4" s="1"/>
  <c r="EZ22" i="4" s="1"/>
  <c r="EQ22" i="4"/>
  <c r="EM22" i="4"/>
  <c r="EK22" i="4"/>
  <c r="EJ22" i="4"/>
  <c r="EI22" i="4"/>
  <c r="DU22" i="4"/>
  <c r="DH22" i="4"/>
  <c r="DJ22" i="4" s="1"/>
  <c r="DL22" i="4" s="1"/>
  <c r="DN22" i="4" s="1"/>
  <c r="DP22" i="4" s="1"/>
  <c r="DR22" i="4" s="1"/>
  <c r="DT22" i="4" s="1"/>
  <c r="DC22" i="4"/>
  <c r="BS22" i="4"/>
  <c r="BQ22" i="4"/>
  <c r="BO22" i="4"/>
  <c r="BO24" i="4" s="1"/>
  <c r="BA22" i="4"/>
  <c r="AK22" i="4"/>
  <c r="W22" i="4"/>
  <c r="S22" i="4"/>
  <c r="R22" i="4"/>
  <c r="P22" i="4"/>
  <c r="A22" i="4"/>
  <c r="WC21" i="4"/>
  <c r="VN21" i="4"/>
  <c r="VG21" i="4"/>
  <c r="AN179" i="3" s="1"/>
  <c r="VE21" i="4"/>
  <c r="UY21" i="4"/>
  <c r="UV21" i="4"/>
  <c r="UR21" i="4"/>
  <c r="UR23" i="4" s="1"/>
  <c r="UP21" i="4"/>
  <c r="UJ21" i="4"/>
  <c r="TU21" i="4"/>
  <c r="TF21" i="4"/>
  <c r="SM21" i="4"/>
  <c r="SD21" i="4"/>
  <c r="SF21" i="4" s="1"/>
  <c r="SH21" i="4" s="1"/>
  <c r="SJ21" i="4" s="1"/>
  <c r="SL21" i="4" s="1"/>
  <c r="SB21" i="4"/>
  <c r="RU21" i="4"/>
  <c r="RT21" i="4"/>
  <c r="RT25" i="4" s="1"/>
  <c r="RT27" i="4" s="1"/>
  <c r="RR21" i="4"/>
  <c r="RR25" i="4" s="1"/>
  <c r="RR27" i="4" s="1"/>
  <c r="RQ21" i="4"/>
  <c r="RC21" i="4"/>
  <c r="RA21" i="4"/>
  <c r="QZ21" i="4"/>
  <c r="QP21" i="4"/>
  <c r="QO21" i="4"/>
  <c r="QN21" i="4"/>
  <c r="QK21" i="4"/>
  <c r="QG21" i="4"/>
  <c r="PS21" i="4"/>
  <c r="OW21" i="4"/>
  <c r="OV21" i="4"/>
  <c r="OV29" i="4" s="1"/>
  <c r="OT21" i="4"/>
  <c r="OT29" i="4" s="1"/>
  <c r="OS21" i="4"/>
  <c r="OS29" i="4" s="1"/>
  <c r="OI21" i="4"/>
  <c r="OI24" i="4" s="1"/>
  <c r="OE21" i="4"/>
  <c r="Z278" i="3"/>
  <c r="Z217" i="3"/>
  <c r="NM21" i="4"/>
  <c r="MU21" i="4"/>
  <c r="MH21" i="4"/>
  <c r="MJ21" i="4" s="1"/>
  <c r="ML21" i="4" s="1"/>
  <c r="MN21" i="4" s="1"/>
  <c r="MP21" i="4" s="1"/>
  <c r="MR21" i="4" s="1"/>
  <c r="MT21" i="4" s="1"/>
  <c r="MC21" i="4"/>
  <c r="MB21" i="4"/>
  <c r="LP21" i="4"/>
  <c r="LR21" i="4" s="1"/>
  <c r="LT21" i="4" s="1"/>
  <c r="LV21" i="4" s="1"/>
  <c r="LX21" i="4" s="1"/>
  <c r="LK21" i="4"/>
  <c r="LJ21" i="4"/>
  <c r="KX21" i="4"/>
  <c r="KS21" i="4"/>
  <c r="JI21" i="4"/>
  <c r="IQ21" i="4"/>
  <c r="HY21" i="4"/>
  <c r="GO21" i="4"/>
  <c r="GB21" i="4"/>
  <c r="GD21" i="4" s="1"/>
  <c r="FW21" i="4"/>
  <c r="FV21" i="4"/>
  <c r="FE21" i="4"/>
  <c r="FD21" i="4"/>
  <c r="FD23" i="4" s="1"/>
  <c r="EM21" i="4"/>
  <c r="DU21" i="4"/>
  <c r="DH21" i="4"/>
  <c r="DJ21" i="4" s="1"/>
  <c r="DL21" i="4" s="1"/>
  <c r="DN21" i="4" s="1"/>
  <c r="DP21" i="4" s="1"/>
  <c r="DR21" i="4" s="1"/>
  <c r="DT21" i="4" s="1"/>
  <c r="DC21" i="4"/>
  <c r="DA21" i="4"/>
  <c r="CZ21" i="4"/>
  <c r="CY21" i="4"/>
  <c r="CW21" i="4"/>
  <c r="CU21" i="4"/>
  <c r="CS21" i="4"/>
  <c r="CQ21" i="4"/>
  <c r="CK21" i="4"/>
  <c r="CJ21" i="4"/>
  <c r="CI21" i="4" s="1"/>
  <c r="CI23" i="4" s="1"/>
  <c r="CH21" i="4"/>
  <c r="BS21" i="4"/>
  <c r="BF21" i="4"/>
  <c r="BA21" i="4"/>
  <c r="AK21" i="4"/>
  <c r="S21" i="4"/>
  <c r="P21" i="4"/>
  <c r="R21" i="4" s="1"/>
  <c r="A21" i="4"/>
  <c r="WJ20" i="4"/>
  <c r="WI20" i="4"/>
  <c r="WC20" i="4"/>
  <c r="VT20" i="4"/>
  <c r="VQ20" i="4"/>
  <c r="VN20" i="4"/>
  <c r="VK20" i="4"/>
  <c r="VI20" i="4"/>
  <c r="VE20" i="4"/>
  <c r="UY20" i="4"/>
  <c r="UJ20" i="4"/>
  <c r="TU20" i="4"/>
  <c r="TF20" i="4"/>
  <c r="TC20" i="4"/>
  <c r="TC22" i="4" s="1"/>
  <c r="TA20" i="4"/>
  <c r="TA22" i="4" s="1"/>
  <c r="SM20" i="4"/>
  <c r="SK20" i="4"/>
  <c r="SK24" i="4" s="1"/>
  <c r="SK26" i="4" s="1"/>
  <c r="SI20" i="4"/>
  <c r="RZ20" i="4"/>
  <c r="RZ24" i="4" s="1"/>
  <c r="RZ26" i="4" s="1"/>
  <c r="RZ28" i="4" s="1"/>
  <c r="RU20" i="4"/>
  <c r="RS20" i="4"/>
  <c r="RC20" i="4"/>
  <c r="RB20" i="4"/>
  <c r="QR20" i="4"/>
  <c r="QT20" i="4" s="1"/>
  <c r="QV20" i="4" s="1"/>
  <c r="QX20" i="4" s="1"/>
  <c r="QP20" i="4"/>
  <c r="QK20" i="4"/>
  <c r="QI20" i="4"/>
  <c r="QI21" i="4" s="1"/>
  <c r="QG20" i="4"/>
  <c r="PS20" i="4"/>
  <c r="PB20" i="4"/>
  <c r="OZ20" i="4"/>
  <c r="OW20" i="4"/>
  <c r="OK20" i="4"/>
  <c r="OE20" i="4"/>
  <c r="Z277" i="3"/>
  <c r="NM20" i="4"/>
  <c r="NK20" i="4"/>
  <c r="MU20" i="4"/>
  <c r="MT20" i="4"/>
  <c r="MS20" i="4"/>
  <c r="MS25" i="4" s="1"/>
  <c r="MS27" i="4" s="1"/>
  <c r="MR20" i="4"/>
  <c r="MQ20" i="4"/>
  <c r="MQ25" i="4" s="1"/>
  <c r="MQ27" i="4" s="1"/>
  <c r="MO20" i="4"/>
  <c r="MO25" i="4" s="1"/>
  <c r="MO27" i="4" s="1"/>
  <c r="MM20" i="4"/>
  <c r="MM25" i="4" s="1"/>
  <c r="MM27" i="4" s="1"/>
  <c r="MK20" i="4"/>
  <c r="MK25" i="4" s="1"/>
  <c r="MK27" i="4" s="1"/>
  <c r="MC20" i="4"/>
  <c r="MB20" i="4"/>
  <c r="LP20" i="4"/>
  <c r="LR20" i="4" s="1"/>
  <c r="LT20" i="4" s="1"/>
  <c r="LV20" i="4" s="1"/>
  <c r="LX20" i="4" s="1"/>
  <c r="LK20" i="4"/>
  <c r="LJ20" i="4"/>
  <c r="KX20" i="4"/>
  <c r="KZ20" i="4" s="1"/>
  <c r="LB20" i="4" s="1"/>
  <c r="LD20" i="4" s="1"/>
  <c r="LF20" i="4" s="1"/>
  <c r="KS20" i="4"/>
  <c r="KA20" i="4"/>
  <c r="JU20" i="4"/>
  <c r="JI20" i="4"/>
  <c r="IQ20" i="4"/>
  <c r="IO20" i="4"/>
  <c r="IM20" i="4"/>
  <c r="IM22" i="4" s="1"/>
  <c r="IK20" i="4"/>
  <c r="II20" i="4"/>
  <c r="IG20" i="4"/>
  <c r="HY20" i="4"/>
  <c r="GO20" i="4"/>
  <c r="GB20" i="4"/>
  <c r="GD20" i="4" s="1"/>
  <c r="GF20" i="4" s="1"/>
  <c r="GH20" i="4" s="1"/>
  <c r="GJ20" i="4" s="1"/>
  <c r="GL20" i="4" s="1"/>
  <c r="GN20" i="4" s="1"/>
  <c r="FW20" i="4"/>
  <c r="FV20" i="4"/>
  <c r="FV23" i="4" s="1"/>
  <c r="FM20" i="4"/>
  <c r="FE20" i="4"/>
  <c r="EM20" i="4"/>
  <c r="EL20" i="4"/>
  <c r="EE20" i="4"/>
  <c r="EE21" i="4" s="1"/>
  <c r="EA20" i="4"/>
  <c r="DU20" i="4"/>
  <c r="DC20" i="4"/>
  <c r="DB20" i="4"/>
  <c r="CK20" i="4"/>
  <c r="BS20" i="4"/>
  <c r="BF20" i="4"/>
  <c r="BH20" i="4" s="1"/>
  <c r="BJ20" i="4" s="1"/>
  <c r="BL20" i="4" s="1"/>
  <c r="BN20" i="4" s="1"/>
  <c r="BP20" i="4" s="1"/>
  <c r="BR20" i="4" s="1"/>
  <c r="BA20" i="4"/>
  <c r="AX20" i="4"/>
  <c r="AV20" i="4"/>
  <c r="AT20" i="4"/>
  <c r="AK20" i="4"/>
  <c r="W20" i="4"/>
  <c r="S20" i="4"/>
  <c r="F20" i="4"/>
  <c r="A20" i="4"/>
  <c r="WC19" i="4"/>
  <c r="VN19" i="4"/>
  <c r="VJ23" i="4"/>
  <c r="VF23" i="4"/>
  <c r="UY19" i="4"/>
  <c r="UJ19" i="4"/>
  <c r="TU19" i="4"/>
  <c r="TP19" i="4"/>
  <c r="TF19" i="4"/>
  <c r="ST19" i="4"/>
  <c r="SV19" i="4" s="1"/>
  <c r="SM19" i="4"/>
  <c r="SD19" i="4"/>
  <c r="SB19" i="4"/>
  <c r="RU19" i="4"/>
  <c r="RS19" i="4"/>
  <c r="RC19" i="4"/>
  <c r="RB19" i="4"/>
  <c r="RB21" i="4" s="1"/>
  <c r="QW21" i="4"/>
  <c r="QU21" i="4"/>
  <c r="QS21" i="4"/>
  <c r="QQ21" i="4"/>
  <c r="QP19" i="4"/>
  <c r="QK19" i="4"/>
  <c r="PS19" i="4"/>
  <c r="OW19" i="4"/>
  <c r="OU19" i="4"/>
  <c r="OU21" i="4" s="1"/>
  <c r="OS19" i="4"/>
  <c r="OK19" i="4"/>
  <c r="OE19" i="4"/>
  <c r="Z276" i="3"/>
  <c r="NM19" i="4"/>
  <c r="NI19" i="4"/>
  <c r="NG19" i="4"/>
  <c r="NE19" i="4"/>
  <c r="MU19" i="4"/>
  <c r="MH19" i="4"/>
  <c r="MJ19" i="4" s="1"/>
  <c r="ML19" i="4" s="1"/>
  <c r="MN19" i="4" s="1"/>
  <c r="MP19" i="4" s="1"/>
  <c r="MC19" i="4"/>
  <c r="MB19" i="4"/>
  <c r="LP19" i="4"/>
  <c r="LR19" i="4" s="1"/>
  <c r="LT19" i="4" s="1"/>
  <c r="LV19" i="4" s="1"/>
  <c r="LX19" i="4" s="1"/>
  <c r="LK19" i="4"/>
  <c r="LJ19" i="4"/>
  <c r="KS19" i="4"/>
  <c r="KA19" i="4"/>
  <c r="JI19" i="4"/>
  <c r="JG19" i="4"/>
  <c r="JG22" i="4" s="1"/>
  <c r="JE19" i="4"/>
  <c r="JE22" i="4" s="1"/>
  <c r="JC19" i="4"/>
  <c r="JA19" i="4"/>
  <c r="IY19" i="4"/>
  <c r="IY21" i="4" s="1"/>
  <c r="IW19" i="4"/>
  <c r="IQ19" i="4"/>
  <c r="IN19" i="4"/>
  <c r="IP19" i="4" s="1"/>
  <c r="IF19" i="4"/>
  <c r="IH19" i="4" s="1"/>
  <c r="IJ19" i="4" s="1"/>
  <c r="IL19" i="4" s="1"/>
  <c r="ID19" i="4"/>
  <c r="HY19" i="4"/>
  <c r="GO19" i="4"/>
  <c r="GB19" i="4"/>
  <c r="GD19" i="4" s="1"/>
  <c r="GF19" i="4" s="1"/>
  <c r="GH19" i="4" s="1"/>
  <c r="GJ19" i="4" s="1"/>
  <c r="GL19" i="4" s="1"/>
  <c r="GN19" i="4" s="1"/>
  <c r="FW19" i="4"/>
  <c r="FE19" i="4"/>
  <c r="FC19" i="4"/>
  <c r="FB19" i="4"/>
  <c r="FA19" i="4"/>
  <c r="EY19" i="4"/>
  <c r="EW19" i="4"/>
  <c r="EU19" i="4"/>
  <c r="EM19" i="4"/>
  <c r="DU19" i="4"/>
  <c r="DC19" i="4"/>
  <c r="CK19" i="4"/>
  <c r="BS19" i="4"/>
  <c r="BJ19" i="4"/>
  <c r="BF19" i="4"/>
  <c r="BA19" i="4"/>
  <c r="AK19" i="4"/>
  <c r="S19" i="4"/>
  <c r="E19" i="4"/>
  <c r="A19" i="4"/>
  <c r="WL18" i="4"/>
  <c r="WL20" i="4" s="1"/>
  <c r="WK18" i="4"/>
  <c r="WK20" i="4" s="1"/>
  <c r="WJ18" i="4"/>
  <c r="WI18" i="4"/>
  <c r="WI21" i="4" s="1"/>
  <c r="WH18" i="4"/>
  <c r="WH20" i="4" s="1"/>
  <c r="WG18" i="4"/>
  <c r="WF18" i="4"/>
  <c r="WC18" i="4"/>
  <c r="VW18" i="4"/>
  <c r="VV18" i="4"/>
  <c r="VU18" i="4"/>
  <c r="VT18" i="4"/>
  <c r="VT21" i="4" s="1"/>
  <c r="VS18" i="4"/>
  <c r="VS20" i="4" s="1"/>
  <c r="VR18" i="4"/>
  <c r="VR20" i="4" s="1"/>
  <c r="VQ18" i="4"/>
  <c r="VN18" i="4"/>
  <c r="UY18" i="4"/>
  <c r="UT21" i="4"/>
  <c r="UN21" i="4"/>
  <c r="UJ18" i="4"/>
  <c r="TU18" i="4"/>
  <c r="TF18" i="4"/>
  <c r="ST18" i="4"/>
  <c r="SV18" i="4" s="1"/>
  <c r="SM18" i="4"/>
  <c r="SB18" i="4"/>
  <c r="SD18" i="4" s="1"/>
  <c r="RU18" i="4"/>
  <c r="RS18" i="4"/>
  <c r="RI18" i="4"/>
  <c r="RC18" i="4"/>
  <c r="QK18" i="4"/>
  <c r="PS18" i="4"/>
  <c r="PM21" i="4"/>
  <c r="OW18" i="4"/>
  <c r="OK18" i="4"/>
  <c r="OE18" i="4"/>
  <c r="Z214" i="3"/>
  <c r="NM18" i="4"/>
  <c r="MU18" i="4"/>
  <c r="MH18" i="4"/>
  <c r="MJ18" i="4" s="1"/>
  <c r="ML18" i="4" s="1"/>
  <c r="MN18" i="4" s="1"/>
  <c r="MP18" i="4" s="1"/>
  <c r="MC18" i="4"/>
  <c r="MB18" i="4"/>
  <c r="LP18" i="4"/>
  <c r="LR18" i="4" s="1"/>
  <c r="LT18" i="4" s="1"/>
  <c r="LV18" i="4" s="1"/>
  <c r="LX18" i="4" s="1"/>
  <c r="LK18" i="4"/>
  <c r="LJ18" i="4"/>
  <c r="KX18" i="4"/>
  <c r="KZ18" i="4" s="1"/>
  <c r="LB18" i="4" s="1"/>
  <c r="LD18" i="4" s="1"/>
  <c r="LF18" i="4" s="1"/>
  <c r="KS18" i="4"/>
  <c r="KA18" i="4"/>
  <c r="JY18" i="4"/>
  <c r="JY20" i="4" s="1"/>
  <c r="JW18" i="4"/>
  <c r="JW20" i="4" s="1"/>
  <c r="JU18" i="4"/>
  <c r="JS18" i="4"/>
  <c r="JS20" i="4" s="1"/>
  <c r="JQ18" i="4"/>
  <c r="JQ20" i="4" s="1"/>
  <c r="JO18" i="4"/>
  <c r="JO20" i="4" s="1"/>
  <c r="JI18" i="4"/>
  <c r="IV18" i="4"/>
  <c r="IX18" i="4" s="1"/>
  <c r="IZ18" i="4" s="1"/>
  <c r="IQ18" i="4"/>
  <c r="ID18" i="4"/>
  <c r="IF18" i="4" s="1"/>
  <c r="IH18" i="4" s="1"/>
  <c r="IJ18" i="4" s="1"/>
  <c r="IL18" i="4" s="1"/>
  <c r="IN18" i="4" s="1"/>
  <c r="IP18" i="4" s="1"/>
  <c r="HY18" i="4"/>
  <c r="HW18" i="4"/>
  <c r="HV18" i="4"/>
  <c r="HU18" i="4"/>
  <c r="HS18" i="4"/>
  <c r="HQ18" i="4"/>
  <c r="HO18" i="4"/>
  <c r="HM18" i="4"/>
  <c r="HJ18" i="4"/>
  <c r="HG18" i="4"/>
  <c r="GT18" i="4"/>
  <c r="GV18" i="4" s="1"/>
  <c r="GX18" i="4" s="1"/>
  <c r="GZ18" i="4" s="1"/>
  <c r="HB18" i="4" s="1"/>
  <c r="GO18" i="4"/>
  <c r="GB18" i="4"/>
  <c r="GD18" i="4" s="1"/>
  <c r="GF18" i="4" s="1"/>
  <c r="GH18" i="4" s="1"/>
  <c r="GJ18" i="4" s="1"/>
  <c r="GL18" i="4" s="1"/>
  <c r="GN18" i="4" s="1"/>
  <c r="FW18" i="4"/>
  <c r="FV18" i="4"/>
  <c r="FU18" i="4"/>
  <c r="FU20" i="4" s="1"/>
  <c r="FU23" i="4" s="1"/>
  <c r="FT18" i="4"/>
  <c r="FS18" i="4"/>
  <c r="FS20" i="4" s="1"/>
  <c r="FS23" i="4" s="1"/>
  <c r="FQ18" i="4"/>
  <c r="FQ20" i="4" s="1"/>
  <c r="FO18" i="4"/>
  <c r="FO20" i="4" s="1"/>
  <c r="FM18" i="4"/>
  <c r="FK18" i="4"/>
  <c r="FK20" i="4" s="1"/>
  <c r="FE18" i="4"/>
  <c r="FD18" i="4"/>
  <c r="EV18" i="4"/>
  <c r="EX18" i="4" s="1"/>
  <c r="EZ18" i="4" s="1"/>
  <c r="EM18" i="4"/>
  <c r="EK18" i="4"/>
  <c r="EJ18" i="4"/>
  <c r="EI18" i="4"/>
  <c r="EG18" i="4"/>
  <c r="EG20" i="4" s="1"/>
  <c r="EG21" i="4" s="1"/>
  <c r="EE18" i="4"/>
  <c r="EC18" i="4"/>
  <c r="EC20" i="4" s="1"/>
  <c r="EA18" i="4"/>
  <c r="DU18" i="4"/>
  <c r="DF23" i="4"/>
  <c r="DC18" i="4"/>
  <c r="CK18" i="4"/>
  <c r="BS18" i="4"/>
  <c r="BF18" i="4"/>
  <c r="BH18" i="4" s="1"/>
  <c r="BJ18" i="4" s="1"/>
  <c r="BL18" i="4" s="1"/>
  <c r="BN18" i="4" s="1"/>
  <c r="BP18" i="4" s="1"/>
  <c r="BR18" i="4" s="1"/>
  <c r="BA18" i="4"/>
  <c r="AK18" i="4"/>
  <c r="W18" i="4"/>
  <c r="S18" i="4"/>
  <c r="E18" i="4"/>
  <c r="A18" i="4"/>
  <c r="WC17" i="4"/>
  <c r="VN17" i="4"/>
  <c r="UY17" i="4"/>
  <c r="UJ17" i="4"/>
  <c r="TU17" i="4"/>
  <c r="TR17" i="4"/>
  <c r="TP17" i="4"/>
  <c r="TN17" i="4"/>
  <c r="TL17" i="4"/>
  <c r="TJ17" i="4"/>
  <c r="TF17" i="4"/>
  <c r="ST17" i="4"/>
  <c r="SM17" i="4"/>
  <c r="SD17" i="4"/>
  <c r="SF17" i="4" s="1"/>
  <c r="SH17" i="4" s="1"/>
  <c r="SJ17" i="4" s="1"/>
  <c r="SL17" i="4" s="1"/>
  <c r="SB17" i="4"/>
  <c r="RU17" i="4"/>
  <c r="RS17" i="4"/>
  <c r="RS21" i="4" s="1"/>
  <c r="RS25" i="4" s="1"/>
  <c r="RS27" i="4" s="1"/>
  <c r="RS31" i="4" s="1"/>
  <c r="RP21" i="4"/>
  <c r="RP25" i="4" s="1"/>
  <c r="RP27" i="4" s="1"/>
  <c r="RL21" i="4"/>
  <c r="RL25" i="4" s="1"/>
  <c r="RL27" i="4" s="1"/>
  <c r="RC17" i="4"/>
  <c r="QK17" i="4"/>
  <c r="QF18" i="4"/>
  <c r="QD18" i="4"/>
  <c r="QD20" i="4" s="1"/>
  <c r="QB18" i="4"/>
  <c r="PZ18" i="4"/>
  <c r="PZ20" i="4" s="1"/>
  <c r="PX18" i="4"/>
  <c r="PV18" i="4"/>
  <c r="PS17" i="4"/>
  <c r="OW17" i="4"/>
  <c r="OE17" i="4"/>
  <c r="NM17" i="4"/>
  <c r="NL17" i="4"/>
  <c r="NL19" i="4" s="1"/>
  <c r="NK17" i="4"/>
  <c r="NK19" i="4" s="1"/>
  <c r="NJ17" i="4"/>
  <c r="NJ19" i="4" s="1"/>
  <c r="NJ20" i="4" s="1"/>
  <c r="NI17" i="4"/>
  <c r="NG17" i="4"/>
  <c r="NE17" i="4"/>
  <c r="NC17" i="4"/>
  <c r="NA17" i="4"/>
  <c r="MU17" i="4"/>
  <c r="MC17" i="4"/>
  <c r="MB17" i="4"/>
  <c r="LP17" i="4"/>
  <c r="LR17" i="4" s="1"/>
  <c r="LT17" i="4" s="1"/>
  <c r="LV17" i="4" s="1"/>
  <c r="LX17" i="4" s="1"/>
  <c r="LK17" i="4"/>
  <c r="LJ17" i="4"/>
  <c r="LA25" i="4"/>
  <c r="LA28" i="4" s="1"/>
  <c r="LA30" i="4" s="1"/>
  <c r="KY25" i="4"/>
  <c r="KY28" i="4" s="1"/>
  <c r="KY30" i="4" s="1"/>
  <c r="KV25" i="4"/>
  <c r="KV28" i="4" s="1"/>
  <c r="KV30" i="4" s="1"/>
  <c r="KS17" i="4"/>
  <c r="KR17" i="4"/>
  <c r="KR19" i="4" s="1"/>
  <c r="KR20" i="4" s="1"/>
  <c r="KQ17" i="4"/>
  <c r="KQ19" i="4" s="1"/>
  <c r="KP17" i="4"/>
  <c r="KO17" i="4"/>
  <c r="KO19" i="4" s="1"/>
  <c r="KM17" i="4"/>
  <c r="KM19" i="4" s="1"/>
  <c r="KK17" i="4"/>
  <c r="KI17" i="4"/>
  <c r="KG17" i="4"/>
  <c r="KA17" i="4"/>
  <c r="JI17" i="4"/>
  <c r="IQ17" i="4"/>
  <c r="IF17" i="4"/>
  <c r="IH17" i="4" s="1"/>
  <c r="IJ17" i="4" s="1"/>
  <c r="IL17" i="4" s="1"/>
  <c r="IN17" i="4" s="1"/>
  <c r="IP17" i="4" s="1"/>
  <c r="ID17" i="4"/>
  <c r="HY17" i="4"/>
  <c r="HG17" i="4"/>
  <c r="GO17" i="4"/>
  <c r="GI25" i="4"/>
  <c r="GI28" i="4" s="1"/>
  <c r="GE25" i="4"/>
  <c r="GE28" i="4" s="1"/>
  <c r="FW17" i="4"/>
  <c r="FV17" i="4"/>
  <c r="FJ17" i="4"/>
  <c r="FL17" i="4" s="1"/>
  <c r="FN17" i="4" s="1"/>
  <c r="FP17" i="4" s="1"/>
  <c r="FR17" i="4" s="1"/>
  <c r="FE17" i="4"/>
  <c r="FD17" i="4"/>
  <c r="FD19" i="4" s="1"/>
  <c r="EQ17" i="4"/>
  <c r="EM17" i="4"/>
  <c r="DU17" i="4"/>
  <c r="DC17" i="4"/>
  <c r="DB17" i="4"/>
  <c r="DB21" i="4" s="1"/>
  <c r="CO20" i="4"/>
  <c r="CK17" i="4"/>
  <c r="BS17" i="4"/>
  <c r="BA17" i="4"/>
  <c r="AK17" i="4"/>
  <c r="S17" i="4"/>
  <c r="E17" i="4"/>
  <c r="A17" i="4"/>
  <c r="WO18" i="4"/>
  <c r="WN16" i="4"/>
  <c r="WN18" i="4" s="1"/>
  <c r="WM18" i="4"/>
  <c r="WC16" i="4"/>
  <c r="WA18" i="4"/>
  <c r="VZ16" i="4"/>
  <c r="VZ18" i="4" s="1"/>
  <c r="VY18" i="4"/>
  <c r="VX16" i="4"/>
  <c r="VX18" i="4" s="1"/>
  <c r="VX20" i="4" s="1"/>
  <c r="VN16" i="4"/>
  <c r="VC28" i="4"/>
  <c r="UY16" i="4"/>
  <c r="UJ16" i="4"/>
  <c r="TU16" i="4"/>
  <c r="TF16" i="4"/>
  <c r="AG282" i="3"/>
  <c r="SM16" i="4"/>
  <c r="SB16" i="4"/>
  <c r="SD16" i="4" s="1"/>
  <c r="SA20" i="4"/>
  <c r="SA24" i="4" s="1"/>
  <c r="SA26" i="4" s="1"/>
  <c r="RU16" i="4"/>
  <c r="RC16" i="4"/>
  <c r="QK16" i="4"/>
  <c r="PS16" i="4"/>
  <c r="OW16" i="4"/>
  <c r="OE16" i="4"/>
  <c r="NM16" i="4"/>
  <c r="NL16" i="4"/>
  <c r="MU16" i="4"/>
  <c r="MI20" i="4"/>
  <c r="MC16" i="4"/>
  <c r="MB16" i="4"/>
  <c r="MB22" i="4" s="1"/>
  <c r="LP16" i="4"/>
  <c r="LK16" i="4"/>
  <c r="KS16" i="4"/>
  <c r="KR16" i="4"/>
  <c r="KF16" i="4"/>
  <c r="KF17" i="4" s="1"/>
  <c r="KE17" i="4"/>
  <c r="KD17" i="4"/>
  <c r="KA16" i="4"/>
  <c r="JL18" i="4"/>
  <c r="JL20" i="4" s="1"/>
  <c r="JI16" i="4"/>
  <c r="IQ16" i="4"/>
  <c r="IE20" i="4"/>
  <c r="ID16" i="4"/>
  <c r="IC20" i="4"/>
  <c r="IB20" i="4"/>
  <c r="HY16" i="4"/>
  <c r="HX16" i="4"/>
  <c r="HX18" i="4" s="1"/>
  <c r="HK18" i="4"/>
  <c r="HG16" i="4"/>
  <c r="FW16" i="4"/>
  <c r="FV16" i="4"/>
  <c r="FI18" i="4"/>
  <c r="FI20" i="4" s="1"/>
  <c r="N37" i="3" s="1"/>
  <c r="FJ16" i="4"/>
  <c r="FE16" i="4"/>
  <c r="EM16" i="4"/>
  <c r="EL16" i="4"/>
  <c r="EL18" i="4" s="1"/>
  <c r="DY18" i="4"/>
  <c r="DY20" i="4" s="1"/>
  <c r="DX18" i="4"/>
  <c r="DX20" i="4" s="1"/>
  <c r="DU16" i="4"/>
  <c r="DC16" i="4"/>
  <c r="CK16" i="4"/>
  <c r="BS16" i="4"/>
  <c r="BA16" i="4"/>
  <c r="AK16" i="4"/>
  <c r="S16" i="4"/>
  <c r="A16" i="4"/>
  <c r="WC15" i="4"/>
  <c r="VN15" i="4"/>
  <c r="UY15" i="4"/>
  <c r="UJ15" i="4"/>
  <c r="TU15" i="4"/>
  <c r="TF15" i="4"/>
  <c r="SM15" i="4"/>
  <c r="RU15" i="4"/>
  <c r="QK15" i="4"/>
  <c r="NM15" i="4"/>
  <c r="A15" i="4"/>
  <c r="AV511" i="3"/>
  <c r="AV510" i="3"/>
  <c r="AV509" i="3"/>
  <c r="AV508" i="3"/>
  <c r="AV507" i="3"/>
  <c r="AV506" i="3"/>
  <c r="D511" i="3"/>
  <c r="D510" i="3"/>
  <c r="D509" i="3"/>
  <c r="D508" i="3"/>
  <c r="D507" i="3"/>
  <c r="D506" i="3"/>
  <c r="BH432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F428" i="3"/>
  <c r="E428" i="3"/>
  <c r="BD426" i="3"/>
  <c r="BD415" i="3" s="1"/>
  <c r="BA426" i="3"/>
  <c r="AX426" i="3"/>
  <c r="AV426" i="3"/>
  <c r="AJ426" i="3"/>
  <c r="AJ415" i="3" s="1"/>
  <c r="AI426" i="3"/>
  <c r="AI415" i="3" s="1"/>
  <c r="AH426" i="3"/>
  <c r="AG426" i="3"/>
  <c r="AG415" i="3" s="1"/>
  <c r="AF426" i="3"/>
  <c r="AF415" i="3" s="1"/>
  <c r="AE426" i="3"/>
  <c r="AE415" i="3" s="1"/>
  <c r="AC426" i="3"/>
  <c r="Z426" i="3"/>
  <c r="Y426" i="3"/>
  <c r="Y415" i="3" s="1"/>
  <c r="X426" i="3"/>
  <c r="X415" i="3" s="1"/>
  <c r="W426" i="3"/>
  <c r="W415" i="3" s="1"/>
  <c r="V426" i="3"/>
  <c r="V415" i="3" s="1"/>
  <c r="U426" i="3"/>
  <c r="U415" i="3" s="1"/>
  <c r="T426" i="3"/>
  <c r="S426" i="3"/>
  <c r="S415" i="3" s="1"/>
  <c r="R426" i="3"/>
  <c r="Q426" i="3"/>
  <c r="Q415" i="3" s="1"/>
  <c r="P426" i="3"/>
  <c r="P415" i="3" s="1"/>
  <c r="O426" i="3"/>
  <c r="O415" i="3" s="1"/>
  <c r="N426" i="3"/>
  <c r="N415" i="3" s="1"/>
  <c r="M426" i="3"/>
  <c r="M415" i="3" s="1"/>
  <c r="L426" i="3"/>
  <c r="K426" i="3"/>
  <c r="K415" i="3" s="1"/>
  <c r="J426" i="3"/>
  <c r="I426" i="3"/>
  <c r="I415" i="3" s="1"/>
  <c r="G426" i="3"/>
  <c r="G415" i="3" s="1"/>
  <c r="F426" i="3"/>
  <c r="F415" i="3" s="1"/>
  <c r="E426" i="3"/>
  <c r="E415" i="3" s="1"/>
  <c r="BG425" i="3"/>
  <c r="BH425" i="3" s="1"/>
  <c r="BG424" i="3"/>
  <c r="BH424" i="3" s="1"/>
  <c r="BC423" i="3"/>
  <c r="BB423" i="3"/>
  <c r="AZ423" i="3"/>
  <c r="AY423" i="3"/>
  <c r="AB423" i="3"/>
  <c r="AA423" i="3"/>
  <c r="H423" i="3"/>
  <c r="H426" i="3" s="1"/>
  <c r="H415" i="3" s="1"/>
  <c r="BC422" i="3"/>
  <c r="BB422" i="3"/>
  <c r="AY422" i="3"/>
  <c r="AA422" i="3"/>
  <c r="BF421" i="3"/>
  <c r="BE421" i="3"/>
  <c r="BC421" i="3"/>
  <c r="BB421" i="3"/>
  <c r="AZ421" i="3"/>
  <c r="AW421" i="3"/>
  <c r="AD421" i="3"/>
  <c r="AB421" i="3"/>
  <c r="AA421" i="3"/>
  <c r="BF420" i="3"/>
  <c r="BE420" i="3"/>
  <c r="BC420" i="3"/>
  <c r="BB420" i="3"/>
  <c r="AZ420" i="3"/>
  <c r="AW420" i="3"/>
  <c r="AD420" i="3"/>
  <c r="AD426" i="3" s="1"/>
  <c r="AD415" i="3" s="1"/>
  <c r="AD488" i="3" s="1"/>
  <c r="AB420" i="3"/>
  <c r="AA420" i="3"/>
  <c r="BA415" i="3"/>
  <c r="AX415" i="3"/>
  <c r="AV415" i="3"/>
  <c r="AH415" i="3"/>
  <c r="AC415" i="3"/>
  <c r="Z415" i="3"/>
  <c r="T415" i="3"/>
  <c r="R415" i="3"/>
  <c r="L415" i="3"/>
  <c r="J415" i="3"/>
  <c r="BG410" i="3"/>
  <c r="BH410" i="3" s="1"/>
  <c r="BC409" i="3"/>
  <c r="BA409" i="3"/>
  <c r="AV409" i="3"/>
  <c r="Z409" i="3"/>
  <c r="I409" i="3"/>
  <c r="E409" i="3"/>
  <c r="AV408" i="3"/>
  <c r="Z408" i="3"/>
  <c r="E408" i="3"/>
  <c r="AY407" i="3"/>
  <c r="BG407" i="3" s="1"/>
  <c r="BH407" i="3" s="1"/>
  <c r="BA406" i="3"/>
  <c r="BG406" i="3" s="1"/>
  <c r="BH406" i="3" s="1"/>
  <c r="BC405" i="3"/>
  <c r="BG405" i="3" s="1"/>
  <c r="BH405" i="3" s="1"/>
  <c r="BG404" i="3"/>
  <c r="BH404" i="3" s="1"/>
  <c r="Z403" i="3"/>
  <c r="E403" i="3"/>
  <c r="Z402" i="3"/>
  <c r="BG402" i="3" s="1"/>
  <c r="BH402" i="3" s="1"/>
  <c r="Z401" i="3"/>
  <c r="BG401" i="3" s="1"/>
  <c r="BH401" i="3" s="1"/>
  <c r="Z400" i="3"/>
  <c r="Z399" i="3"/>
  <c r="BG399" i="3" s="1"/>
  <c r="BH399" i="3" s="1"/>
  <c r="Z398" i="3"/>
  <c r="BG398" i="3" s="1"/>
  <c r="BH398" i="3" s="1"/>
  <c r="AV397" i="3"/>
  <c r="Z397" i="3"/>
  <c r="BF395" i="3"/>
  <c r="BF411" i="3" s="1"/>
  <c r="BE395" i="3"/>
  <c r="BE411" i="3" s="1"/>
  <c r="BD395" i="3"/>
  <c r="BD411" i="3" s="1"/>
  <c r="BC395" i="3"/>
  <c r="BB395" i="3"/>
  <c r="BB411" i="3" s="1"/>
  <c r="BA395" i="3"/>
  <c r="AZ395" i="3"/>
  <c r="AZ411" i="3" s="1"/>
  <c r="AY395" i="3"/>
  <c r="AX395" i="3"/>
  <c r="AX411" i="3" s="1"/>
  <c r="AW395" i="3"/>
  <c r="AW411" i="3" s="1"/>
  <c r="AJ395" i="3"/>
  <c r="AJ411" i="3" s="1"/>
  <c r="AI395" i="3"/>
  <c r="AI411" i="3" s="1"/>
  <c r="AH395" i="3"/>
  <c r="AH411" i="3" s="1"/>
  <c r="AG395" i="3"/>
  <c r="AG411" i="3" s="1"/>
  <c r="AF395" i="3"/>
  <c r="AF411" i="3" s="1"/>
  <c r="AE395" i="3"/>
  <c r="AE411" i="3" s="1"/>
  <c r="AD395" i="3"/>
  <c r="AD411" i="3" s="1"/>
  <c r="AC395" i="3"/>
  <c r="AC411" i="3" s="1"/>
  <c r="AB395" i="3"/>
  <c r="AB411" i="3" s="1"/>
  <c r="AA395" i="3"/>
  <c r="AA411" i="3" s="1"/>
  <c r="Z395" i="3"/>
  <c r="Y395" i="3"/>
  <c r="Y411" i="3" s="1"/>
  <c r="X395" i="3"/>
  <c r="X411" i="3" s="1"/>
  <c r="W395" i="3"/>
  <c r="W411" i="3" s="1"/>
  <c r="V395" i="3"/>
  <c r="V411" i="3" s="1"/>
  <c r="U395" i="3"/>
  <c r="U411" i="3" s="1"/>
  <c r="T395" i="3"/>
  <c r="T411" i="3" s="1"/>
  <c r="S395" i="3"/>
  <c r="S411" i="3" s="1"/>
  <c r="R395" i="3"/>
  <c r="R411" i="3" s="1"/>
  <c r="Q395" i="3"/>
  <c r="Q411" i="3" s="1"/>
  <c r="P395" i="3"/>
  <c r="P411" i="3" s="1"/>
  <c r="O395" i="3"/>
  <c r="O411" i="3" s="1"/>
  <c r="N395" i="3"/>
  <c r="N411" i="3" s="1"/>
  <c r="M395" i="3"/>
  <c r="M411" i="3" s="1"/>
  <c r="L395" i="3"/>
  <c r="L411" i="3" s="1"/>
  <c r="K395" i="3"/>
  <c r="K411" i="3" s="1"/>
  <c r="J395" i="3"/>
  <c r="J411" i="3" s="1"/>
  <c r="I395" i="3"/>
  <c r="H395" i="3"/>
  <c r="H411" i="3" s="1"/>
  <c r="G395" i="3"/>
  <c r="G411" i="3" s="1"/>
  <c r="F395" i="3"/>
  <c r="F411" i="3" s="1"/>
  <c r="E395" i="3"/>
  <c r="BG394" i="3"/>
  <c r="BH394" i="3" s="1"/>
  <c r="AV393" i="3"/>
  <c r="BG393" i="3" s="1"/>
  <c r="AV392" i="3"/>
  <c r="BG392" i="3" s="1"/>
  <c r="BH392" i="3" s="1"/>
  <c r="AV391" i="3"/>
  <c r="BF386" i="3"/>
  <c r="BE386" i="3"/>
  <c r="BD386" i="3"/>
  <c r="BD413" i="3" s="1"/>
  <c r="BD487" i="3" s="1"/>
  <c r="BC386" i="3"/>
  <c r="BB386" i="3"/>
  <c r="BA386" i="3"/>
  <c r="AZ386" i="3"/>
  <c r="AY386" i="3"/>
  <c r="AX386" i="3"/>
  <c r="AW386" i="3"/>
  <c r="AJ386" i="3"/>
  <c r="AJ413" i="3" s="1"/>
  <c r="AJ487" i="3" s="1"/>
  <c r="AI386" i="3"/>
  <c r="AH386" i="3"/>
  <c r="AG386" i="3"/>
  <c r="AF386" i="3"/>
  <c r="AE386" i="3"/>
  <c r="AD386" i="3"/>
  <c r="AC386" i="3"/>
  <c r="AA386" i="3"/>
  <c r="Z386" i="3"/>
  <c r="Y386" i="3"/>
  <c r="X386" i="3"/>
  <c r="W386" i="3"/>
  <c r="V386" i="3"/>
  <c r="U386" i="3"/>
  <c r="T386" i="3"/>
  <c r="T413" i="3" s="1"/>
  <c r="T487" i="3" s="1"/>
  <c r="S386" i="3"/>
  <c r="R386" i="3"/>
  <c r="Q386" i="3"/>
  <c r="P386" i="3"/>
  <c r="O386" i="3"/>
  <c r="N386" i="3"/>
  <c r="M386" i="3"/>
  <c r="L386" i="3"/>
  <c r="L413" i="3" s="1"/>
  <c r="L487" i="3" s="1"/>
  <c r="K386" i="3"/>
  <c r="J386" i="3"/>
  <c r="I386" i="3"/>
  <c r="H386" i="3"/>
  <c r="G386" i="3"/>
  <c r="F386" i="3"/>
  <c r="AV385" i="3"/>
  <c r="AB385" i="3"/>
  <c r="AB386" i="3" s="1"/>
  <c r="AB413" i="3" s="1"/>
  <c r="AB487" i="3" s="1"/>
  <c r="AV384" i="3"/>
  <c r="BG384" i="3" s="1"/>
  <c r="BH384" i="3" s="1"/>
  <c r="BG383" i="3"/>
  <c r="BH383" i="3" s="1"/>
  <c r="E382" i="3"/>
  <c r="E386" i="3" s="1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BD365" i="3"/>
  <c r="BD354" i="3" s="1"/>
  <c r="BA365" i="3"/>
  <c r="AX365" i="3"/>
  <c r="AX354" i="3" s="1"/>
  <c r="AV365" i="3"/>
  <c r="AV354" i="3" s="1"/>
  <c r="AJ365" i="3"/>
  <c r="AJ354" i="3" s="1"/>
  <c r="AI365" i="3"/>
  <c r="AI354" i="3" s="1"/>
  <c r="AH365" i="3"/>
  <c r="AH354" i="3" s="1"/>
  <c r="AG365" i="3"/>
  <c r="AE365" i="3"/>
  <c r="AE354" i="3" s="1"/>
  <c r="AC365" i="3"/>
  <c r="Z365" i="3"/>
  <c r="Z354" i="3" s="1"/>
  <c r="Y365" i="3"/>
  <c r="X365" i="3"/>
  <c r="W365" i="3"/>
  <c r="W354" i="3" s="1"/>
  <c r="V365" i="3"/>
  <c r="V354" i="3" s="1"/>
  <c r="U365" i="3"/>
  <c r="U354" i="3" s="1"/>
  <c r="T365" i="3"/>
  <c r="T354" i="3" s="1"/>
  <c r="S365" i="3"/>
  <c r="S354" i="3" s="1"/>
  <c r="R365" i="3"/>
  <c r="R354" i="3" s="1"/>
  <c r="Q365" i="3"/>
  <c r="Q354" i="3" s="1"/>
  <c r="P365" i="3"/>
  <c r="O365" i="3"/>
  <c r="O354" i="3" s="1"/>
  <c r="N365" i="3"/>
  <c r="N354" i="3" s="1"/>
  <c r="M365" i="3"/>
  <c r="M354" i="3" s="1"/>
  <c r="L365" i="3"/>
  <c r="L354" i="3" s="1"/>
  <c r="K365" i="3"/>
  <c r="K354" i="3" s="1"/>
  <c r="J365" i="3"/>
  <c r="J354" i="3" s="1"/>
  <c r="I365" i="3"/>
  <c r="G365" i="3"/>
  <c r="G354" i="3" s="1"/>
  <c r="F365" i="3"/>
  <c r="F354" i="3" s="1"/>
  <c r="E365" i="3"/>
  <c r="E354" i="3" s="1"/>
  <c r="BG364" i="3"/>
  <c r="BH364" i="3" s="1"/>
  <c r="BG363" i="3"/>
  <c r="BH363" i="3" s="1"/>
  <c r="BB362" i="3"/>
  <c r="AZ362" i="3"/>
  <c r="AY362" i="3"/>
  <c r="AF362" i="3"/>
  <c r="AF365" i="3" s="1"/>
  <c r="AF354" i="3" s="1"/>
  <c r="AB362" i="3"/>
  <c r="AA362" i="3"/>
  <c r="H362" i="3"/>
  <c r="H365" i="3" s="1"/>
  <c r="H354" i="3" s="1"/>
  <c r="BB361" i="3"/>
  <c r="AY361" i="3"/>
  <c r="AA361" i="3"/>
  <c r="BF360" i="3"/>
  <c r="BE360" i="3"/>
  <c r="BC360" i="3"/>
  <c r="BB360" i="3"/>
  <c r="AZ360" i="3"/>
  <c r="AW360" i="3"/>
  <c r="AD360" i="3"/>
  <c r="AB360" i="3"/>
  <c r="AA360" i="3"/>
  <c r="BF359" i="3"/>
  <c r="BE359" i="3"/>
  <c r="BC359" i="3"/>
  <c r="BB359" i="3"/>
  <c r="AZ359" i="3"/>
  <c r="AW359" i="3"/>
  <c r="AD359" i="3"/>
  <c r="AB359" i="3"/>
  <c r="AA359" i="3"/>
  <c r="BA354" i="3"/>
  <c r="AG354" i="3"/>
  <c r="AC354" i="3"/>
  <c r="Y354" i="3"/>
  <c r="X354" i="3"/>
  <c r="P354" i="3"/>
  <c r="I354" i="3"/>
  <c r="BG349" i="3"/>
  <c r="BH349" i="3" s="1"/>
  <c r="BG348" i="3"/>
  <c r="BH348" i="3" s="1"/>
  <c r="BG347" i="3"/>
  <c r="BH347" i="3" s="1"/>
  <c r="BG346" i="3"/>
  <c r="BH346" i="3" s="1"/>
  <c r="BG345" i="3"/>
  <c r="BH345" i="3" s="1"/>
  <c r="BG344" i="3"/>
  <c r="BH344" i="3" s="1"/>
  <c r="BG343" i="3"/>
  <c r="BH343" i="3" s="1"/>
  <c r="BG342" i="3"/>
  <c r="BH342" i="3" s="1"/>
  <c r="BG341" i="3"/>
  <c r="BH341" i="3" s="1"/>
  <c r="BG340" i="3"/>
  <c r="BH340" i="3" s="1"/>
  <c r="BG339" i="3"/>
  <c r="BH339" i="3" s="1"/>
  <c r="Z338" i="3"/>
  <c r="BG338" i="3" s="1"/>
  <c r="BH338" i="3" s="1"/>
  <c r="Z337" i="3"/>
  <c r="BG337" i="3" s="1"/>
  <c r="BH337" i="3" s="1"/>
  <c r="Z336" i="3"/>
  <c r="BG336" i="3" s="1"/>
  <c r="BH336" i="3" s="1"/>
  <c r="BF334" i="3"/>
  <c r="BF350" i="3" s="1"/>
  <c r="BE334" i="3"/>
  <c r="BE350" i="3" s="1"/>
  <c r="BD334" i="3"/>
  <c r="BD350" i="3" s="1"/>
  <c r="BC334" i="3"/>
  <c r="BC350" i="3" s="1"/>
  <c r="BB334" i="3"/>
  <c r="BB350" i="3" s="1"/>
  <c r="BA334" i="3"/>
  <c r="BA350" i="3" s="1"/>
  <c r="AZ334" i="3"/>
  <c r="AZ350" i="3" s="1"/>
  <c r="AY334" i="3"/>
  <c r="AY350" i="3" s="1"/>
  <c r="AX334" i="3"/>
  <c r="AX350" i="3" s="1"/>
  <c r="AW334" i="3"/>
  <c r="AW350" i="3" s="1"/>
  <c r="AJ334" i="3"/>
  <c r="AJ350" i="3" s="1"/>
  <c r="AI334" i="3"/>
  <c r="AI350" i="3" s="1"/>
  <c r="AH334" i="3"/>
  <c r="AH350" i="3" s="1"/>
  <c r="AG334" i="3"/>
  <c r="AG350" i="3" s="1"/>
  <c r="AF334" i="3"/>
  <c r="AF350" i="3" s="1"/>
  <c r="AE334" i="3"/>
  <c r="AE350" i="3" s="1"/>
  <c r="AD334" i="3"/>
  <c r="AD350" i="3" s="1"/>
  <c r="AC334" i="3"/>
  <c r="AC350" i="3" s="1"/>
  <c r="AB334" i="3"/>
  <c r="AB350" i="3" s="1"/>
  <c r="AA334" i="3"/>
  <c r="AA350" i="3" s="1"/>
  <c r="Z334" i="3"/>
  <c r="Y334" i="3"/>
  <c r="Y350" i="3" s="1"/>
  <c r="X334" i="3"/>
  <c r="X350" i="3" s="1"/>
  <c r="W334" i="3"/>
  <c r="W350" i="3" s="1"/>
  <c r="V334" i="3"/>
  <c r="V350" i="3" s="1"/>
  <c r="U334" i="3"/>
  <c r="U350" i="3" s="1"/>
  <c r="T334" i="3"/>
  <c r="T350" i="3" s="1"/>
  <c r="S334" i="3"/>
  <c r="S350" i="3" s="1"/>
  <c r="R334" i="3"/>
  <c r="R350" i="3" s="1"/>
  <c r="Q334" i="3"/>
  <c r="Q350" i="3" s="1"/>
  <c r="P334" i="3"/>
  <c r="P350" i="3" s="1"/>
  <c r="O334" i="3"/>
  <c r="O350" i="3" s="1"/>
  <c r="N334" i="3"/>
  <c r="N350" i="3" s="1"/>
  <c r="M334" i="3"/>
  <c r="M350" i="3" s="1"/>
  <c r="L334" i="3"/>
  <c r="L350" i="3" s="1"/>
  <c r="K334" i="3"/>
  <c r="K350" i="3" s="1"/>
  <c r="J334" i="3"/>
  <c r="J350" i="3" s="1"/>
  <c r="I334" i="3"/>
  <c r="I350" i="3" s="1"/>
  <c r="H334" i="3"/>
  <c r="H350" i="3" s="1"/>
  <c r="G334" i="3"/>
  <c r="G350" i="3" s="1"/>
  <c r="F334" i="3"/>
  <c r="F350" i="3" s="1"/>
  <c r="E334" i="3"/>
  <c r="E350" i="3" s="1"/>
  <c r="BG333" i="3"/>
  <c r="BH333" i="3" s="1"/>
  <c r="AV332" i="3"/>
  <c r="BG332" i="3" s="1"/>
  <c r="AV331" i="3"/>
  <c r="BG331" i="3" s="1"/>
  <c r="BH331" i="3" s="1"/>
  <c r="AV330" i="3"/>
  <c r="BF325" i="3"/>
  <c r="BE325" i="3"/>
  <c r="BE352" i="3" s="1"/>
  <c r="BE484" i="3" s="1"/>
  <c r="BD325" i="3"/>
  <c r="BC325" i="3"/>
  <c r="BB325" i="3"/>
  <c r="BA325" i="3"/>
  <c r="AZ325" i="3"/>
  <c r="AY325" i="3"/>
  <c r="AX325" i="3"/>
  <c r="AW325" i="3"/>
  <c r="AJ325" i="3"/>
  <c r="AI325" i="3"/>
  <c r="AH325" i="3"/>
  <c r="AG325" i="3"/>
  <c r="AF325" i="3"/>
  <c r="AE325" i="3"/>
  <c r="AD325" i="3"/>
  <c r="AC325" i="3"/>
  <c r="AA325" i="3"/>
  <c r="Z325" i="3"/>
  <c r="Y325" i="3"/>
  <c r="X325" i="3"/>
  <c r="X352" i="3" s="1"/>
  <c r="X484" i="3" s="1"/>
  <c r="W325" i="3"/>
  <c r="V325" i="3"/>
  <c r="U325" i="3"/>
  <c r="T325" i="3"/>
  <c r="S325" i="3"/>
  <c r="R325" i="3"/>
  <c r="Q325" i="3"/>
  <c r="P325" i="3"/>
  <c r="P352" i="3" s="1"/>
  <c r="P484" i="3" s="1"/>
  <c r="O325" i="3"/>
  <c r="N325" i="3"/>
  <c r="M325" i="3"/>
  <c r="M352" i="3" s="1"/>
  <c r="M484" i="3" s="1"/>
  <c r="L325" i="3"/>
  <c r="K325" i="3"/>
  <c r="J325" i="3"/>
  <c r="I325" i="3"/>
  <c r="H325" i="3"/>
  <c r="H352" i="3" s="1"/>
  <c r="H484" i="3" s="1"/>
  <c r="G325" i="3"/>
  <c r="F325" i="3"/>
  <c r="AV324" i="3"/>
  <c r="AB324" i="3"/>
  <c r="AB325" i="3" s="1"/>
  <c r="AV323" i="3"/>
  <c r="BG323" i="3" s="1"/>
  <c r="BH323" i="3" s="1"/>
  <c r="BG322" i="3"/>
  <c r="BH322" i="3" s="1"/>
  <c r="BL321" i="3"/>
  <c r="BL322" i="3" s="1"/>
  <c r="BL323" i="3" s="1"/>
  <c r="BJ321" i="3"/>
  <c r="E321" i="3"/>
  <c r="E325" i="3" s="1"/>
  <c r="BF304" i="3"/>
  <c r="BD304" i="3"/>
  <c r="BD293" i="3" s="1"/>
  <c r="BD482" i="3" s="1"/>
  <c r="BD504" i="3" s="1"/>
  <c r="BA304" i="3"/>
  <c r="AX304" i="3"/>
  <c r="AX293" i="3" s="1"/>
  <c r="AX482" i="3" s="1"/>
  <c r="AX504" i="3" s="1"/>
  <c r="AV304" i="3"/>
  <c r="AU304" i="3"/>
  <c r="AU293" i="3" s="1"/>
  <c r="AU482" i="3" s="1"/>
  <c r="AU504" i="3" s="1"/>
  <c r="AT304" i="3"/>
  <c r="AT293" i="3" s="1"/>
  <c r="AT482" i="3" s="1"/>
  <c r="AT504" i="3" s="1"/>
  <c r="AS304" i="3"/>
  <c r="AS293" i="3" s="1"/>
  <c r="AS482" i="3" s="1"/>
  <c r="AS504" i="3" s="1"/>
  <c r="AR304" i="3"/>
  <c r="AQ304" i="3"/>
  <c r="AQ293" i="3" s="1"/>
  <c r="AQ482" i="3" s="1"/>
  <c r="AQ504" i="3" s="1"/>
  <c r="AP304" i="3"/>
  <c r="AO304" i="3"/>
  <c r="AO293" i="3" s="1"/>
  <c r="AO482" i="3" s="1"/>
  <c r="AO504" i="3" s="1"/>
  <c r="AM304" i="3"/>
  <c r="AK304" i="3"/>
  <c r="AC304" i="3"/>
  <c r="AC293" i="3" s="1"/>
  <c r="AC482" i="3" s="1"/>
  <c r="AC504" i="3" s="1"/>
  <c r="AA304" i="3"/>
  <c r="Z304" i="3"/>
  <c r="Y304" i="3"/>
  <c r="Y293" i="3" s="1"/>
  <c r="Y482" i="3" s="1"/>
  <c r="Y504" i="3" s="1"/>
  <c r="X304" i="3"/>
  <c r="W304" i="3"/>
  <c r="W293" i="3" s="1"/>
  <c r="W482" i="3" s="1"/>
  <c r="W504" i="3" s="1"/>
  <c r="V304" i="3"/>
  <c r="U304" i="3"/>
  <c r="U293" i="3" s="1"/>
  <c r="U482" i="3" s="1"/>
  <c r="U504" i="3" s="1"/>
  <c r="T304" i="3"/>
  <c r="T293" i="3" s="1"/>
  <c r="T482" i="3" s="1"/>
  <c r="T504" i="3" s="1"/>
  <c r="S304" i="3"/>
  <c r="S293" i="3" s="1"/>
  <c r="S482" i="3" s="1"/>
  <c r="S504" i="3" s="1"/>
  <c r="R304" i="3"/>
  <c r="Q304" i="3"/>
  <c r="Q293" i="3" s="1"/>
  <c r="Q482" i="3" s="1"/>
  <c r="Q504" i="3" s="1"/>
  <c r="P304" i="3"/>
  <c r="O304" i="3"/>
  <c r="O293" i="3" s="1"/>
  <c r="O482" i="3" s="1"/>
  <c r="O504" i="3" s="1"/>
  <c r="N304" i="3"/>
  <c r="M304" i="3"/>
  <c r="M293" i="3" s="1"/>
  <c r="M482" i="3" s="1"/>
  <c r="M504" i="3" s="1"/>
  <c r="L304" i="3"/>
  <c r="L293" i="3" s="1"/>
  <c r="L482" i="3" s="1"/>
  <c r="L504" i="3" s="1"/>
  <c r="K304" i="3"/>
  <c r="K293" i="3" s="1"/>
  <c r="K482" i="3" s="1"/>
  <c r="K504" i="3" s="1"/>
  <c r="J304" i="3"/>
  <c r="I304" i="3"/>
  <c r="I293" i="3" s="1"/>
  <c r="I482" i="3" s="1"/>
  <c r="I504" i="3" s="1"/>
  <c r="G304" i="3"/>
  <c r="G293" i="3" s="1"/>
  <c r="G482" i="3" s="1"/>
  <c r="G504" i="3" s="1"/>
  <c r="F304" i="3"/>
  <c r="F293" i="3" s="1"/>
  <c r="F482" i="3" s="1"/>
  <c r="F504" i="3" s="1"/>
  <c r="E304" i="3"/>
  <c r="BG303" i="3"/>
  <c r="BG302" i="3"/>
  <c r="L55" i="2" s="1"/>
  <c r="BE301" i="3"/>
  <c r="BB301" i="3"/>
  <c r="AZ301" i="3"/>
  <c r="AW301" i="3"/>
  <c r="AL301" i="3"/>
  <c r="AJ301" i="3"/>
  <c r="AI301" i="3"/>
  <c r="AH301" i="3"/>
  <c r="AG301" i="3"/>
  <c r="AF301" i="3"/>
  <c r="AE301" i="3"/>
  <c r="H301" i="3"/>
  <c r="H304" i="3" s="1"/>
  <c r="H293" i="3" s="1"/>
  <c r="H482" i="3" s="1"/>
  <c r="H504" i="3" s="1"/>
  <c r="BE300" i="3"/>
  <c r="BB300" i="3"/>
  <c r="AL300" i="3"/>
  <c r="BC299" i="3"/>
  <c r="BB299" i="3"/>
  <c r="AZ299" i="3"/>
  <c r="AW299" i="3"/>
  <c r="AW304" i="3" s="1"/>
  <c r="AW293" i="3" s="1"/>
  <c r="AW482" i="3" s="1"/>
  <c r="AW504" i="3" s="1"/>
  <c r="AN299" i="3"/>
  <c r="AJ299" i="3"/>
  <c r="AI299" i="3"/>
  <c r="AH299" i="3"/>
  <c r="AG299" i="3"/>
  <c r="AF299" i="3"/>
  <c r="AE299" i="3"/>
  <c r="AD299" i="3"/>
  <c r="BE298" i="3"/>
  <c r="BC298" i="3"/>
  <c r="BB298" i="3"/>
  <c r="AZ298" i="3"/>
  <c r="AJ298" i="3"/>
  <c r="AI298" i="3"/>
  <c r="AH298" i="3"/>
  <c r="AG298" i="3"/>
  <c r="AD298" i="3"/>
  <c r="BF293" i="3"/>
  <c r="BF482" i="3" s="1"/>
  <c r="BF504" i="3" s="1"/>
  <c r="BA293" i="3"/>
  <c r="BA482" i="3" s="1"/>
  <c r="BA504" i="3" s="1"/>
  <c r="AV293" i="3"/>
  <c r="AV482" i="3" s="1"/>
  <c r="AV504" i="3" s="1"/>
  <c r="AR293" i="3"/>
  <c r="AR482" i="3" s="1"/>
  <c r="AR504" i="3" s="1"/>
  <c r="AP293" i="3"/>
  <c r="AP482" i="3" s="1"/>
  <c r="AP504" i="3" s="1"/>
  <c r="AM293" i="3"/>
  <c r="AM482" i="3" s="1"/>
  <c r="AM504" i="3" s="1"/>
  <c r="Z293" i="3"/>
  <c r="Z482" i="3" s="1"/>
  <c r="Z504" i="3" s="1"/>
  <c r="X293" i="3"/>
  <c r="X482" i="3" s="1"/>
  <c r="X504" i="3" s="1"/>
  <c r="V293" i="3"/>
  <c r="V482" i="3" s="1"/>
  <c r="V504" i="3" s="1"/>
  <c r="R293" i="3"/>
  <c r="R482" i="3" s="1"/>
  <c r="R504" i="3" s="1"/>
  <c r="P293" i="3"/>
  <c r="P482" i="3" s="1"/>
  <c r="P504" i="3" s="1"/>
  <c r="N293" i="3"/>
  <c r="N482" i="3" s="1"/>
  <c r="N504" i="3" s="1"/>
  <c r="J293" i="3"/>
  <c r="J482" i="3" s="1"/>
  <c r="J504" i="3" s="1"/>
  <c r="E293" i="3"/>
  <c r="E482" i="3" s="1"/>
  <c r="E504" i="3" s="1"/>
  <c r="H288" i="3"/>
  <c r="BG288" i="3" s="1"/>
  <c r="L43" i="2" s="1"/>
  <c r="BF287" i="3"/>
  <c r="BB287" i="3"/>
  <c r="H287" i="3"/>
  <c r="BB286" i="3"/>
  <c r="Z286" i="3"/>
  <c r="O286" i="3"/>
  <c r="AP285" i="3"/>
  <c r="E285" i="3"/>
  <c r="BF283" i="3"/>
  <c r="AZ283" i="3"/>
  <c r="AJ283" i="3"/>
  <c r="AI283" i="3"/>
  <c r="AH283" i="3"/>
  <c r="AG283" i="3"/>
  <c r="AF283" i="3"/>
  <c r="BF282" i="3"/>
  <c r="BB282" i="3"/>
  <c r="AJ282" i="3"/>
  <c r="AI282" i="3"/>
  <c r="AH282" i="3"/>
  <c r="AF282" i="3"/>
  <c r="BB281" i="3"/>
  <c r="AZ281" i="3"/>
  <c r="AO281" i="3"/>
  <c r="Z281" i="3"/>
  <c r="O281" i="3"/>
  <c r="BG280" i="3"/>
  <c r="O279" i="3"/>
  <c r="O278" i="3"/>
  <c r="O277" i="3"/>
  <c r="O276" i="3"/>
  <c r="BF275" i="3"/>
  <c r="BB275" i="3"/>
  <c r="AV275" i="3"/>
  <c r="Z275" i="3"/>
  <c r="O275" i="3"/>
  <c r="BF273" i="3"/>
  <c r="BE273" i="3"/>
  <c r="BE289" i="3" s="1"/>
  <c r="BD273" i="3"/>
  <c r="BD289" i="3" s="1"/>
  <c r="BC273" i="3"/>
  <c r="BB273" i="3"/>
  <c r="BA273" i="3"/>
  <c r="AZ273" i="3"/>
  <c r="AY273" i="3"/>
  <c r="AX273" i="3"/>
  <c r="AX289" i="3" s="1"/>
  <c r="AW273" i="3"/>
  <c r="AW289" i="3" s="1"/>
  <c r="AU273" i="3"/>
  <c r="AU289" i="3" s="1"/>
  <c r="AT273" i="3"/>
  <c r="AT289" i="3" s="1"/>
  <c r="AS273" i="3"/>
  <c r="AS289" i="3" s="1"/>
  <c r="AR273" i="3"/>
  <c r="AR289" i="3" s="1"/>
  <c r="AQ273" i="3"/>
  <c r="AQ289" i="3" s="1"/>
  <c r="AP273" i="3"/>
  <c r="AO273" i="3"/>
  <c r="AN273" i="3"/>
  <c r="AN289" i="3" s="1"/>
  <c r="AM273" i="3"/>
  <c r="AM289" i="3" s="1"/>
  <c r="AL273" i="3"/>
  <c r="AK273" i="3"/>
  <c r="AK289" i="3" s="1"/>
  <c r="AJ273" i="3"/>
  <c r="AI273" i="3"/>
  <c r="AH273" i="3"/>
  <c r="AG273" i="3"/>
  <c r="AF273" i="3"/>
  <c r="AE273" i="3"/>
  <c r="AD273" i="3"/>
  <c r="AD289" i="3" s="1"/>
  <c r="AC273" i="3"/>
  <c r="AB273" i="3"/>
  <c r="AA273" i="3"/>
  <c r="AA289" i="3" s="1"/>
  <c r="Z273" i="3"/>
  <c r="Y273" i="3"/>
  <c r="Y289" i="3" s="1"/>
  <c r="X273" i="3"/>
  <c r="X289" i="3" s="1"/>
  <c r="W273" i="3"/>
  <c r="W289" i="3" s="1"/>
  <c r="V273" i="3"/>
  <c r="V289" i="3" s="1"/>
  <c r="U273" i="3"/>
  <c r="U289" i="3" s="1"/>
  <c r="T273" i="3"/>
  <c r="T289" i="3" s="1"/>
  <c r="S273" i="3"/>
  <c r="S289" i="3" s="1"/>
  <c r="R273" i="3"/>
  <c r="R289" i="3" s="1"/>
  <c r="Q273" i="3"/>
  <c r="Q289" i="3" s="1"/>
  <c r="P273" i="3"/>
  <c r="P289" i="3" s="1"/>
  <c r="N273" i="3"/>
  <c r="N289" i="3" s="1"/>
  <c r="M273" i="3"/>
  <c r="M289" i="3" s="1"/>
  <c r="L273" i="3"/>
  <c r="L289" i="3" s="1"/>
  <c r="K273" i="3"/>
  <c r="K289" i="3" s="1"/>
  <c r="J273" i="3"/>
  <c r="J289" i="3" s="1"/>
  <c r="I273" i="3"/>
  <c r="H273" i="3"/>
  <c r="G273" i="3"/>
  <c r="G289" i="3" s="1"/>
  <c r="F273" i="3"/>
  <c r="F289" i="3" s="1"/>
  <c r="E273" i="3"/>
  <c r="BG272" i="3"/>
  <c r="L27" i="2" s="1"/>
  <c r="AV271" i="3"/>
  <c r="BG271" i="3" s="1"/>
  <c r="L26" i="2" s="1"/>
  <c r="AV270" i="3"/>
  <c r="O270" i="3"/>
  <c r="O273" i="3" s="1"/>
  <c r="AV269" i="3"/>
  <c r="BF264" i="3"/>
  <c r="BE264" i="3"/>
  <c r="BD264" i="3"/>
  <c r="BC264" i="3"/>
  <c r="BB264" i="3"/>
  <c r="BA264" i="3"/>
  <c r="AZ264" i="3"/>
  <c r="AX264" i="3"/>
  <c r="AX291" i="3" s="1"/>
  <c r="AX481" i="3" s="1"/>
  <c r="AX503" i="3" s="1"/>
  <c r="AW264" i="3"/>
  <c r="AU264" i="3"/>
  <c r="AT264" i="3"/>
  <c r="AT291" i="3" s="1"/>
  <c r="AT481" i="3" s="1"/>
  <c r="AT503" i="3" s="1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D291" i="3" s="1"/>
  <c r="AD481" i="3" s="1"/>
  <c r="AD503" i="3" s="1"/>
  <c r="AC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N291" i="3" s="1"/>
  <c r="N481" i="3" s="1"/>
  <c r="N503" i="3" s="1"/>
  <c r="M264" i="3"/>
  <c r="L264" i="3"/>
  <c r="K264" i="3"/>
  <c r="J264" i="3"/>
  <c r="J291" i="3" s="1"/>
  <c r="J481" i="3" s="1"/>
  <c r="J503" i="3" s="1"/>
  <c r="I264" i="3"/>
  <c r="H264" i="3"/>
  <c r="G264" i="3"/>
  <c r="F264" i="3"/>
  <c r="F291" i="3" s="1"/>
  <c r="F481" i="3" s="1"/>
  <c r="F503" i="3" s="1"/>
  <c r="AY263" i="3"/>
  <c r="AY264" i="3" s="1"/>
  <c r="AV263" i="3"/>
  <c r="E263" i="3"/>
  <c r="AV262" i="3"/>
  <c r="BG262" i="3" s="1"/>
  <c r="L17" i="2" s="1"/>
  <c r="E261" i="3"/>
  <c r="BG261" i="3" s="1"/>
  <c r="L16" i="2" s="1"/>
  <c r="A250" i="3"/>
  <c r="A249" i="3"/>
  <c r="A188" i="3" s="1"/>
  <c r="A127" i="3" s="1"/>
  <c r="A66" i="3" s="1"/>
  <c r="A248" i="3"/>
  <c r="A187" i="3" s="1"/>
  <c r="A126" i="3" s="1"/>
  <c r="A65" i="3" s="1"/>
  <c r="A247" i="3"/>
  <c r="A186" i="3" s="1"/>
  <c r="A125" i="3" s="1"/>
  <c r="A64" i="3" s="1"/>
  <c r="A246" i="3"/>
  <c r="A185" i="3" s="1"/>
  <c r="A124" i="3" s="1"/>
  <c r="A63" i="3" s="1"/>
  <c r="A245" i="3"/>
  <c r="A184" i="3" s="1"/>
  <c r="A123" i="3" s="1"/>
  <c r="A62" i="3" s="1"/>
  <c r="A244" i="3"/>
  <c r="A183" i="3" s="1"/>
  <c r="A122" i="3" s="1"/>
  <c r="A61" i="3" s="1"/>
  <c r="BD243" i="3"/>
  <c r="BD232" i="3" s="1"/>
  <c r="BD479" i="3" s="1"/>
  <c r="BD501" i="3" s="1"/>
  <c r="BA243" i="3"/>
  <c r="BA232" i="3" s="1"/>
  <c r="BA479" i="3" s="1"/>
  <c r="BA501" i="3" s="1"/>
  <c r="AX243" i="3"/>
  <c r="AX232" i="3" s="1"/>
  <c r="AX479" i="3" s="1"/>
  <c r="AX501" i="3" s="1"/>
  <c r="AV243" i="3"/>
  <c r="AV232" i="3" s="1"/>
  <c r="AV479" i="3" s="1"/>
  <c r="AV501" i="3" s="1"/>
  <c r="AU243" i="3"/>
  <c r="AU232" i="3" s="1"/>
  <c r="AU479" i="3" s="1"/>
  <c r="AU501" i="3" s="1"/>
  <c r="AT243" i="3"/>
  <c r="AT232" i="3" s="1"/>
  <c r="AT479" i="3" s="1"/>
  <c r="AT501" i="3" s="1"/>
  <c r="AS243" i="3"/>
  <c r="AR243" i="3"/>
  <c r="AR232" i="3" s="1"/>
  <c r="AR479" i="3" s="1"/>
  <c r="AR501" i="3" s="1"/>
  <c r="AQ243" i="3"/>
  <c r="AQ232" i="3" s="1"/>
  <c r="AQ479" i="3" s="1"/>
  <c r="AQ501" i="3" s="1"/>
  <c r="AP243" i="3"/>
  <c r="AO243" i="3"/>
  <c r="AO232" i="3" s="1"/>
  <c r="AO479" i="3" s="1"/>
  <c r="AO501" i="3" s="1"/>
  <c r="AM243" i="3"/>
  <c r="AM232" i="3" s="1"/>
  <c r="AM479" i="3" s="1"/>
  <c r="AM501" i="3" s="1"/>
  <c r="AK243" i="3"/>
  <c r="AC243" i="3"/>
  <c r="AA243" i="3"/>
  <c r="Z243" i="3"/>
  <c r="Z232" i="3" s="1"/>
  <c r="Z479" i="3" s="1"/>
  <c r="Z501" i="3" s="1"/>
  <c r="Y243" i="3"/>
  <c r="Y232" i="3" s="1"/>
  <c r="Y479" i="3" s="1"/>
  <c r="Y501" i="3" s="1"/>
  <c r="X243" i="3"/>
  <c r="W243" i="3"/>
  <c r="W232" i="3" s="1"/>
  <c r="W479" i="3" s="1"/>
  <c r="W501" i="3" s="1"/>
  <c r="V243" i="3"/>
  <c r="V232" i="3" s="1"/>
  <c r="V479" i="3" s="1"/>
  <c r="V501" i="3" s="1"/>
  <c r="U243" i="3"/>
  <c r="U232" i="3" s="1"/>
  <c r="U479" i="3" s="1"/>
  <c r="U501" i="3" s="1"/>
  <c r="T243" i="3"/>
  <c r="T232" i="3" s="1"/>
  <c r="T479" i="3" s="1"/>
  <c r="T501" i="3" s="1"/>
  <c r="S243" i="3"/>
  <c r="S232" i="3" s="1"/>
  <c r="S479" i="3" s="1"/>
  <c r="S501" i="3" s="1"/>
  <c r="R243" i="3"/>
  <c r="R232" i="3" s="1"/>
  <c r="R479" i="3" s="1"/>
  <c r="R501" i="3" s="1"/>
  <c r="Q243" i="3"/>
  <c r="Q232" i="3" s="1"/>
  <c r="Q479" i="3" s="1"/>
  <c r="Q501" i="3" s="1"/>
  <c r="P243" i="3"/>
  <c r="P232" i="3" s="1"/>
  <c r="P479" i="3" s="1"/>
  <c r="P501" i="3" s="1"/>
  <c r="O243" i="3"/>
  <c r="O232" i="3" s="1"/>
  <c r="O479" i="3" s="1"/>
  <c r="O501" i="3" s="1"/>
  <c r="N243" i="3"/>
  <c r="N232" i="3" s="1"/>
  <c r="N479" i="3" s="1"/>
  <c r="N501" i="3" s="1"/>
  <c r="M243" i="3"/>
  <c r="M232" i="3" s="1"/>
  <c r="M479" i="3" s="1"/>
  <c r="M501" i="3" s="1"/>
  <c r="L243" i="3"/>
  <c r="L232" i="3" s="1"/>
  <c r="L479" i="3" s="1"/>
  <c r="L501" i="3" s="1"/>
  <c r="K243" i="3"/>
  <c r="K232" i="3" s="1"/>
  <c r="K479" i="3" s="1"/>
  <c r="K501" i="3" s="1"/>
  <c r="J243" i="3"/>
  <c r="J232" i="3" s="1"/>
  <c r="J479" i="3" s="1"/>
  <c r="J501" i="3" s="1"/>
  <c r="I243" i="3"/>
  <c r="I232" i="3" s="1"/>
  <c r="I479" i="3" s="1"/>
  <c r="I501" i="3" s="1"/>
  <c r="G243" i="3"/>
  <c r="G232" i="3" s="1"/>
  <c r="G479" i="3" s="1"/>
  <c r="G501" i="3" s="1"/>
  <c r="F243" i="3"/>
  <c r="F232" i="3" s="1"/>
  <c r="F479" i="3" s="1"/>
  <c r="F501" i="3" s="1"/>
  <c r="E243" i="3"/>
  <c r="E232" i="3" s="1"/>
  <c r="E479" i="3" s="1"/>
  <c r="E501" i="3" s="1"/>
  <c r="A243" i="3"/>
  <c r="A182" i="3" s="1"/>
  <c r="A121" i="3" s="1"/>
  <c r="A60" i="3" s="1"/>
  <c r="BG242" i="3"/>
  <c r="A242" i="3"/>
  <c r="A181" i="3" s="1"/>
  <c r="A120" i="3" s="1"/>
  <c r="A59" i="3" s="1"/>
  <c r="BG241" i="3"/>
  <c r="J55" i="2" s="1"/>
  <c r="A241" i="3"/>
  <c r="BF240" i="3"/>
  <c r="BC240" i="3"/>
  <c r="BB240" i="3"/>
  <c r="AZ240" i="3"/>
  <c r="AW240" i="3"/>
  <c r="AL240" i="3"/>
  <c r="AJ240" i="3"/>
  <c r="AI240" i="3"/>
  <c r="AH240" i="3"/>
  <c r="AG240" i="3"/>
  <c r="AF240" i="3"/>
  <c r="AE240" i="3"/>
  <c r="H240" i="3"/>
  <c r="A240" i="3"/>
  <c r="A179" i="3" s="1"/>
  <c r="A118" i="3" s="1"/>
  <c r="A57" i="3" s="1"/>
  <c r="BE239" i="3"/>
  <c r="BB239" i="3"/>
  <c r="AL239" i="3"/>
  <c r="A239" i="3"/>
  <c r="A178" i="3" s="1"/>
  <c r="A117" i="3" s="1"/>
  <c r="A56" i="3" s="1"/>
  <c r="BB238" i="3"/>
  <c r="AZ238" i="3"/>
  <c r="AW238" i="3"/>
  <c r="AW243" i="3" s="1"/>
  <c r="AW232" i="3" s="1"/>
  <c r="AW479" i="3" s="1"/>
  <c r="AW501" i="3" s="1"/>
  <c r="AN238" i="3"/>
  <c r="AJ238" i="3"/>
  <c r="AI238" i="3"/>
  <c r="AH238" i="3"/>
  <c r="AG238" i="3"/>
  <c r="AE238" i="3"/>
  <c r="AD238" i="3"/>
  <c r="A238" i="3"/>
  <c r="BF237" i="3"/>
  <c r="BE237" i="3"/>
  <c r="BB237" i="3"/>
  <c r="AZ237" i="3"/>
  <c r="AJ237" i="3"/>
  <c r="AI237" i="3"/>
  <c r="AH237" i="3"/>
  <c r="AG237" i="3"/>
  <c r="AD237" i="3"/>
  <c r="A237" i="3"/>
  <c r="BN236" i="3"/>
  <c r="A236" i="3"/>
  <c r="A175" i="3" s="1"/>
  <c r="A114" i="3" s="1"/>
  <c r="A53" i="3" s="1"/>
  <c r="A235" i="3"/>
  <c r="A174" i="3" s="1"/>
  <c r="A113" i="3" s="1"/>
  <c r="A52" i="3" s="1"/>
  <c r="A234" i="3"/>
  <c r="A233" i="3"/>
  <c r="A172" i="3" s="1"/>
  <c r="A111" i="3" s="1"/>
  <c r="A50" i="3" s="1"/>
  <c r="AS232" i="3"/>
  <c r="AS479" i="3" s="1"/>
  <c r="AS501" i="3" s="1"/>
  <c r="AP232" i="3"/>
  <c r="AP479" i="3" s="1"/>
  <c r="AP501" i="3" s="1"/>
  <c r="AC232" i="3"/>
  <c r="AC479" i="3" s="1"/>
  <c r="AC501" i="3" s="1"/>
  <c r="X232" i="3"/>
  <c r="X479" i="3" s="1"/>
  <c r="X501" i="3" s="1"/>
  <c r="A232" i="3"/>
  <c r="A171" i="3" s="1"/>
  <c r="A110" i="3" s="1"/>
  <c r="A49" i="3" s="1"/>
  <c r="A231" i="3"/>
  <c r="A230" i="3"/>
  <c r="A169" i="3" s="1"/>
  <c r="A108" i="3" s="1"/>
  <c r="A47" i="3" s="1"/>
  <c r="A229" i="3"/>
  <c r="A168" i="3" s="1"/>
  <c r="A107" i="3" s="1"/>
  <c r="A46" i="3" s="1"/>
  <c r="A228" i="3"/>
  <c r="H227" i="3"/>
  <c r="A227" i="3"/>
  <c r="A166" i="3" s="1"/>
  <c r="A105" i="3" s="1"/>
  <c r="A44" i="3" s="1"/>
  <c r="BB226" i="3"/>
  <c r="AZ226" i="3"/>
  <c r="AO226" i="3"/>
  <c r="H226" i="3"/>
  <c r="A226" i="3"/>
  <c r="A165" i="3" s="1"/>
  <c r="A104" i="3" s="1"/>
  <c r="A43" i="3" s="1"/>
  <c r="BB225" i="3"/>
  <c r="Z225" i="3"/>
  <c r="O225" i="3"/>
  <c r="A225" i="3"/>
  <c r="A164" i="3" s="1"/>
  <c r="A103" i="3" s="1"/>
  <c r="A42" i="3" s="1"/>
  <c r="BE224" i="3"/>
  <c r="AP224" i="3"/>
  <c r="AN224" i="3"/>
  <c r="S224" i="3"/>
  <c r="E224" i="3"/>
  <c r="A224" i="3"/>
  <c r="A163" i="3" s="1"/>
  <c r="A102" i="3" s="1"/>
  <c r="A41" i="3" s="1"/>
  <c r="AX223" i="3"/>
  <c r="A223" i="3"/>
  <c r="A162" i="3" s="1"/>
  <c r="A101" i="3" s="1"/>
  <c r="A40" i="3" s="1"/>
  <c r="BC222" i="3"/>
  <c r="AZ222" i="3"/>
  <c r="AJ222" i="3"/>
  <c r="AI222" i="3"/>
  <c r="AH222" i="3"/>
  <c r="AG222" i="3"/>
  <c r="AF222" i="3"/>
  <c r="A222" i="3"/>
  <c r="A161" i="3" s="1"/>
  <c r="A100" i="3" s="1"/>
  <c r="A39" i="3" s="1"/>
  <c r="BF221" i="3"/>
  <c r="BB221" i="3"/>
  <c r="AW221" i="3"/>
  <c r="AJ221" i="3"/>
  <c r="AI221" i="3"/>
  <c r="AH221" i="3"/>
  <c r="AG221" i="3"/>
  <c r="AF221" i="3"/>
  <c r="A221" i="3"/>
  <c r="BB220" i="3"/>
  <c r="AZ220" i="3"/>
  <c r="AO220" i="3"/>
  <c r="AM220" i="3"/>
  <c r="O220" i="3"/>
  <c r="A220" i="3"/>
  <c r="A159" i="3" s="1"/>
  <c r="A98" i="3" s="1"/>
  <c r="A37" i="3" s="1"/>
  <c r="BG219" i="3"/>
  <c r="A219" i="3"/>
  <c r="A158" i="3" s="1"/>
  <c r="A97" i="3" s="1"/>
  <c r="A36" i="3" s="1"/>
  <c r="Z218" i="3"/>
  <c r="O218" i="3"/>
  <c r="A218" i="3"/>
  <c r="A157" i="3" s="1"/>
  <c r="A96" i="3" s="1"/>
  <c r="A35" i="3" s="1"/>
  <c r="O217" i="3"/>
  <c r="A217" i="3"/>
  <c r="A156" i="3" s="1"/>
  <c r="A95" i="3" s="1"/>
  <c r="A34" i="3" s="1"/>
  <c r="AX216" i="3"/>
  <c r="Z216" i="3"/>
  <c r="O216" i="3"/>
  <c r="A216" i="3"/>
  <c r="A155" i="3" s="1"/>
  <c r="A94" i="3" s="1"/>
  <c r="A33" i="3" s="1"/>
  <c r="AX215" i="3"/>
  <c r="Z215" i="3"/>
  <c r="O215" i="3"/>
  <c r="A215" i="3"/>
  <c r="A154" i="3" s="1"/>
  <c r="A93" i="3" s="1"/>
  <c r="A32" i="3" s="1"/>
  <c r="BF214" i="3"/>
  <c r="BB214" i="3"/>
  <c r="AV214" i="3"/>
  <c r="O214" i="3"/>
  <c r="A214" i="3"/>
  <c r="A153" i="3" s="1"/>
  <c r="A92" i="3" s="1"/>
  <c r="A31" i="3" s="1"/>
  <c r="A213" i="3"/>
  <c r="A152" i="3" s="1"/>
  <c r="A91" i="3" s="1"/>
  <c r="A30" i="3" s="1"/>
  <c r="BF212" i="3"/>
  <c r="BE212" i="3"/>
  <c r="BD212" i="3"/>
  <c r="BD228" i="3" s="1"/>
  <c r="BC212" i="3"/>
  <c r="BB212" i="3"/>
  <c r="BA212" i="3"/>
  <c r="AZ212" i="3"/>
  <c r="AY212" i="3"/>
  <c r="AX212" i="3"/>
  <c r="AW212" i="3"/>
  <c r="AU212" i="3"/>
  <c r="AU228" i="3" s="1"/>
  <c r="AT212" i="3"/>
  <c r="AT228" i="3" s="1"/>
  <c r="AS212" i="3"/>
  <c r="AS228" i="3" s="1"/>
  <c r="AR212" i="3"/>
  <c r="AR228" i="3" s="1"/>
  <c r="AQ212" i="3"/>
  <c r="AQ228" i="3" s="1"/>
  <c r="AP212" i="3"/>
  <c r="AO212" i="3"/>
  <c r="AN212" i="3"/>
  <c r="AM212" i="3"/>
  <c r="AL212" i="3"/>
  <c r="AK212" i="3"/>
  <c r="AK228" i="3" s="1"/>
  <c r="AJ212" i="3"/>
  <c r="AI212" i="3"/>
  <c r="AH212" i="3"/>
  <c r="AG212" i="3"/>
  <c r="AF212" i="3"/>
  <c r="AE212" i="3"/>
  <c r="AD212" i="3"/>
  <c r="AD228" i="3" s="1"/>
  <c r="AC212" i="3"/>
  <c r="AB212" i="3"/>
  <c r="AA212" i="3"/>
  <c r="AA228" i="3" s="1"/>
  <c r="Z212" i="3"/>
  <c r="Y212" i="3"/>
  <c r="Y228" i="3" s="1"/>
  <c r="X212" i="3"/>
  <c r="X228" i="3" s="1"/>
  <c r="W212" i="3"/>
  <c r="W228" i="3" s="1"/>
  <c r="V212" i="3"/>
  <c r="V228" i="3" s="1"/>
  <c r="U212" i="3"/>
  <c r="U228" i="3" s="1"/>
  <c r="T212" i="3"/>
  <c r="T228" i="3" s="1"/>
  <c r="S212" i="3"/>
  <c r="R212" i="3"/>
  <c r="R228" i="3" s="1"/>
  <c r="Q212" i="3"/>
  <c r="Q228" i="3" s="1"/>
  <c r="P212" i="3"/>
  <c r="P228" i="3" s="1"/>
  <c r="N212" i="3"/>
  <c r="N228" i="3" s="1"/>
  <c r="M212" i="3"/>
  <c r="M228" i="3" s="1"/>
  <c r="L212" i="3"/>
  <c r="L228" i="3" s="1"/>
  <c r="K212" i="3"/>
  <c r="K228" i="3" s="1"/>
  <c r="J212" i="3"/>
  <c r="J228" i="3" s="1"/>
  <c r="I212" i="3"/>
  <c r="H212" i="3"/>
  <c r="G212" i="3"/>
  <c r="G228" i="3" s="1"/>
  <c r="F212" i="3"/>
  <c r="F228" i="3" s="1"/>
  <c r="E212" i="3"/>
  <c r="A212" i="3"/>
  <c r="A151" i="3" s="1"/>
  <c r="A90" i="3" s="1"/>
  <c r="A29" i="3" s="1"/>
  <c r="BG211" i="3"/>
  <c r="A211" i="3"/>
  <c r="A150" i="3" s="1"/>
  <c r="A89" i="3" s="1"/>
  <c r="A28" i="3" s="1"/>
  <c r="AV210" i="3"/>
  <c r="BG210" i="3" s="1"/>
  <c r="J26" i="2" s="1"/>
  <c r="A210" i="3"/>
  <c r="A149" i="3" s="1"/>
  <c r="A88" i="3" s="1"/>
  <c r="A27" i="3" s="1"/>
  <c r="AV209" i="3"/>
  <c r="O209" i="3"/>
  <c r="A209" i="3"/>
  <c r="A148" i="3" s="1"/>
  <c r="A87" i="3" s="1"/>
  <c r="A26" i="3" s="1"/>
  <c r="AV208" i="3"/>
  <c r="A208" i="3"/>
  <c r="A147" i="3" s="1"/>
  <c r="A86" i="3" s="1"/>
  <c r="A25" i="3" s="1"/>
  <c r="A207" i="3"/>
  <c r="A146" i="3" s="1"/>
  <c r="A85" i="3" s="1"/>
  <c r="A24" i="3" s="1"/>
  <c r="A206" i="3"/>
  <c r="A205" i="3"/>
  <c r="A144" i="3" s="1"/>
  <c r="A83" i="3" s="1"/>
  <c r="A22" i="3" s="1"/>
  <c r="A204" i="3"/>
  <c r="BF203" i="3"/>
  <c r="BD203" i="3"/>
  <c r="BC203" i="3"/>
  <c r="BB203" i="3"/>
  <c r="BA203" i="3"/>
  <c r="AZ203" i="3"/>
  <c r="AX203" i="3"/>
  <c r="AW203" i="3"/>
  <c r="AU203" i="3"/>
  <c r="AT203" i="3"/>
  <c r="AT230" i="3" s="1"/>
  <c r="AT478" i="3" s="1"/>
  <c r="AT500" i="3" s="1"/>
  <c r="AS203" i="3"/>
  <c r="AS230" i="3" s="1"/>
  <c r="AS478" i="3" s="1"/>
  <c r="AS500" i="3" s="1"/>
  <c r="AR203" i="3"/>
  <c r="AR230" i="3" s="1"/>
  <c r="AR478" i="3" s="1"/>
  <c r="AR500" i="3" s="1"/>
  <c r="AQ203" i="3"/>
  <c r="AP203" i="3"/>
  <c r="AO203" i="3"/>
  <c r="AN203" i="3"/>
  <c r="AM203" i="3"/>
  <c r="AL203" i="3"/>
  <c r="AK203" i="3"/>
  <c r="AK230" i="3" s="1"/>
  <c r="AK478" i="3" s="1"/>
  <c r="AK500" i="3" s="1"/>
  <c r="AJ203" i="3"/>
  <c r="AI203" i="3"/>
  <c r="AH203" i="3"/>
  <c r="AG203" i="3"/>
  <c r="AF203" i="3"/>
  <c r="AE203" i="3"/>
  <c r="AD203" i="3"/>
  <c r="AD230" i="3" s="1"/>
  <c r="AD478" i="3" s="1"/>
  <c r="AD500" i="3" s="1"/>
  <c r="AC203" i="3"/>
  <c r="AA203" i="3"/>
  <c r="Z203" i="3"/>
  <c r="Y203" i="3"/>
  <c r="X203" i="3"/>
  <c r="W203" i="3"/>
  <c r="V203" i="3"/>
  <c r="U203" i="3"/>
  <c r="T203" i="3"/>
  <c r="T230" i="3" s="1"/>
  <c r="T478" i="3" s="1"/>
  <c r="T500" i="3" s="1"/>
  <c r="S203" i="3"/>
  <c r="R203" i="3"/>
  <c r="Q203" i="3"/>
  <c r="P203" i="3"/>
  <c r="O203" i="3"/>
  <c r="N203" i="3"/>
  <c r="N230" i="3" s="1"/>
  <c r="N478" i="3" s="1"/>
  <c r="N500" i="3" s="1"/>
  <c r="M203" i="3"/>
  <c r="M230" i="3" s="1"/>
  <c r="M478" i="3" s="1"/>
  <c r="M500" i="3" s="1"/>
  <c r="L203" i="3"/>
  <c r="K203" i="3"/>
  <c r="K230" i="3" s="1"/>
  <c r="K478" i="3" s="1"/>
  <c r="K500" i="3" s="1"/>
  <c r="J203" i="3"/>
  <c r="I203" i="3"/>
  <c r="H203" i="3"/>
  <c r="G203" i="3"/>
  <c r="F203" i="3"/>
  <c r="A203" i="3"/>
  <c r="A142" i="3" s="1"/>
  <c r="A81" i="3" s="1"/>
  <c r="A20" i="3" s="1"/>
  <c r="BE202" i="3"/>
  <c r="BE203" i="3" s="1"/>
  <c r="AY202" i="3"/>
  <c r="AY203" i="3" s="1"/>
  <c r="AV202" i="3"/>
  <c r="AB202" i="3"/>
  <c r="AB203" i="3" s="1"/>
  <c r="A202" i="3"/>
  <c r="A141" i="3" s="1"/>
  <c r="A80" i="3" s="1"/>
  <c r="A19" i="3" s="1"/>
  <c r="AV201" i="3"/>
  <c r="BG201" i="3" s="1"/>
  <c r="J17" i="2" s="1"/>
  <c r="A201" i="3"/>
  <c r="A140" i="3" s="1"/>
  <c r="A79" i="3" s="1"/>
  <c r="A18" i="3" s="1"/>
  <c r="E200" i="3"/>
  <c r="BG200" i="3" s="1"/>
  <c r="J16" i="2" s="1"/>
  <c r="A200" i="3"/>
  <c r="A139" i="3" s="1"/>
  <c r="A78" i="3" s="1"/>
  <c r="A17" i="3" s="1"/>
  <c r="A199" i="3"/>
  <c r="A138" i="3" s="1"/>
  <c r="A77" i="3" s="1"/>
  <c r="A16" i="3" s="1"/>
  <c r="A198" i="3"/>
  <c r="A137" i="3" s="1"/>
  <c r="A76" i="3" s="1"/>
  <c r="A15" i="3" s="1"/>
  <c r="A189" i="3"/>
  <c r="A128" i="3" s="1"/>
  <c r="A67" i="3" s="1"/>
  <c r="BF182" i="3"/>
  <c r="BF171" i="3" s="1"/>
  <c r="BF476" i="3" s="1"/>
  <c r="BF498" i="3" s="1"/>
  <c r="BA182" i="3"/>
  <c r="BA171" i="3" s="1"/>
  <c r="BA476" i="3" s="1"/>
  <c r="BA498" i="3" s="1"/>
  <c r="AX182" i="3"/>
  <c r="AX171" i="3" s="1"/>
  <c r="AX476" i="3" s="1"/>
  <c r="AX498" i="3" s="1"/>
  <c r="AV182" i="3"/>
  <c r="AU182" i="3"/>
  <c r="AT182" i="3"/>
  <c r="AS182" i="3"/>
  <c r="AR182" i="3"/>
  <c r="AQ182" i="3"/>
  <c r="AP182" i="3"/>
  <c r="AO182" i="3"/>
  <c r="AM182" i="3"/>
  <c r="AK182" i="3"/>
  <c r="AC182" i="3"/>
  <c r="AC171" i="3" s="1"/>
  <c r="AC476" i="3" s="1"/>
  <c r="AC498" i="3" s="1"/>
  <c r="AA182" i="3"/>
  <c r="AA171" i="3" s="1"/>
  <c r="AA476" i="3" s="1"/>
  <c r="AA498" i="3" s="1"/>
  <c r="Z182" i="3"/>
  <c r="Z171" i="3" s="1"/>
  <c r="Z476" i="3" s="1"/>
  <c r="Z498" i="3" s="1"/>
  <c r="Y182" i="3"/>
  <c r="Y171" i="3" s="1"/>
  <c r="Y476" i="3" s="1"/>
  <c r="Y498" i="3" s="1"/>
  <c r="X182" i="3"/>
  <c r="X171" i="3" s="1"/>
  <c r="X476" i="3" s="1"/>
  <c r="X498" i="3" s="1"/>
  <c r="W182" i="3"/>
  <c r="W171" i="3" s="1"/>
  <c r="W476" i="3" s="1"/>
  <c r="W498" i="3" s="1"/>
  <c r="V182" i="3"/>
  <c r="U182" i="3"/>
  <c r="U171" i="3" s="1"/>
  <c r="U476" i="3" s="1"/>
  <c r="U498" i="3" s="1"/>
  <c r="T182" i="3"/>
  <c r="T171" i="3" s="1"/>
  <c r="T476" i="3" s="1"/>
  <c r="T498" i="3" s="1"/>
  <c r="S182" i="3"/>
  <c r="S171" i="3" s="1"/>
  <c r="S476" i="3" s="1"/>
  <c r="S498" i="3" s="1"/>
  <c r="R182" i="3"/>
  <c r="R171" i="3" s="1"/>
  <c r="R476" i="3" s="1"/>
  <c r="R498" i="3" s="1"/>
  <c r="Q182" i="3"/>
  <c r="Q171" i="3" s="1"/>
  <c r="Q476" i="3" s="1"/>
  <c r="Q498" i="3" s="1"/>
  <c r="P182" i="3"/>
  <c r="P171" i="3" s="1"/>
  <c r="P476" i="3" s="1"/>
  <c r="P498" i="3" s="1"/>
  <c r="O182" i="3"/>
  <c r="O171" i="3" s="1"/>
  <c r="O476" i="3" s="1"/>
  <c r="O498" i="3" s="1"/>
  <c r="N182" i="3"/>
  <c r="M182" i="3"/>
  <c r="M171" i="3" s="1"/>
  <c r="M476" i="3" s="1"/>
  <c r="M498" i="3" s="1"/>
  <c r="L182" i="3"/>
  <c r="K182" i="3"/>
  <c r="K171" i="3" s="1"/>
  <c r="K476" i="3" s="1"/>
  <c r="K498" i="3" s="1"/>
  <c r="J182" i="3"/>
  <c r="J171" i="3" s="1"/>
  <c r="J476" i="3" s="1"/>
  <c r="J498" i="3" s="1"/>
  <c r="I182" i="3"/>
  <c r="I171" i="3" s="1"/>
  <c r="I476" i="3" s="1"/>
  <c r="I498" i="3" s="1"/>
  <c r="G182" i="3"/>
  <c r="G171" i="3" s="1"/>
  <c r="G476" i="3" s="1"/>
  <c r="G498" i="3" s="1"/>
  <c r="F182" i="3"/>
  <c r="F171" i="3" s="1"/>
  <c r="F476" i="3" s="1"/>
  <c r="F498" i="3" s="1"/>
  <c r="E182" i="3"/>
  <c r="BG181" i="3"/>
  <c r="H56" i="2" s="1"/>
  <c r="BM180" i="3"/>
  <c r="BG180" i="3"/>
  <c r="H55" i="2" s="1"/>
  <c r="A180" i="3"/>
  <c r="BE179" i="3"/>
  <c r="BD179" i="3"/>
  <c r="BC179" i="3"/>
  <c r="BB179" i="3"/>
  <c r="AZ179" i="3"/>
  <c r="AW179" i="3"/>
  <c r="AL179" i="3"/>
  <c r="AJ179" i="3"/>
  <c r="AI179" i="3"/>
  <c r="AH179" i="3"/>
  <c r="AG179" i="3"/>
  <c r="AF179" i="3"/>
  <c r="AE179" i="3"/>
  <c r="H179" i="3"/>
  <c r="H182" i="3" s="1"/>
  <c r="H171" i="3" s="1"/>
  <c r="H476" i="3" s="1"/>
  <c r="H498" i="3" s="1"/>
  <c r="BE178" i="3"/>
  <c r="BD178" i="3"/>
  <c r="BB178" i="3"/>
  <c r="AL178" i="3"/>
  <c r="BC177" i="3"/>
  <c r="BB177" i="3"/>
  <c r="AZ177" i="3"/>
  <c r="AW177" i="3"/>
  <c r="AN177" i="3"/>
  <c r="AJ177" i="3"/>
  <c r="AI177" i="3"/>
  <c r="AH177" i="3"/>
  <c r="AG177" i="3"/>
  <c r="AE177" i="3"/>
  <c r="AD177" i="3"/>
  <c r="A177" i="3"/>
  <c r="A116" i="3" s="1"/>
  <c r="A55" i="3" s="1"/>
  <c r="BB176" i="3"/>
  <c r="AZ176" i="3"/>
  <c r="AJ176" i="3"/>
  <c r="AI176" i="3"/>
  <c r="AH176" i="3"/>
  <c r="AG176" i="3"/>
  <c r="AD176" i="3"/>
  <c r="A176" i="3"/>
  <c r="A115" i="3" s="1"/>
  <c r="A54" i="3" s="1"/>
  <c r="A173" i="3"/>
  <c r="A112" i="3" s="1"/>
  <c r="A51" i="3" s="1"/>
  <c r="V171" i="3"/>
  <c r="V476" i="3" s="1"/>
  <c r="V498" i="3" s="1"/>
  <c r="N171" i="3"/>
  <c r="N476" i="3" s="1"/>
  <c r="N498" i="3" s="1"/>
  <c r="L171" i="3"/>
  <c r="L476" i="3" s="1"/>
  <c r="L498" i="3" s="1"/>
  <c r="E171" i="3"/>
  <c r="E476" i="3" s="1"/>
  <c r="E498" i="3" s="1"/>
  <c r="A170" i="3"/>
  <c r="A109" i="3" s="1"/>
  <c r="A48" i="3" s="1"/>
  <c r="A167" i="3"/>
  <c r="A106" i="3" s="1"/>
  <c r="A45" i="3" s="1"/>
  <c r="H166" i="3"/>
  <c r="BG166" i="3" s="1"/>
  <c r="H43" i="2" s="1"/>
  <c r="BB165" i="3"/>
  <c r="BA165" i="3"/>
  <c r="S165" i="3"/>
  <c r="H165" i="3"/>
  <c r="BB164" i="3"/>
  <c r="O164" i="3"/>
  <c r="AL163" i="3"/>
  <c r="S163" i="3"/>
  <c r="E163" i="3"/>
  <c r="BA162" i="3"/>
  <c r="BG162" i="3" s="1"/>
  <c r="AZ161" i="3"/>
  <c r="AJ161" i="3"/>
  <c r="AI161" i="3"/>
  <c r="AH161" i="3"/>
  <c r="AG161" i="3"/>
  <c r="AF161" i="3"/>
  <c r="BB160" i="3"/>
  <c r="AJ160" i="3"/>
  <c r="AI160" i="3"/>
  <c r="AH160" i="3"/>
  <c r="AG160" i="3"/>
  <c r="AF160" i="3"/>
  <c r="A160" i="3"/>
  <c r="A99" i="3" s="1"/>
  <c r="A38" i="3" s="1"/>
  <c r="BB159" i="3"/>
  <c r="AZ159" i="3"/>
  <c r="O159" i="3"/>
  <c r="BG158" i="3"/>
  <c r="H35" i="2" s="1"/>
  <c r="O157" i="3"/>
  <c r="BG157" i="3" s="1"/>
  <c r="O156" i="3"/>
  <c r="O155" i="3"/>
  <c r="BG155" i="3" s="1"/>
  <c r="O154" i="3"/>
  <c r="BG154" i="3" s="1"/>
  <c r="BB153" i="3"/>
  <c r="O153" i="3"/>
  <c r="BF151" i="3"/>
  <c r="BF167" i="3" s="1"/>
  <c r="BE151" i="3"/>
  <c r="BE167" i="3" s="1"/>
  <c r="BD151" i="3"/>
  <c r="BD167" i="3" s="1"/>
  <c r="BC151" i="3"/>
  <c r="BB151" i="3"/>
  <c r="BA151" i="3"/>
  <c r="AZ151" i="3"/>
  <c r="AY151" i="3"/>
  <c r="AX151" i="3"/>
  <c r="AX167" i="3" s="1"/>
  <c r="AW151" i="3"/>
  <c r="AW167" i="3" s="1"/>
  <c r="AV151" i="3"/>
  <c r="AV167" i="3" s="1"/>
  <c r="AU151" i="3"/>
  <c r="AU167" i="3" s="1"/>
  <c r="AT151" i="3"/>
  <c r="AT167" i="3" s="1"/>
  <c r="AS151" i="3"/>
  <c r="AS167" i="3" s="1"/>
  <c r="AR151" i="3"/>
  <c r="AR167" i="3" s="1"/>
  <c r="AQ151" i="3"/>
  <c r="AQ167" i="3" s="1"/>
  <c r="AP151" i="3"/>
  <c r="AP167" i="3" s="1"/>
  <c r="AO151" i="3"/>
  <c r="AO167" i="3" s="1"/>
  <c r="AN151" i="3"/>
  <c r="AN167" i="3" s="1"/>
  <c r="AM151" i="3"/>
  <c r="AM167" i="3" s="1"/>
  <c r="AL151" i="3"/>
  <c r="AK151" i="3"/>
  <c r="AK167" i="3" s="1"/>
  <c r="AJ151" i="3"/>
  <c r="AI151" i="3"/>
  <c r="AH151" i="3"/>
  <c r="AG151" i="3"/>
  <c r="AF151" i="3"/>
  <c r="AE151" i="3"/>
  <c r="AD151" i="3"/>
  <c r="AD167" i="3" s="1"/>
  <c r="AC151" i="3"/>
  <c r="AB151" i="3"/>
  <c r="AB167" i="3" s="1"/>
  <c r="AA151" i="3"/>
  <c r="AA167" i="3" s="1"/>
  <c r="Z151" i="3"/>
  <c r="Z167" i="3" s="1"/>
  <c r="Y151" i="3"/>
  <c r="Y167" i="3" s="1"/>
  <c r="X151" i="3"/>
  <c r="X167" i="3" s="1"/>
  <c r="W151" i="3"/>
  <c r="W167" i="3" s="1"/>
  <c r="V151" i="3"/>
  <c r="V167" i="3" s="1"/>
  <c r="U151" i="3"/>
  <c r="U167" i="3" s="1"/>
  <c r="T151" i="3"/>
  <c r="T167" i="3" s="1"/>
  <c r="S151" i="3"/>
  <c r="R151" i="3"/>
  <c r="R167" i="3" s="1"/>
  <c r="Q151" i="3"/>
  <c r="Q167" i="3" s="1"/>
  <c r="P151" i="3"/>
  <c r="P167" i="3" s="1"/>
  <c r="N151" i="3"/>
  <c r="N167" i="3" s="1"/>
  <c r="M151" i="3"/>
  <c r="M167" i="3" s="1"/>
  <c r="L151" i="3"/>
  <c r="L167" i="3" s="1"/>
  <c r="K151" i="3"/>
  <c r="K167" i="3" s="1"/>
  <c r="J151" i="3"/>
  <c r="J167" i="3" s="1"/>
  <c r="I151" i="3"/>
  <c r="H151" i="3"/>
  <c r="G151" i="3"/>
  <c r="G167" i="3" s="1"/>
  <c r="F151" i="3"/>
  <c r="F167" i="3" s="1"/>
  <c r="E151" i="3"/>
  <c r="BG150" i="3"/>
  <c r="H27" i="2" s="1"/>
  <c r="BG149" i="3"/>
  <c r="H26" i="2" s="1"/>
  <c r="O148" i="3"/>
  <c r="BG148" i="3" s="1"/>
  <c r="BG147" i="3"/>
  <c r="H24" i="2" s="1"/>
  <c r="A145" i="3"/>
  <c r="A84" i="3" s="1"/>
  <c r="A23" i="3" s="1"/>
  <c r="A143" i="3"/>
  <c r="A82" i="3" s="1"/>
  <c r="A21" i="3" s="1"/>
  <c r="BF142" i="3"/>
  <c r="BE142" i="3"/>
  <c r="BD142" i="3"/>
  <c r="BC142" i="3"/>
  <c r="BB142" i="3"/>
  <c r="BA142" i="3"/>
  <c r="AZ142" i="3"/>
  <c r="AX142" i="3"/>
  <c r="AW142" i="3"/>
  <c r="AV142" i="3"/>
  <c r="AV169" i="3" s="1"/>
  <c r="AV475" i="3" s="1"/>
  <c r="AV497" i="3" s="1"/>
  <c r="AU142" i="3"/>
  <c r="AT142" i="3"/>
  <c r="AS142" i="3"/>
  <c r="AR142" i="3"/>
  <c r="AQ142" i="3"/>
  <c r="AP142" i="3"/>
  <c r="AO142" i="3"/>
  <c r="AN142" i="3"/>
  <c r="AN169" i="3" s="1"/>
  <c r="AN475" i="3" s="1"/>
  <c r="AN497" i="3" s="1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X169" i="3" s="1"/>
  <c r="X475" i="3" s="1"/>
  <c r="X497" i="3" s="1"/>
  <c r="W142" i="3"/>
  <c r="V142" i="3"/>
  <c r="U142" i="3"/>
  <c r="T142" i="3"/>
  <c r="S142" i="3"/>
  <c r="R142" i="3"/>
  <c r="Q142" i="3"/>
  <c r="P142" i="3"/>
  <c r="P169" i="3" s="1"/>
  <c r="P475" i="3" s="1"/>
  <c r="P497" i="3" s="1"/>
  <c r="O142" i="3"/>
  <c r="N142" i="3"/>
  <c r="M142" i="3"/>
  <c r="L142" i="3"/>
  <c r="L169" i="3" s="1"/>
  <c r="L475" i="3" s="1"/>
  <c r="L497" i="3" s="1"/>
  <c r="K142" i="3"/>
  <c r="J142" i="3"/>
  <c r="I142" i="3"/>
  <c r="H142" i="3"/>
  <c r="G142" i="3"/>
  <c r="F142" i="3"/>
  <c r="AY141" i="3"/>
  <c r="AY142" i="3" s="1"/>
  <c r="E141" i="3"/>
  <c r="BG141" i="3" s="1"/>
  <c r="BG140" i="3"/>
  <c r="H17" i="2" s="1"/>
  <c r="E139" i="3"/>
  <c r="BG139" i="3" s="1"/>
  <c r="BF121" i="3"/>
  <c r="BF110" i="3" s="1"/>
  <c r="BF473" i="3" s="1"/>
  <c r="BF495" i="3" s="1"/>
  <c r="BA121" i="3"/>
  <c r="BA110" i="3" s="1"/>
  <c r="BA473" i="3" s="1"/>
  <c r="BA495" i="3" s="1"/>
  <c r="AX121" i="3"/>
  <c r="AX110" i="3" s="1"/>
  <c r="AX473" i="3" s="1"/>
  <c r="AX495" i="3" s="1"/>
  <c r="AV121" i="3"/>
  <c r="AV110" i="3" s="1"/>
  <c r="AV473" i="3" s="1"/>
  <c r="AV495" i="3" s="1"/>
  <c r="AU121" i="3"/>
  <c r="AU110" i="3" s="1"/>
  <c r="AU473" i="3" s="1"/>
  <c r="AU495" i="3" s="1"/>
  <c r="AT121" i="3"/>
  <c r="AT110" i="3" s="1"/>
  <c r="AT473" i="3" s="1"/>
  <c r="AT495" i="3" s="1"/>
  <c r="AS121" i="3"/>
  <c r="AS110" i="3" s="1"/>
  <c r="AS473" i="3" s="1"/>
  <c r="AS495" i="3" s="1"/>
  <c r="AR121" i="3"/>
  <c r="AR110" i="3" s="1"/>
  <c r="AR473" i="3" s="1"/>
  <c r="AR495" i="3" s="1"/>
  <c r="AQ121" i="3"/>
  <c r="AQ110" i="3" s="1"/>
  <c r="AQ473" i="3" s="1"/>
  <c r="AQ495" i="3" s="1"/>
  <c r="AP121" i="3"/>
  <c r="AP110" i="3" s="1"/>
  <c r="AP473" i="3" s="1"/>
  <c r="AP495" i="3" s="1"/>
  <c r="AO121" i="3"/>
  <c r="AM121" i="3"/>
  <c r="AK121" i="3"/>
  <c r="AC121" i="3"/>
  <c r="AC110" i="3" s="1"/>
  <c r="AC473" i="3" s="1"/>
  <c r="AC495" i="3" s="1"/>
  <c r="Z121" i="3"/>
  <c r="Z110" i="3" s="1"/>
  <c r="Z473" i="3" s="1"/>
  <c r="Z495" i="3" s="1"/>
  <c r="Y121" i="3"/>
  <c r="Y110" i="3" s="1"/>
  <c r="Y473" i="3" s="1"/>
  <c r="Y495" i="3" s="1"/>
  <c r="X121" i="3"/>
  <c r="X110" i="3" s="1"/>
  <c r="X473" i="3" s="1"/>
  <c r="X495" i="3" s="1"/>
  <c r="W121" i="3"/>
  <c r="W110" i="3" s="1"/>
  <c r="W473" i="3" s="1"/>
  <c r="W495" i="3" s="1"/>
  <c r="V121" i="3"/>
  <c r="U121" i="3"/>
  <c r="U110" i="3" s="1"/>
  <c r="U473" i="3" s="1"/>
  <c r="U495" i="3" s="1"/>
  <c r="T121" i="3"/>
  <c r="T110" i="3" s="1"/>
  <c r="T473" i="3" s="1"/>
  <c r="T495" i="3" s="1"/>
  <c r="S121" i="3"/>
  <c r="S110" i="3" s="1"/>
  <c r="S473" i="3" s="1"/>
  <c r="S495" i="3" s="1"/>
  <c r="R121" i="3"/>
  <c r="R110" i="3" s="1"/>
  <c r="R473" i="3" s="1"/>
  <c r="R495" i="3" s="1"/>
  <c r="Q121" i="3"/>
  <c r="P121" i="3"/>
  <c r="P110" i="3" s="1"/>
  <c r="P473" i="3" s="1"/>
  <c r="P495" i="3" s="1"/>
  <c r="O121" i="3"/>
  <c r="O110" i="3" s="1"/>
  <c r="O473" i="3" s="1"/>
  <c r="O495" i="3" s="1"/>
  <c r="N121" i="3"/>
  <c r="M121" i="3"/>
  <c r="M110" i="3" s="1"/>
  <c r="M473" i="3" s="1"/>
  <c r="M495" i="3" s="1"/>
  <c r="L121" i="3"/>
  <c r="L110" i="3" s="1"/>
  <c r="L473" i="3" s="1"/>
  <c r="L495" i="3" s="1"/>
  <c r="K121" i="3"/>
  <c r="K110" i="3" s="1"/>
  <c r="K473" i="3" s="1"/>
  <c r="K495" i="3" s="1"/>
  <c r="J121" i="3"/>
  <c r="J110" i="3" s="1"/>
  <c r="J473" i="3" s="1"/>
  <c r="J495" i="3" s="1"/>
  <c r="I121" i="3"/>
  <c r="I110" i="3" s="1"/>
  <c r="I473" i="3" s="1"/>
  <c r="I495" i="3" s="1"/>
  <c r="G121" i="3"/>
  <c r="G110" i="3" s="1"/>
  <c r="G473" i="3" s="1"/>
  <c r="G495" i="3" s="1"/>
  <c r="F121" i="3"/>
  <c r="F110" i="3" s="1"/>
  <c r="F473" i="3" s="1"/>
  <c r="F495" i="3" s="1"/>
  <c r="E121" i="3"/>
  <c r="BG120" i="3"/>
  <c r="BG119" i="3"/>
  <c r="A119" i="3"/>
  <c r="A58" i="3" s="1"/>
  <c r="BD118" i="3"/>
  <c r="BC118" i="3"/>
  <c r="BB118" i="3"/>
  <c r="AZ118" i="3"/>
  <c r="AW118" i="3"/>
  <c r="AN118" i="3"/>
  <c r="AL118" i="3"/>
  <c r="AJ118" i="3"/>
  <c r="AI118" i="3"/>
  <c r="AH118" i="3"/>
  <c r="AG118" i="3"/>
  <c r="AF118" i="3"/>
  <c r="AE118" i="3"/>
  <c r="AA118" i="3"/>
  <c r="H118" i="3"/>
  <c r="BE117" i="3"/>
  <c r="BD117" i="3"/>
  <c r="BD121" i="3" s="1"/>
  <c r="BD110" i="3" s="1"/>
  <c r="BD473" i="3" s="1"/>
  <c r="BD495" i="3" s="1"/>
  <c r="BB117" i="3"/>
  <c r="AY117" i="3"/>
  <c r="AL117" i="3"/>
  <c r="BB116" i="3"/>
  <c r="AZ116" i="3"/>
  <c r="AW116" i="3"/>
  <c r="AN116" i="3"/>
  <c r="AJ116" i="3"/>
  <c r="AI116" i="3"/>
  <c r="AH116" i="3"/>
  <c r="AG116" i="3"/>
  <c r="AF116" i="3"/>
  <c r="AE116" i="3"/>
  <c r="AD116" i="3"/>
  <c r="AA116" i="3"/>
  <c r="BE115" i="3"/>
  <c r="BB115" i="3"/>
  <c r="AZ115" i="3"/>
  <c r="AJ115" i="3"/>
  <c r="AI115" i="3"/>
  <c r="AH115" i="3"/>
  <c r="AG115" i="3"/>
  <c r="AD115" i="3"/>
  <c r="AO110" i="3"/>
  <c r="AO473" i="3" s="1"/>
  <c r="AO495" i="3" s="1"/>
  <c r="AM110" i="3"/>
  <c r="AM473" i="3" s="1"/>
  <c r="AM495" i="3" s="1"/>
  <c r="V110" i="3"/>
  <c r="V473" i="3" s="1"/>
  <c r="V495" i="3" s="1"/>
  <c r="Q110" i="3"/>
  <c r="Q473" i="3" s="1"/>
  <c r="Q495" i="3" s="1"/>
  <c r="N110" i="3"/>
  <c r="N473" i="3" s="1"/>
  <c r="N495" i="3" s="1"/>
  <c r="E110" i="3"/>
  <c r="E473" i="3" s="1"/>
  <c r="E495" i="3" s="1"/>
  <c r="H105" i="3"/>
  <c r="BG105" i="3" s="1"/>
  <c r="F43" i="2" s="1"/>
  <c r="BE104" i="3"/>
  <c r="BB104" i="3"/>
  <c r="BA104" i="3"/>
  <c r="AZ104" i="3"/>
  <c r="H104" i="3"/>
  <c r="BB103" i="3"/>
  <c r="O103" i="3"/>
  <c r="AL102" i="3"/>
  <c r="S102" i="3"/>
  <c r="E102" i="3"/>
  <c r="BA101" i="3"/>
  <c r="AX101" i="3"/>
  <c r="BE100" i="3"/>
  <c r="AZ100" i="3"/>
  <c r="AJ100" i="3"/>
  <c r="AI100" i="3"/>
  <c r="AH100" i="3"/>
  <c r="AG100" i="3"/>
  <c r="AF100" i="3"/>
  <c r="BB99" i="3"/>
  <c r="AJ99" i="3"/>
  <c r="AI99" i="3"/>
  <c r="AH99" i="3"/>
  <c r="AG99" i="3"/>
  <c r="AF99" i="3"/>
  <c r="BB98" i="3"/>
  <c r="AZ98" i="3"/>
  <c r="U98" i="3"/>
  <c r="R98" i="3"/>
  <c r="O98" i="3"/>
  <c r="G98" i="3"/>
  <c r="BG97" i="3"/>
  <c r="O96" i="3"/>
  <c r="BG96" i="3" s="1"/>
  <c r="O95" i="3"/>
  <c r="O94" i="3"/>
  <c r="BG94" i="3" s="1"/>
  <c r="F32" i="2" s="1"/>
  <c r="O93" i="3"/>
  <c r="BG93" i="3" s="1"/>
  <c r="F31" i="2" s="1"/>
  <c r="BB92" i="3"/>
  <c r="O92" i="3"/>
  <c r="BF90" i="3"/>
  <c r="BF106" i="3" s="1"/>
  <c r="BE90" i="3"/>
  <c r="BD90" i="3"/>
  <c r="BD106" i="3" s="1"/>
  <c r="BC90" i="3"/>
  <c r="BB90" i="3"/>
  <c r="BA90" i="3"/>
  <c r="AZ90" i="3"/>
  <c r="AY90" i="3"/>
  <c r="AX90" i="3"/>
  <c r="AW90" i="3"/>
  <c r="AW106" i="3" s="1"/>
  <c r="AV90" i="3"/>
  <c r="AV106" i="3" s="1"/>
  <c r="AU90" i="3"/>
  <c r="AU106" i="3" s="1"/>
  <c r="AT90" i="3"/>
  <c r="AT106" i="3" s="1"/>
  <c r="AS90" i="3"/>
  <c r="AS106" i="3" s="1"/>
  <c r="AR90" i="3"/>
  <c r="AR106" i="3" s="1"/>
  <c r="AQ90" i="3"/>
  <c r="AQ106" i="3" s="1"/>
  <c r="AP90" i="3"/>
  <c r="AP106" i="3" s="1"/>
  <c r="AO90" i="3"/>
  <c r="AO106" i="3" s="1"/>
  <c r="AN90" i="3"/>
  <c r="AN106" i="3" s="1"/>
  <c r="AM90" i="3"/>
  <c r="AM106" i="3" s="1"/>
  <c r="AL90" i="3"/>
  <c r="AK90" i="3"/>
  <c r="AK106" i="3" s="1"/>
  <c r="AJ90" i="3"/>
  <c r="AI90" i="3"/>
  <c r="AH90" i="3"/>
  <c r="AG90" i="3"/>
  <c r="AF90" i="3"/>
  <c r="AE90" i="3"/>
  <c r="AD90" i="3"/>
  <c r="AD106" i="3" s="1"/>
  <c r="AC90" i="3"/>
  <c r="AB90" i="3"/>
  <c r="AA90" i="3"/>
  <c r="Z90" i="3"/>
  <c r="Z106" i="3" s="1"/>
  <c r="Y90" i="3"/>
  <c r="Y106" i="3" s="1"/>
  <c r="X90" i="3"/>
  <c r="X106" i="3" s="1"/>
  <c r="W90" i="3"/>
  <c r="W106" i="3" s="1"/>
  <c r="V90" i="3"/>
  <c r="V106" i="3" s="1"/>
  <c r="U90" i="3"/>
  <c r="T90" i="3"/>
  <c r="T106" i="3" s="1"/>
  <c r="S90" i="3"/>
  <c r="R90" i="3"/>
  <c r="Q90" i="3"/>
  <c r="Q106" i="3" s="1"/>
  <c r="P90" i="3"/>
  <c r="P106" i="3" s="1"/>
  <c r="N90" i="3"/>
  <c r="N106" i="3" s="1"/>
  <c r="M90" i="3"/>
  <c r="L90" i="3"/>
  <c r="L106" i="3" s="1"/>
  <c r="K90" i="3"/>
  <c r="K106" i="3" s="1"/>
  <c r="J90" i="3"/>
  <c r="J106" i="3" s="1"/>
  <c r="I90" i="3"/>
  <c r="H90" i="3"/>
  <c r="G90" i="3"/>
  <c r="F90" i="3"/>
  <c r="E90" i="3"/>
  <c r="BG89" i="3"/>
  <c r="F27" i="2" s="1"/>
  <c r="BG88" i="3"/>
  <c r="O87" i="3"/>
  <c r="BG87" i="3" s="1"/>
  <c r="F25" i="2" s="1"/>
  <c r="BG86" i="3"/>
  <c r="F24" i="2" s="1"/>
  <c r="BF81" i="3"/>
  <c r="BE81" i="3"/>
  <c r="BD81" i="3"/>
  <c r="BC81" i="3"/>
  <c r="BB81" i="3"/>
  <c r="BA81" i="3"/>
  <c r="AZ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AY80" i="3"/>
  <c r="AY81" i="3" s="1"/>
  <c r="AB80" i="3"/>
  <c r="AB81" i="3" s="1"/>
  <c r="BG79" i="3"/>
  <c r="F17" i="2" s="1"/>
  <c r="G78" i="3"/>
  <c r="G77" i="3"/>
  <c r="BF60" i="3"/>
  <c r="BF49" i="3" s="1"/>
  <c r="BF470" i="3" s="1"/>
  <c r="BF492" i="3" s="1"/>
  <c r="BA60" i="3"/>
  <c r="BA49" i="3" s="1"/>
  <c r="BA470" i="3" s="1"/>
  <c r="BA492" i="3" s="1"/>
  <c r="AX60" i="3"/>
  <c r="AX49" i="3" s="1"/>
  <c r="AX470" i="3" s="1"/>
  <c r="AX492" i="3" s="1"/>
  <c r="AV60" i="3"/>
  <c r="AV49" i="3" s="1"/>
  <c r="AV470" i="3" s="1"/>
  <c r="AV492" i="3" s="1"/>
  <c r="AU60" i="3"/>
  <c r="AU49" i="3" s="1"/>
  <c r="AU470" i="3" s="1"/>
  <c r="AU492" i="3" s="1"/>
  <c r="AT60" i="3"/>
  <c r="AT49" i="3" s="1"/>
  <c r="AT470" i="3" s="1"/>
  <c r="AT492" i="3" s="1"/>
  <c r="AS60" i="3"/>
  <c r="AS49" i="3" s="1"/>
  <c r="AS470" i="3" s="1"/>
  <c r="AS492" i="3" s="1"/>
  <c r="AR60" i="3"/>
  <c r="AR49" i="3" s="1"/>
  <c r="AR470" i="3" s="1"/>
  <c r="AR492" i="3" s="1"/>
  <c r="AQ60" i="3"/>
  <c r="AQ49" i="3" s="1"/>
  <c r="AQ470" i="3" s="1"/>
  <c r="AQ492" i="3" s="1"/>
  <c r="AP60" i="3"/>
  <c r="AP49" i="3" s="1"/>
  <c r="AP470" i="3" s="1"/>
  <c r="AP492" i="3" s="1"/>
  <c r="AO60" i="3"/>
  <c r="AO49" i="3" s="1"/>
  <c r="AO470" i="3" s="1"/>
  <c r="AO492" i="3" s="1"/>
  <c r="AN60" i="3"/>
  <c r="AN49" i="3" s="1"/>
  <c r="AN470" i="3" s="1"/>
  <c r="AN492" i="3" s="1"/>
  <c r="AM60" i="3"/>
  <c r="AM49" i="3" s="1"/>
  <c r="AM470" i="3" s="1"/>
  <c r="AM492" i="3" s="1"/>
  <c r="AK60" i="3"/>
  <c r="AK49" i="3" s="1"/>
  <c r="AK470" i="3" s="1"/>
  <c r="AK492" i="3" s="1"/>
  <c r="AJ60" i="3"/>
  <c r="AI60" i="3"/>
  <c r="AH60" i="3"/>
  <c r="AG60" i="3"/>
  <c r="AF60" i="3"/>
  <c r="AE60" i="3"/>
  <c r="AD60" i="3"/>
  <c r="AC60" i="3"/>
  <c r="AC49" i="3" s="1"/>
  <c r="AC470" i="3" s="1"/>
  <c r="AC492" i="3" s="1"/>
  <c r="Z60" i="3"/>
  <c r="Z49" i="3" s="1"/>
  <c r="Z470" i="3" s="1"/>
  <c r="Z492" i="3" s="1"/>
  <c r="Y60" i="3"/>
  <c r="Y49" i="3" s="1"/>
  <c r="Y470" i="3" s="1"/>
  <c r="Y492" i="3" s="1"/>
  <c r="V60" i="3"/>
  <c r="V49" i="3" s="1"/>
  <c r="V470" i="3" s="1"/>
  <c r="V492" i="3" s="1"/>
  <c r="U60" i="3"/>
  <c r="U49" i="3" s="1"/>
  <c r="U470" i="3" s="1"/>
  <c r="U492" i="3" s="1"/>
  <c r="T60" i="3"/>
  <c r="T49" i="3" s="1"/>
  <c r="T470" i="3" s="1"/>
  <c r="T492" i="3" s="1"/>
  <c r="S60" i="3"/>
  <c r="S49" i="3" s="1"/>
  <c r="S470" i="3" s="1"/>
  <c r="S492" i="3" s="1"/>
  <c r="R60" i="3"/>
  <c r="R49" i="3" s="1"/>
  <c r="R470" i="3" s="1"/>
  <c r="R492" i="3" s="1"/>
  <c r="Q60" i="3"/>
  <c r="Q49" i="3" s="1"/>
  <c r="Q470" i="3" s="1"/>
  <c r="Q492" i="3" s="1"/>
  <c r="P60" i="3"/>
  <c r="O60" i="3"/>
  <c r="O49" i="3" s="1"/>
  <c r="O470" i="3" s="1"/>
  <c r="O492" i="3" s="1"/>
  <c r="N60" i="3"/>
  <c r="N49" i="3" s="1"/>
  <c r="N470" i="3" s="1"/>
  <c r="N492" i="3" s="1"/>
  <c r="M60" i="3"/>
  <c r="M49" i="3" s="1"/>
  <c r="M470" i="3" s="1"/>
  <c r="M492" i="3" s="1"/>
  <c r="L60" i="3"/>
  <c r="L49" i="3" s="1"/>
  <c r="L470" i="3" s="1"/>
  <c r="L492" i="3" s="1"/>
  <c r="K60" i="3"/>
  <c r="K49" i="3" s="1"/>
  <c r="K470" i="3" s="1"/>
  <c r="K492" i="3" s="1"/>
  <c r="J60" i="3"/>
  <c r="J49" i="3" s="1"/>
  <c r="J470" i="3" s="1"/>
  <c r="J492" i="3" s="1"/>
  <c r="I60" i="3"/>
  <c r="I49" i="3" s="1"/>
  <c r="I470" i="3" s="1"/>
  <c r="I492" i="3" s="1"/>
  <c r="H60" i="3"/>
  <c r="H49" i="3" s="1"/>
  <c r="H470" i="3" s="1"/>
  <c r="H492" i="3" s="1"/>
  <c r="G60" i="3"/>
  <c r="G49" i="3" s="1"/>
  <c r="G470" i="3" s="1"/>
  <c r="G492" i="3" s="1"/>
  <c r="F60" i="3"/>
  <c r="F49" i="3" s="1"/>
  <c r="F470" i="3" s="1"/>
  <c r="F492" i="3" s="1"/>
  <c r="E60" i="3"/>
  <c r="E49" i="3" s="1"/>
  <c r="E470" i="3" s="1"/>
  <c r="E492" i="3" s="1"/>
  <c r="W59" i="3"/>
  <c r="BG59" i="3" s="1"/>
  <c r="W58" i="3"/>
  <c r="BG58" i="3" s="1"/>
  <c r="D55" i="2" s="1"/>
  <c r="BE57" i="3"/>
  <c r="BD57" i="3"/>
  <c r="BB57" i="3"/>
  <c r="AZ57" i="3"/>
  <c r="AY57" i="3"/>
  <c r="AW57" i="3"/>
  <c r="AL57" i="3"/>
  <c r="AA57" i="3"/>
  <c r="W57" i="3"/>
  <c r="BD56" i="3"/>
  <c r="BB56" i="3"/>
  <c r="AY56" i="3"/>
  <c r="AL56" i="3"/>
  <c r="W56" i="3"/>
  <c r="C53" i="2"/>
  <c r="BE55" i="3"/>
  <c r="BD55" i="3"/>
  <c r="BC55" i="3"/>
  <c r="BB55" i="3"/>
  <c r="AZ55" i="3"/>
  <c r="AW55" i="3"/>
  <c r="AA55" i="3"/>
  <c r="W55" i="3"/>
  <c r="BE54" i="3"/>
  <c r="BE60" i="3" s="1"/>
  <c r="BE49" i="3" s="1"/>
  <c r="BE470" i="3" s="1"/>
  <c r="BE492" i="3" s="1"/>
  <c r="BD54" i="3"/>
  <c r="BC54" i="3"/>
  <c r="BB54" i="3"/>
  <c r="AZ54" i="3"/>
  <c r="AW54" i="3"/>
  <c r="AA54" i="3"/>
  <c r="W54" i="3"/>
  <c r="D60" i="3"/>
  <c r="P49" i="3"/>
  <c r="P470" i="3" s="1"/>
  <c r="P492" i="3" s="1"/>
  <c r="AJ45" i="3"/>
  <c r="AJ47" i="3" s="1"/>
  <c r="AJ469" i="3" s="1"/>
  <c r="AJ491" i="3" s="1"/>
  <c r="AI45" i="3"/>
  <c r="AI47" i="3" s="1"/>
  <c r="AI469" i="3" s="1"/>
  <c r="AI491" i="3" s="1"/>
  <c r="AH45" i="3"/>
  <c r="AH47" i="3" s="1"/>
  <c r="AH469" i="3" s="1"/>
  <c r="AH491" i="3" s="1"/>
  <c r="AG45" i="3"/>
  <c r="AG47" i="3" s="1"/>
  <c r="AG469" i="3" s="1"/>
  <c r="AG491" i="3" s="1"/>
  <c r="AF45" i="3"/>
  <c r="AF47" i="3" s="1"/>
  <c r="AE45" i="3"/>
  <c r="AE47" i="3" s="1"/>
  <c r="AD45" i="3"/>
  <c r="AD47" i="3" s="1"/>
  <c r="AD469" i="3" s="1"/>
  <c r="AD491" i="3" s="1"/>
  <c r="H44" i="3"/>
  <c r="BG44" i="3" s="1"/>
  <c r="BB43" i="3"/>
  <c r="BA43" i="3"/>
  <c r="AZ43" i="3"/>
  <c r="J43" i="3"/>
  <c r="H43" i="3"/>
  <c r="BD42" i="3"/>
  <c r="BB42" i="3"/>
  <c r="AX42" i="3"/>
  <c r="V42" i="3"/>
  <c r="O42" i="3"/>
  <c r="L42" i="3"/>
  <c r="BD41" i="3"/>
  <c r="BB41" i="3"/>
  <c r="AN41" i="3"/>
  <c r="BA40" i="3"/>
  <c r="BB39" i="3"/>
  <c r="AZ39" i="3"/>
  <c r="X39" i="3"/>
  <c r="BD38" i="3"/>
  <c r="BB38" i="3"/>
  <c r="AW38" i="3"/>
  <c r="X38" i="3"/>
  <c r="BD37" i="3"/>
  <c r="BB37" i="3"/>
  <c r="AZ37" i="3"/>
  <c r="AX37" i="3"/>
  <c r="AM37" i="3"/>
  <c r="V37" i="3"/>
  <c r="U37" i="3"/>
  <c r="R37" i="3"/>
  <c r="O37" i="3"/>
  <c r="V35" i="3"/>
  <c r="Q35" i="3"/>
  <c r="O35" i="3"/>
  <c r="BD34" i="3"/>
  <c r="BB34" i="3"/>
  <c r="V34" i="3"/>
  <c r="O34" i="3"/>
  <c r="J34" i="3"/>
  <c r="C33" i="2"/>
  <c r="AX33" i="3"/>
  <c r="V33" i="3"/>
  <c r="O33" i="3"/>
  <c r="C32" i="2"/>
  <c r="AX32" i="3"/>
  <c r="V32" i="3"/>
  <c r="O32" i="3"/>
  <c r="BB31" i="3"/>
  <c r="V31" i="3"/>
  <c r="O31" i="3"/>
  <c r="BF29" i="3"/>
  <c r="BE29" i="3"/>
  <c r="BE45" i="3" s="1"/>
  <c r="BD29" i="3"/>
  <c r="BC29" i="3"/>
  <c r="BB29" i="3"/>
  <c r="BA29" i="3"/>
  <c r="AZ29" i="3"/>
  <c r="AY29" i="3"/>
  <c r="AX29" i="3"/>
  <c r="AW29" i="3"/>
  <c r="AU29" i="3"/>
  <c r="AU45" i="3" s="1"/>
  <c r="AT29" i="3"/>
  <c r="AT45" i="3" s="1"/>
  <c r="AS29" i="3"/>
  <c r="AS45" i="3" s="1"/>
  <c r="AR29" i="3"/>
  <c r="AR45" i="3" s="1"/>
  <c r="AQ29" i="3"/>
  <c r="AQ45" i="3" s="1"/>
  <c r="AP29" i="3"/>
  <c r="AP45" i="3" s="1"/>
  <c r="AO29" i="3"/>
  <c r="AO45" i="3" s="1"/>
  <c r="AN29" i="3"/>
  <c r="AM29" i="3"/>
  <c r="AL29" i="3"/>
  <c r="AK29" i="3"/>
  <c r="AC29" i="3"/>
  <c r="AB29" i="3"/>
  <c r="AA29" i="3"/>
  <c r="Z29" i="3"/>
  <c r="Z45" i="3" s="1"/>
  <c r="Y29" i="3"/>
  <c r="X29" i="3"/>
  <c r="W29" i="3"/>
  <c r="W45" i="3" s="1"/>
  <c r="U29" i="3"/>
  <c r="T29" i="3"/>
  <c r="S29" i="3"/>
  <c r="R29" i="3"/>
  <c r="Q29" i="3"/>
  <c r="P29" i="3"/>
  <c r="N29" i="3"/>
  <c r="M29" i="3"/>
  <c r="L29" i="3"/>
  <c r="K29" i="3"/>
  <c r="J29" i="3"/>
  <c r="I29" i="3"/>
  <c r="H29" i="3"/>
  <c r="G29" i="3"/>
  <c r="E29" i="3"/>
  <c r="BG27" i="3"/>
  <c r="BH27" i="3" s="1"/>
  <c r="V26" i="3"/>
  <c r="V29" i="3" s="1"/>
  <c r="O26" i="3"/>
  <c r="O29" i="3" s="1"/>
  <c r="BG25" i="3"/>
  <c r="D24" i="2" s="1"/>
  <c r="D29" i="3"/>
  <c r="D45" i="3" s="1"/>
  <c r="BE20" i="3"/>
  <c r="BC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BF19" i="3"/>
  <c r="BF20" i="3" s="1"/>
  <c r="AB19" i="3"/>
  <c r="AB20" i="3" s="1"/>
  <c r="BG18" i="3"/>
  <c r="E17" i="3"/>
  <c r="BD16" i="3"/>
  <c r="BD20" i="3" s="1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L56" i="2"/>
  <c r="J56" i="2"/>
  <c r="F56" i="2"/>
  <c r="C56" i="2"/>
  <c r="A56" i="2"/>
  <c r="F55" i="2"/>
  <c r="C55" i="2"/>
  <c r="A55" i="2"/>
  <c r="C54" i="2"/>
  <c r="A54" i="2"/>
  <c r="A53" i="2"/>
  <c r="C52" i="2"/>
  <c r="A52" i="2"/>
  <c r="C51" i="2"/>
  <c r="A51" i="2"/>
  <c r="A50" i="2"/>
  <c r="A49" i="2"/>
  <c r="A48" i="2"/>
  <c r="A47" i="2"/>
  <c r="A46" i="2"/>
  <c r="A45" i="2"/>
  <c r="A44" i="2"/>
  <c r="C43" i="2"/>
  <c r="A43" i="2"/>
  <c r="C42" i="2"/>
  <c r="A42" i="2"/>
  <c r="C41" i="2"/>
  <c r="A41" i="2"/>
  <c r="C40" i="2"/>
  <c r="A40" i="2"/>
  <c r="C39" i="2"/>
  <c r="A39" i="2"/>
  <c r="C38" i="2"/>
  <c r="A38" i="2"/>
  <c r="C37" i="2"/>
  <c r="A37" i="2"/>
  <c r="C36" i="2"/>
  <c r="A36" i="2"/>
  <c r="L35" i="2"/>
  <c r="J35" i="2"/>
  <c r="F35" i="2"/>
  <c r="C35" i="2"/>
  <c r="A35" i="2"/>
  <c r="C34" i="2"/>
  <c r="A34" i="2"/>
  <c r="A33" i="2"/>
  <c r="A32" i="2"/>
  <c r="C31" i="2"/>
  <c r="A31" i="2"/>
  <c r="C30" i="2"/>
  <c r="A30" i="2"/>
  <c r="A29" i="2"/>
  <c r="A28" i="2"/>
  <c r="J27" i="2"/>
  <c r="C27" i="2"/>
  <c r="A27" i="2"/>
  <c r="F26" i="2"/>
  <c r="C26" i="2"/>
  <c r="A26" i="2"/>
  <c r="C25" i="2"/>
  <c r="A25" i="2"/>
  <c r="C24" i="2"/>
  <c r="A24" i="2"/>
  <c r="A23" i="2"/>
  <c r="A22" i="2"/>
  <c r="A21" i="2"/>
  <c r="A20" i="2"/>
  <c r="A19" i="2"/>
  <c r="C18" i="2"/>
  <c r="A18" i="2"/>
  <c r="C17" i="2"/>
  <c r="A17" i="2"/>
  <c r="C16" i="2"/>
  <c r="A16" i="2"/>
  <c r="C15" i="2"/>
  <c r="A15" i="2"/>
  <c r="A14" i="2"/>
  <c r="E42" i="1"/>
  <c r="E41" i="1"/>
  <c r="D39" i="1"/>
  <c r="H56" i="7" s="1"/>
  <c r="J36" i="1"/>
  <c r="I36" i="1"/>
  <c r="CE20" i="4"/>
  <c r="CF20" i="4" s="1"/>
  <c r="I33" i="1"/>
  <c r="J27" i="1"/>
  <c r="K23" i="1"/>
  <c r="K24" i="1" s="1"/>
  <c r="F23" i="1"/>
  <c r="J22" i="1"/>
  <c r="J26" i="1" s="1"/>
  <c r="I24" i="1"/>
  <c r="F20" i="1"/>
  <c r="F18" i="1"/>
  <c r="E18" i="1"/>
  <c r="F15" i="1"/>
  <c r="E15" i="1"/>
  <c r="C37" i="5"/>
  <c r="J18" i="1"/>
  <c r="I15" i="1"/>
  <c r="K17" i="1"/>
  <c r="J13" i="1"/>
  <c r="J17" i="1" s="1"/>
  <c r="G13" i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G12" i="1"/>
  <c r="A12" i="1"/>
  <c r="BB270" i="17" l="1"/>
  <c r="BB273" i="17" s="1"/>
  <c r="D273" i="17"/>
  <c r="D264" i="17"/>
  <c r="BB260" i="17"/>
  <c r="BB264" i="17" s="1"/>
  <c r="D304" i="17"/>
  <c r="D293" i="17" s="1"/>
  <c r="BB298" i="17"/>
  <c r="BB304" i="17" s="1"/>
  <c r="BB293" i="17" s="1"/>
  <c r="BN49" i="14"/>
  <c r="BO46" i="14"/>
  <c r="BO49" i="14" s="1"/>
  <c r="BP49" i="14"/>
  <c r="F68" i="4"/>
  <c r="H68" i="4" s="1"/>
  <c r="V291" i="3"/>
  <c r="V481" i="3" s="1"/>
  <c r="V503" i="3" s="1"/>
  <c r="E488" i="3"/>
  <c r="E510" i="3" s="1"/>
  <c r="E485" i="3"/>
  <c r="E507" i="3" s="1"/>
  <c r="N485" i="3"/>
  <c r="N507" i="3" s="1"/>
  <c r="V507" i="3"/>
  <c r="V485" i="3"/>
  <c r="AH485" i="3"/>
  <c r="AH507" i="3" s="1"/>
  <c r="Q507" i="3"/>
  <c r="Q485" i="3"/>
  <c r="F485" i="3"/>
  <c r="F507" i="3" s="1"/>
  <c r="M510" i="3"/>
  <c r="M488" i="3"/>
  <c r="BD485" i="3"/>
  <c r="BD507" i="3" s="1"/>
  <c r="O485" i="3"/>
  <c r="O507" i="3" s="1"/>
  <c r="W485" i="3"/>
  <c r="W507" i="3" s="1"/>
  <c r="AI507" i="3"/>
  <c r="AI485" i="3"/>
  <c r="L488" i="3"/>
  <c r="L510" i="3" s="1"/>
  <c r="BA488" i="3"/>
  <c r="BA510" i="3" s="1"/>
  <c r="N488" i="3"/>
  <c r="N510" i="3" s="1"/>
  <c r="V488" i="3"/>
  <c r="V510" i="3" s="1"/>
  <c r="AG488" i="3"/>
  <c r="AG510" i="3" s="1"/>
  <c r="X485" i="3"/>
  <c r="X507" i="3" s="1"/>
  <c r="BF365" i="3"/>
  <c r="BF354" i="3" s="1"/>
  <c r="AF485" i="3"/>
  <c r="AF507" i="3" s="1"/>
  <c r="G485" i="3"/>
  <c r="G507" i="3" s="1"/>
  <c r="AJ485" i="3"/>
  <c r="AJ507" i="3" s="1"/>
  <c r="R488" i="3"/>
  <c r="R510" i="3" s="1"/>
  <c r="F488" i="3"/>
  <c r="F510" i="3" s="1"/>
  <c r="O510" i="3"/>
  <c r="O488" i="3"/>
  <c r="W488" i="3"/>
  <c r="W510" i="3" s="1"/>
  <c r="AX488" i="3"/>
  <c r="AX510" i="3" s="1"/>
  <c r="I485" i="3"/>
  <c r="I507" i="3" s="1"/>
  <c r="AF70" i="3"/>
  <c r="AF469" i="3"/>
  <c r="AF491" i="3" s="1"/>
  <c r="W169" i="3"/>
  <c r="W475" i="3" s="1"/>
  <c r="W497" i="3" s="1"/>
  <c r="AM169" i="3"/>
  <c r="AM475" i="3" s="1"/>
  <c r="AM497" i="3" s="1"/>
  <c r="AU169" i="3"/>
  <c r="AU475" i="3" s="1"/>
  <c r="AU497" i="3" s="1"/>
  <c r="M485" i="3"/>
  <c r="M507" i="3" s="1"/>
  <c r="AC485" i="3"/>
  <c r="AC507" i="3" s="1"/>
  <c r="J485" i="3"/>
  <c r="J507" i="3" s="1"/>
  <c r="R507" i="3"/>
  <c r="R485" i="3"/>
  <c r="Z485" i="3"/>
  <c r="Z507" i="3" s="1"/>
  <c r="AX485" i="3"/>
  <c r="AX507" i="3" s="1"/>
  <c r="Z488" i="3"/>
  <c r="Z510" i="3" s="1"/>
  <c r="I488" i="3"/>
  <c r="I510" i="3" s="1"/>
  <c r="Q488" i="3"/>
  <c r="Q510" i="3" s="1"/>
  <c r="Y488" i="3"/>
  <c r="Y510" i="3" s="1"/>
  <c r="AJ488" i="3"/>
  <c r="AJ510" i="3" s="1"/>
  <c r="U507" i="3"/>
  <c r="U485" i="3"/>
  <c r="H488" i="3"/>
  <c r="H510" i="3" s="1"/>
  <c r="AF510" i="3"/>
  <c r="AF488" i="3"/>
  <c r="AZ106" i="3"/>
  <c r="AG485" i="3"/>
  <c r="AG507" i="3" s="1"/>
  <c r="AY365" i="3"/>
  <c r="AY354" i="3" s="1"/>
  <c r="AY485" i="3" s="1"/>
  <c r="K485" i="3"/>
  <c r="K507" i="3" s="1"/>
  <c r="S485" i="3"/>
  <c r="S507" i="3" s="1"/>
  <c r="AC488" i="3"/>
  <c r="AC510" i="3" s="1"/>
  <c r="BA507" i="3"/>
  <c r="BA485" i="3"/>
  <c r="BD488" i="3"/>
  <c r="BD510" i="3" s="1"/>
  <c r="AE70" i="3"/>
  <c r="AE469" i="3"/>
  <c r="AE491" i="3" s="1"/>
  <c r="Y485" i="3"/>
  <c r="Y507" i="3" s="1"/>
  <c r="T488" i="3"/>
  <c r="T510" i="3" s="1"/>
  <c r="G488" i="3"/>
  <c r="G510" i="3" s="1"/>
  <c r="P488" i="3"/>
  <c r="P510" i="3" s="1"/>
  <c r="X488" i="3"/>
  <c r="X510" i="3" s="1"/>
  <c r="AI510" i="3"/>
  <c r="AI488" i="3"/>
  <c r="P485" i="3"/>
  <c r="P507" i="3" s="1"/>
  <c r="L507" i="3"/>
  <c r="L485" i="3"/>
  <c r="T485" i="3"/>
  <c r="T507" i="3" s="1"/>
  <c r="AE507" i="3"/>
  <c r="AE485" i="3"/>
  <c r="AH488" i="3"/>
  <c r="AH510" i="3" s="1"/>
  <c r="K488" i="3"/>
  <c r="K510" i="3" s="1"/>
  <c r="S488" i="3"/>
  <c r="S510" i="3" s="1"/>
  <c r="J510" i="3"/>
  <c r="J488" i="3"/>
  <c r="U488" i="3"/>
  <c r="U510" i="3" s="1"/>
  <c r="H485" i="3"/>
  <c r="H507" i="3" s="1"/>
  <c r="AE488" i="3"/>
  <c r="AE510" i="3" s="1"/>
  <c r="U169" i="3"/>
  <c r="U475" i="3" s="1"/>
  <c r="U497" i="3" s="1"/>
  <c r="T291" i="3"/>
  <c r="T481" i="3" s="1"/>
  <c r="T503" i="3" s="1"/>
  <c r="AF413" i="3"/>
  <c r="AF487" i="3" s="1"/>
  <c r="AZ413" i="3"/>
  <c r="AZ487" i="3" s="1"/>
  <c r="AZ509" i="3" s="1"/>
  <c r="H413" i="3"/>
  <c r="H487" i="3" s="1"/>
  <c r="H509" i="3" s="1"/>
  <c r="P413" i="3"/>
  <c r="P487" i="3" s="1"/>
  <c r="X413" i="3"/>
  <c r="X487" i="3" s="1"/>
  <c r="X509" i="3" s="1"/>
  <c r="BE291" i="3"/>
  <c r="BE481" i="3" s="1"/>
  <c r="BE503" i="3" s="1"/>
  <c r="V108" i="3"/>
  <c r="V472" i="3" s="1"/>
  <c r="V494" i="3" s="1"/>
  <c r="AW182" i="3"/>
  <c r="AW171" i="3" s="1"/>
  <c r="AW476" i="3" s="1"/>
  <c r="AW498" i="3" s="1"/>
  <c r="BG397" i="3"/>
  <c r="BH397" i="3" s="1"/>
  <c r="W230" i="3"/>
  <c r="W478" i="3" s="1"/>
  <c r="W500" i="3" s="1"/>
  <c r="AO169" i="3"/>
  <c r="AO475" i="3" s="1"/>
  <c r="AO497" i="3" s="1"/>
  <c r="BD182" i="3"/>
  <c r="BD171" i="3" s="1"/>
  <c r="BD476" i="3" s="1"/>
  <c r="BD498" i="3" s="1"/>
  <c r="U230" i="3"/>
  <c r="U478" i="3" s="1"/>
  <c r="U500" i="3" s="1"/>
  <c r="P291" i="3"/>
  <c r="P481" i="3" s="1"/>
  <c r="P503" i="3" s="1"/>
  <c r="X291" i="3"/>
  <c r="X481" i="3" s="1"/>
  <c r="X503" i="3" s="1"/>
  <c r="G230" i="3"/>
  <c r="G478" i="3" s="1"/>
  <c r="G500" i="3" s="1"/>
  <c r="R291" i="3"/>
  <c r="S291" i="3"/>
  <c r="S481" i="3" s="1"/>
  <c r="S503" i="3" s="1"/>
  <c r="AA291" i="3"/>
  <c r="AA481" i="3" s="1"/>
  <c r="AA503" i="3" s="1"/>
  <c r="T352" i="3"/>
  <c r="AH413" i="3"/>
  <c r="AH487" i="3" s="1"/>
  <c r="AH509" i="3" s="1"/>
  <c r="AW426" i="3"/>
  <c r="AW415" i="3" s="1"/>
  <c r="AD108" i="3"/>
  <c r="AD472" i="3" s="1"/>
  <c r="AD494" i="3" s="1"/>
  <c r="AT108" i="3"/>
  <c r="AT472" i="3" s="1"/>
  <c r="AT494" i="3" s="1"/>
  <c r="T169" i="3"/>
  <c r="T475" i="3" s="1"/>
  <c r="T497" i="3" s="1"/>
  <c r="K291" i="3"/>
  <c r="K481" i="3" s="1"/>
  <c r="K503" i="3" s="1"/>
  <c r="AD352" i="3"/>
  <c r="AD484" i="3" s="1"/>
  <c r="AX352" i="3"/>
  <c r="AX484" i="3" s="1"/>
  <c r="BF352" i="3"/>
  <c r="BF484" i="3" s="1"/>
  <c r="BF506" i="3" s="1"/>
  <c r="AZ365" i="3"/>
  <c r="AZ354" i="3" s="1"/>
  <c r="J413" i="3"/>
  <c r="J487" i="3" s="1"/>
  <c r="J509" i="3" s="1"/>
  <c r="R413" i="3"/>
  <c r="R487" i="3" s="1"/>
  <c r="R509" i="3" s="1"/>
  <c r="AM108" i="3"/>
  <c r="AM472" i="3" s="1"/>
  <c r="AM494" i="3" s="1"/>
  <c r="AU108" i="3"/>
  <c r="AU472" i="3" s="1"/>
  <c r="AU494" i="3" s="1"/>
  <c r="BD108" i="3"/>
  <c r="BD472" i="3" s="1"/>
  <c r="BD494" i="3" s="1"/>
  <c r="N352" i="3"/>
  <c r="N484" i="3" s="1"/>
  <c r="V352" i="3"/>
  <c r="AU230" i="3"/>
  <c r="AU478" i="3" s="1"/>
  <c r="AU500" i="3" s="1"/>
  <c r="W108" i="3"/>
  <c r="W472" i="3" s="1"/>
  <c r="W494" i="3" s="1"/>
  <c r="AN108" i="3"/>
  <c r="AN472" i="3" s="1"/>
  <c r="AN494" i="3" s="1"/>
  <c r="AV108" i="3"/>
  <c r="AV472" i="3" s="1"/>
  <c r="AV494" i="3" s="1"/>
  <c r="J352" i="3"/>
  <c r="J484" i="3" s="1"/>
  <c r="R352" i="3"/>
  <c r="R484" i="3" s="1"/>
  <c r="R506" i="3" s="1"/>
  <c r="AH352" i="3"/>
  <c r="AH484" i="3" s="1"/>
  <c r="BC365" i="3"/>
  <c r="BC354" i="3" s="1"/>
  <c r="AX169" i="3"/>
  <c r="AX475" i="3" s="1"/>
  <c r="AX497" i="3" s="1"/>
  <c r="BD352" i="3"/>
  <c r="BD484" i="3" s="1"/>
  <c r="BD506" i="3" s="1"/>
  <c r="E24" i="2"/>
  <c r="P108" i="3"/>
  <c r="X108" i="3"/>
  <c r="X472" i="3" s="1"/>
  <c r="X494" i="3" s="1"/>
  <c r="G169" i="3"/>
  <c r="G475" i="3" s="1"/>
  <c r="G497" i="3" s="1"/>
  <c r="BD169" i="3"/>
  <c r="BD475" i="3" s="1"/>
  <c r="BD497" i="3" s="1"/>
  <c r="AW291" i="3"/>
  <c r="AC352" i="3"/>
  <c r="AC484" i="3" s="1"/>
  <c r="U352" i="3"/>
  <c r="U484" i="3" s="1"/>
  <c r="M506" i="3"/>
  <c r="M369" i="3"/>
  <c r="BG92" i="3"/>
  <c r="F30" i="2" s="1"/>
  <c r="K169" i="3"/>
  <c r="V230" i="3"/>
  <c r="V478" i="3" s="1"/>
  <c r="V500" i="3" s="1"/>
  <c r="F230" i="3"/>
  <c r="F478" i="3" s="1"/>
  <c r="F500" i="3" s="1"/>
  <c r="AZ304" i="3"/>
  <c r="AZ293" i="3" s="1"/>
  <c r="AZ482" i="3" s="1"/>
  <c r="AZ504" i="3" s="1"/>
  <c r="AD413" i="3"/>
  <c r="AX413" i="3"/>
  <c r="G24" i="2"/>
  <c r="AR169" i="3"/>
  <c r="AR475" i="3" s="1"/>
  <c r="AR497" i="3" s="1"/>
  <c r="AL60" i="3"/>
  <c r="AL49" i="3" s="1"/>
  <c r="F169" i="3"/>
  <c r="F475" i="3" s="1"/>
  <c r="F497" i="3" s="1"/>
  <c r="N169" i="3"/>
  <c r="N475" i="3" s="1"/>
  <c r="N497" i="3" s="1"/>
  <c r="V169" i="3"/>
  <c r="V475" i="3" s="1"/>
  <c r="V497" i="3" s="1"/>
  <c r="AN291" i="3"/>
  <c r="AN481" i="3" s="1"/>
  <c r="AN503" i="3" s="1"/>
  <c r="F413" i="3"/>
  <c r="N413" i="3"/>
  <c r="N487" i="3" s="1"/>
  <c r="V413" i="3"/>
  <c r="V487" i="3" s="1"/>
  <c r="N108" i="3"/>
  <c r="P230" i="3"/>
  <c r="P478" i="3" s="1"/>
  <c r="P500" i="3" s="1"/>
  <c r="X230" i="3"/>
  <c r="X478" i="3" s="1"/>
  <c r="X500" i="3" s="1"/>
  <c r="AQ291" i="3"/>
  <c r="AQ481" i="3" s="1"/>
  <c r="AQ503" i="3" s="1"/>
  <c r="AI352" i="3"/>
  <c r="BC352" i="3"/>
  <c r="AW352" i="3"/>
  <c r="AW484" i="3" s="1"/>
  <c r="AO108" i="3"/>
  <c r="AO472" i="3" s="1"/>
  <c r="AO494" i="3" s="1"/>
  <c r="AW108" i="3"/>
  <c r="BF108" i="3"/>
  <c r="BF472" i="3" s="1"/>
  <c r="BF494" i="3" s="1"/>
  <c r="AW121" i="3"/>
  <c r="AW110" i="3" s="1"/>
  <c r="AW473" i="3" s="1"/>
  <c r="AW495" i="3" s="1"/>
  <c r="Q291" i="3"/>
  <c r="Q481" i="3" s="1"/>
  <c r="Q503" i="3" s="1"/>
  <c r="Y291" i="3"/>
  <c r="Y481" i="3" s="1"/>
  <c r="Y503" i="3" s="1"/>
  <c r="K352" i="3"/>
  <c r="AA352" i="3"/>
  <c r="AA484" i="3" s="1"/>
  <c r="AJ352" i="3"/>
  <c r="F352" i="3"/>
  <c r="BE365" i="3"/>
  <c r="BE354" i="3" s="1"/>
  <c r="BE375" i="3" s="1"/>
  <c r="BB413" i="3"/>
  <c r="BB487" i="3" s="1"/>
  <c r="AB169" i="3"/>
  <c r="AB475" i="3" s="1"/>
  <c r="AB497" i="3" s="1"/>
  <c r="Q108" i="3"/>
  <c r="Q472" i="3" s="1"/>
  <c r="Q494" i="3" s="1"/>
  <c r="Y108" i="3"/>
  <c r="Y472" i="3" s="1"/>
  <c r="Y494" i="3" s="1"/>
  <c r="AP108" i="3"/>
  <c r="AP472" i="3" s="1"/>
  <c r="AP494" i="3" s="1"/>
  <c r="BF169" i="3"/>
  <c r="BF475" i="3" s="1"/>
  <c r="BF497" i="3" s="1"/>
  <c r="J230" i="3"/>
  <c r="R230" i="3"/>
  <c r="R478" i="3" s="1"/>
  <c r="R500" i="3" s="1"/>
  <c r="AB352" i="3"/>
  <c r="AB484" i="3" s="1"/>
  <c r="AB506" i="3" s="1"/>
  <c r="L352" i="3"/>
  <c r="BA352" i="3"/>
  <c r="K413" i="3"/>
  <c r="S413" i="3"/>
  <c r="S487" i="3" s="1"/>
  <c r="AA413" i="3"/>
  <c r="AA487" i="3" s="1"/>
  <c r="AI413" i="3"/>
  <c r="Z108" i="3"/>
  <c r="Z472" i="3" s="1"/>
  <c r="Z494" i="3" s="1"/>
  <c r="AQ108" i="3"/>
  <c r="AQ472" i="3" s="1"/>
  <c r="AQ494" i="3" s="1"/>
  <c r="J169" i="3"/>
  <c r="J475" i="3" s="1"/>
  <c r="J497" i="3" s="1"/>
  <c r="R169" i="3"/>
  <c r="R475" i="3" s="1"/>
  <c r="R497" i="3" s="1"/>
  <c r="Z169" i="3"/>
  <c r="Z475" i="3" s="1"/>
  <c r="Z497" i="3" s="1"/>
  <c r="AP169" i="3"/>
  <c r="AP475" i="3" s="1"/>
  <c r="AP497" i="3" s="1"/>
  <c r="AR291" i="3"/>
  <c r="AR481" i="3" s="1"/>
  <c r="AR503" i="3" s="1"/>
  <c r="BD230" i="3"/>
  <c r="BD478" i="3" s="1"/>
  <c r="BD500" i="3" s="1"/>
  <c r="K108" i="3"/>
  <c r="K472" i="3" s="1"/>
  <c r="K494" i="3" s="1"/>
  <c r="AA169" i="3"/>
  <c r="AA475" i="3" s="1"/>
  <c r="AA497" i="3" s="1"/>
  <c r="L230" i="3"/>
  <c r="L478" i="3" s="1"/>
  <c r="L500" i="3" s="1"/>
  <c r="L291" i="3"/>
  <c r="AK291" i="3"/>
  <c r="AK481" i="3" s="1"/>
  <c r="AK503" i="3" s="1"/>
  <c r="AS291" i="3"/>
  <c r="AS481" i="3" s="1"/>
  <c r="AS503" i="3" s="1"/>
  <c r="E352" i="3"/>
  <c r="E484" i="3" s="1"/>
  <c r="E506" i="3" s="1"/>
  <c r="Z47" i="3"/>
  <c r="Z469" i="3" s="1"/>
  <c r="Z491" i="3" s="1"/>
  <c r="AP47" i="3"/>
  <c r="AP469" i="3" s="1"/>
  <c r="AP491" i="3" s="1"/>
  <c r="W47" i="3"/>
  <c r="W469" i="3" s="1"/>
  <c r="W491" i="3" s="1"/>
  <c r="AO47" i="3"/>
  <c r="AO469" i="3" s="1"/>
  <c r="AO491" i="3" s="1"/>
  <c r="HF35" i="4"/>
  <c r="SJ35" i="4"/>
  <c r="SL34" i="4"/>
  <c r="SL35" i="4" s="1"/>
  <c r="X48" i="4"/>
  <c r="W73" i="4"/>
  <c r="F41" i="3" s="1"/>
  <c r="PJ52" i="4"/>
  <c r="G38" i="4"/>
  <c r="H38" i="4" s="1"/>
  <c r="J38" i="4" s="1"/>
  <c r="OK21" i="4"/>
  <c r="OK24" i="4" s="1"/>
  <c r="AA115" i="3"/>
  <c r="AA121" i="3" s="1"/>
  <c r="AA110" i="3" s="1"/>
  <c r="AA473" i="3" s="1"/>
  <c r="AA495" i="3" s="1"/>
  <c r="W71" i="4"/>
  <c r="F36" i="3" s="1"/>
  <c r="BG36" i="3" s="1"/>
  <c r="D35" i="2" s="1"/>
  <c r="E35" i="2" s="1"/>
  <c r="G35" i="2" s="1"/>
  <c r="I35" i="2" s="1"/>
  <c r="X43" i="4"/>
  <c r="Z43" i="4" s="1"/>
  <c r="EU39" i="5"/>
  <c r="BC100" i="3"/>
  <c r="K32" i="1"/>
  <c r="BG215" i="3"/>
  <c r="J31" i="2" s="1"/>
  <c r="KW25" i="4"/>
  <c r="KW28" i="4" s="1"/>
  <c r="KW30" i="4" s="1"/>
  <c r="RH21" i="4"/>
  <c r="RH25" i="4" s="1"/>
  <c r="RH27" i="4" s="1"/>
  <c r="JB18" i="4"/>
  <c r="JD18" i="4" s="1"/>
  <c r="JF18" i="4" s="1"/>
  <c r="JH18" i="4" s="1"/>
  <c r="GF21" i="4"/>
  <c r="GH21" i="4" s="1"/>
  <c r="GJ21" i="4" s="1"/>
  <c r="GL21" i="4" s="1"/>
  <c r="GN21" i="4" s="1"/>
  <c r="GT21" i="4"/>
  <c r="GV21" i="4" s="1"/>
  <c r="GX21" i="4" s="1"/>
  <c r="GZ21" i="4" s="1"/>
  <c r="HB21" i="4" s="1"/>
  <c r="RH36" i="4"/>
  <c r="SV65" i="4"/>
  <c r="SX65" i="4" s="1"/>
  <c r="SV66" i="4"/>
  <c r="D72" i="4"/>
  <c r="BS22" i="5"/>
  <c r="BS26" i="5" s="1"/>
  <c r="CR24" i="5"/>
  <c r="CG27" i="5"/>
  <c r="GU28" i="5"/>
  <c r="GV28" i="5" s="1"/>
  <c r="GE37" i="5"/>
  <c r="GE39" i="5" s="1"/>
  <c r="SG20" i="4"/>
  <c r="SG24" i="4" s="1"/>
  <c r="SG26" i="4" s="1"/>
  <c r="GG25" i="4"/>
  <c r="GG28" i="4" s="1"/>
  <c r="QC17" i="4"/>
  <c r="RI17" i="4"/>
  <c r="AE99" i="3" s="1"/>
  <c r="RO19" i="4"/>
  <c r="SX29" i="4"/>
  <c r="SZ29" i="4" s="1"/>
  <c r="AP18" i="5"/>
  <c r="CA20" i="5"/>
  <c r="CR20" i="5"/>
  <c r="CT20" i="5" s="1"/>
  <c r="CV20" i="5" s="1"/>
  <c r="CX20" i="5" s="1"/>
  <c r="CZ20" i="5" s="1"/>
  <c r="DB20" i="5" s="1"/>
  <c r="DD20" i="5" s="1"/>
  <c r="GF20" i="5"/>
  <c r="GF22" i="5" s="1"/>
  <c r="CA24" i="5"/>
  <c r="CG25" i="5"/>
  <c r="DI30" i="5"/>
  <c r="CC56" i="5"/>
  <c r="CC57" i="5"/>
  <c r="CA58" i="5"/>
  <c r="I17" i="1"/>
  <c r="BD22" i="4"/>
  <c r="BD24" i="4" s="1"/>
  <c r="E26" i="4"/>
  <c r="F26" i="4" s="1"/>
  <c r="H26" i="4" s="1"/>
  <c r="VK26" i="4"/>
  <c r="VK28" i="4" s="1"/>
  <c r="SW38" i="4"/>
  <c r="SW40" i="4" s="1"/>
  <c r="W47" i="4"/>
  <c r="SV64" i="4"/>
  <c r="SW67" i="4"/>
  <c r="SX66" i="4"/>
  <c r="SZ66" i="4" s="1"/>
  <c r="BI22" i="5"/>
  <c r="BI26" i="5" s="1"/>
  <c r="CG23" i="5"/>
  <c r="CA28" i="5"/>
  <c r="DK30" i="5"/>
  <c r="CC47" i="5"/>
  <c r="CG56" i="5"/>
  <c r="G5" i="1"/>
  <c r="LO22" i="4"/>
  <c r="MH17" i="4"/>
  <c r="MJ17" i="4" s="1"/>
  <c r="ML17" i="4" s="1"/>
  <c r="MN17" i="4" s="1"/>
  <c r="MP17" i="4" s="1"/>
  <c r="PW17" i="4"/>
  <c r="QE17" i="4"/>
  <c r="FH18" i="4"/>
  <c r="FH20" i="4" s="1"/>
  <c r="OL21" i="4"/>
  <c r="OL24" i="4" s="1"/>
  <c r="GW29" i="4"/>
  <c r="GW31" i="4" s="1"/>
  <c r="GW33" i="4" s="1"/>
  <c r="SB35" i="4"/>
  <c r="ST34" i="4"/>
  <c r="SU49" i="4"/>
  <c r="SX53" i="4"/>
  <c r="CA18" i="5"/>
  <c r="EB35" i="5"/>
  <c r="BY49" i="5"/>
  <c r="CC54" i="5"/>
  <c r="BF16" i="4"/>
  <c r="BF17" i="4"/>
  <c r="BH17" i="4" s="1"/>
  <c r="BJ17" i="4" s="1"/>
  <c r="DH18" i="4"/>
  <c r="DH23" i="4" s="1"/>
  <c r="SX18" i="4"/>
  <c r="RO20" i="4"/>
  <c r="HA29" i="4"/>
  <c r="HA31" i="4" s="1"/>
  <c r="HA33" i="4" s="1"/>
  <c r="RJ36" i="4"/>
  <c r="SV46" i="4"/>
  <c r="PG47" i="4"/>
  <c r="PG48" i="4" s="1"/>
  <c r="AB224" i="3" s="1"/>
  <c r="SZ53" i="4"/>
  <c r="TB53" i="4" s="1"/>
  <c r="TD53" i="4" s="1"/>
  <c r="SV82" i="4"/>
  <c r="CC21" i="5"/>
  <c r="AP24" i="5"/>
  <c r="CC26" i="5"/>
  <c r="CA38" i="5"/>
  <c r="SW20" i="4"/>
  <c r="SW22" i="4" s="1"/>
  <c r="CP17" i="4"/>
  <c r="PY17" i="4"/>
  <c r="QH17" i="4"/>
  <c r="QH18" i="4" s="1"/>
  <c r="KX19" i="4"/>
  <c r="KZ19" i="4" s="1"/>
  <c r="LB19" i="4" s="1"/>
  <c r="LD19" i="4" s="1"/>
  <c r="LF19" i="4" s="1"/>
  <c r="VI19" i="4"/>
  <c r="AN237" i="3" s="1"/>
  <c r="CN20" i="4"/>
  <c r="CP20" i="4" s="1"/>
  <c r="CR20" i="4" s="1"/>
  <c r="CT20" i="4" s="1"/>
  <c r="CV20" i="4" s="1"/>
  <c r="CX20" i="4" s="1"/>
  <c r="BH21" i="4"/>
  <c r="BJ21" i="4" s="1"/>
  <c r="BL21" i="4" s="1"/>
  <c r="BN21" i="4" s="1"/>
  <c r="BP21" i="4" s="1"/>
  <c r="BR21" i="4" s="1"/>
  <c r="HD29" i="4"/>
  <c r="HD31" i="4" s="1"/>
  <c r="HD33" i="4" s="1"/>
  <c r="CE19" i="5"/>
  <c r="CE20" i="5"/>
  <c r="CQ29" i="5"/>
  <c r="CG37" i="5"/>
  <c r="AY301" i="3" s="1"/>
  <c r="CB62" i="5"/>
  <c r="VK21" i="4"/>
  <c r="AN301" i="3" s="1"/>
  <c r="KX23" i="4"/>
  <c r="SD23" i="4"/>
  <c r="SF23" i="4" s="1"/>
  <c r="SH23" i="4" s="1"/>
  <c r="SJ23" i="4" s="1"/>
  <c r="SL23" i="4" s="1"/>
  <c r="PI47" i="4"/>
  <c r="E57" i="4"/>
  <c r="F57" i="4" s="1"/>
  <c r="H57" i="4" s="1"/>
  <c r="J57" i="4" s="1"/>
  <c r="L57" i="4" s="1"/>
  <c r="SX82" i="4"/>
  <c r="BQ22" i="5"/>
  <c r="BQ26" i="5" s="1"/>
  <c r="CG19" i="5"/>
  <c r="BZ32" i="5"/>
  <c r="BZ39" i="5" s="1"/>
  <c r="CE46" i="5"/>
  <c r="C39" i="1"/>
  <c r="D20" i="3"/>
  <c r="BH18" i="3"/>
  <c r="D79" i="3" s="1"/>
  <c r="SC20" i="4"/>
  <c r="SC24" i="4" s="1"/>
  <c r="SC26" i="4" s="1"/>
  <c r="GC25" i="4"/>
  <c r="GC28" i="4" s="1"/>
  <c r="QA17" i="4"/>
  <c r="EQ18" i="4"/>
  <c r="EQ19" i="4" s="1"/>
  <c r="RK18" i="4"/>
  <c r="VK19" i="4"/>
  <c r="RL34" i="4"/>
  <c r="AN26" i="5"/>
  <c r="AN28" i="5" s="1"/>
  <c r="CA29" i="5"/>
  <c r="CG36" i="5"/>
  <c r="AY300" i="3" s="1"/>
  <c r="AY304" i="3" s="1"/>
  <c r="AY293" i="3" s="1"/>
  <c r="AY482" i="3" s="1"/>
  <c r="AY504" i="3" s="1"/>
  <c r="ES37" i="5"/>
  <c r="FA37" i="5"/>
  <c r="GI37" i="5"/>
  <c r="GI39" i="5" s="1"/>
  <c r="CC42" i="5"/>
  <c r="CE49" i="5"/>
  <c r="CG54" i="5"/>
  <c r="CA57" i="5"/>
  <c r="AT47" i="3"/>
  <c r="AT469" i="3" s="1"/>
  <c r="AT491" i="3" s="1"/>
  <c r="D17" i="2"/>
  <c r="E17" i="2" s="1"/>
  <c r="G17" i="2" s="1"/>
  <c r="I17" i="2" s="1"/>
  <c r="K17" i="2" s="1"/>
  <c r="M17" i="2" s="1"/>
  <c r="BA45" i="3"/>
  <c r="BA47" i="3" s="1"/>
  <c r="C19" i="2"/>
  <c r="D26" i="2"/>
  <c r="E26" i="2" s="1"/>
  <c r="G26" i="2" s="1"/>
  <c r="I26" i="2" s="1"/>
  <c r="K26" i="2" s="1"/>
  <c r="M26" i="2" s="1"/>
  <c r="AR47" i="3"/>
  <c r="AR469" i="3" s="1"/>
  <c r="AR491" i="3" s="1"/>
  <c r="AQ47" i="3"/>
  <c r="AQ469" i="3" s="1"/>
  <c r="AQ491" i="3" s="1"/>
  <c r="BE243" i="3"/>
  <c r="BE232" i="3" s="1"/>
  <c r="BE479" i="3" s="1"/>
  <c r="BE501" i="3" s="1"/>
  <c r="AV273" i="3"/>
  <c r="BF289" i="3"/>
  <c r="BF291" i="3" s="1"/>
  <c r="BF481" i="3" s="1"/>
  <c r="BF503" i="3" s="1"/>
  <c r="BC304" i="3"/>
  <c r="BC293" i="3" s="1"/>
  <c r="BC482" i="3" s="1"/>
  <c r="BC504" i="3" s="1"/>
  <c r="BB243" i="3"/>
  <c r="BF243" i="3"/>
  <c r="BF232" i="3" s="1"/>
  <c r="BF479" i="3" s="1"/>
  <c r="BF501" i="3" s="1"/>
  <c r="BA167" i="3"/>
  <c r="BA169" i="3" s="1"/>
  <c r="BG153" i="3"/>
  <c r="H30" i="2" s="1"/>
  <c r="BE182" i="3"/>
  <c r="BE171" i="3" s="1"/>
  <c r="BE476" i="3" s="1"/>
  <c r="BE498" i="3" s="1"/>
  <c r="BB365" i="3"/>
  <c r="BB354" i="3" s="1"/>
  <c r="BE106" i="3"/>
  <c r="BE108" i="3" s="1"/>
  <c r="BE472" i="3" s="1"/>
  <c r="BE494" i="3" s="1"/>
  <c r="BB167" i="3"/>
  <c r="AZ243" i="3"/>
  <c r="AZ232" i="3" s="1"/>
  <c r="AZ479" i="3" s="1"/>
  <c r="AZ501" i="3" s="1"/>
  <c r="BC411" i="3"/>
  <c r="BC413" i="3" s="1"/>
  <c r="BC487" i="3" s="1"/>
  <c r="AY426" i="3"/>
  <c r="AY415" i="3" s="1"/>
  <c r="BC60" i="3"/>
  <c r="BC49" i="3" s="1"/>
  <c r="BC470" i="3" s="1"/>
  <c r="BC492" i="3" s="1"/>
  <c r="BE121" i="3"/>
  <c r="BE110" i="3" s="1"/>
  <c r="BE473" i="3" s="1"/>
  <c r="BE495" i="3" s="1"/>
  <c r="AY121" i="3"/>
  <c r="AY110" i="3" s="1"/>
  <c r="AY473" i="3" s="1"/>
  <c r="AY495" i="3" s="1"/>
  <c r="BB304" i="3"/>
  <c r="BB293" i="3" s="1"/>
  <c r="BB482" i="3" s="1"/>
  <c r="BB504" i="3" s="1"/>
  <c r="AZ182" i="3"/>
  <c r="AZ171" i="3" s="1"/>
  <c r="AZ476" i="3" s="1"/>
  <c r="AZ498" i="3" s="1"/>
  <c r="BG117" i="3"/>
  <c r="F53" i="2" s="1"/>
  <c r="BG269" i="3"/>
  <c r="L24" i="2" s="1"/>
  <c r="AW365" i="3"/>
  <c r="AW354" i="3" s="1"/>
  <c r="AV386" i="3"/>
  <c r="BC426" i="3"/>
  <c r="BC415" i="3" s="1"/>
  <c r="BG40" i="3"/>
  <c r="AZ121" i="3"/>
  <c r="AZ110" i="3" s="1"/>
  <c r="AZ473" i="3" s="1"/>
  <c r="AZ495" i="3" s="1"/>
  <c r="BG209" i="3"/>
  <c r="J25" i="2" s="1"/>
  <c r="AV264" i="3"/>
  <c r="AV334" i="3"/>
  <c r="AV350" i="3" s="1"/>
  <c r="AZ60" i="3"/>
  <c r="AZ49" i="3" s="1"/>
  <c r="AZ470" i="3" s="1"/>
  <c r="AZ492" i="3" s="1"/>
  <c r="BB289" i="3"/>
  <c r="BB291" i="3" s="1"/>
  <c r="BB481" i="3" s="1"/>
  <c r="BB503" i="3" s="1"/>
  <c r="BG330" i="3"/>
  <c r="BH330" i="3" s="1"/>
  <c r="AV395" i="3"/>
  <c r="AV411" i="3" s="1"/>
  <c r="BG422" i="3"/>
  <c r="BH422" i="3" s="1"/>
  <c r="BB45" i="3"/>
  <c r="AW60" i="3"/>
  <c r="AW49" i="3" s="1"/>
  <c r="AW470" i="3" s="1"/>
  <c r="AW492" i="3" s="1"/>
  <c r="AV203" i="3"/>
  <c r="BG391" i="3"/>
  <c r="BH391" i="3" s="1"/>
  <c r="BB426" i="3"/>
  <c r="BB415" i="3" s="1"/>
  <c r="AZ228" i="3"/>
  <c r="AZ230" i="3" s="1"/>
  <c r="AZ478" i="3" s="1"/>
  <c r="AZ500" i="3" s="1"/>
  <c r="AV325" i="3"/>
  <c r="AZ426" i="3"/>
  <c r="AZ415" i="3" s="1"/>
  <c r="BD60" i="3"/>
  <c r="BD49" i="3" s="1"/>
  <c r="BD470" i="3" s="1"/>
  <c r="BD492" i="3" s="1"/>
  <c r="BB60" i="3"/>
  <c r="BB49" i="3" s="1"/>
  <c r="BB470" i="3" s="1"/>
  <c r="BB492" i="3" s="1"/>
  <c r="AY60" i="3"/>
  <c r="AY49" i="3" s="1"/>
  <c r="BB121" i="3"/>
  <c r="BB110" i="3" s="1"/>
  <c r="BB473" i="3" s="1"/>
  <c r="BB495" i="3" s="1"/>
  <c r="BG361" i="3"/>
  <c r="BH361" i="3" s="1"/>
  <c r="BG277" i="3"/>
  <c r="L32" i="2" s="1"/>
  <c r="BG403" i="3"/>
  <c r="BH403" i="3" s="1"/>
  <c r="AL304" i="3"/>
  <c r="AL293" i="3" s="1"/>
  <c r="AL482" i="3" s="1"/>
  <c r="AL504" i="3" s="1"/>
  <c r="AI304" i="3"/>
  <c r="AI293" i="3" s="1"/>
  <c r="AI482" i="3" s="1"/>
  <c r="AI504" i="3" s="1"/>
  <c r="AJ243" i="3"/>
  <c r="AJ232" i="3" s="1"/>
  <c r="AJ479" i="3" s="1"/>
  <c r="AJ501" i="3" s="1"/>
  <c r="BG321" i="3"/>
  <c r="BH321" i="3" s="1"/>
  <c r="BG33" i="3"/>
  <c r="D32" i="2" s="1"/>
  <c r="E32" i="2" s="1"/>
  <c r="G32" i="2" s="1"/>
  <c r="AD243" i="3"/>
  <c r="AD232" i="3" s="1"/>
  <c r="AD479" i="3" s="1"/>
  <c r="AD501" i="3" s="1"/>
  <c r="AJ121" i="3"/>
  <c r="AJ110" i="3" s="1"/>
  <c r="AJ473" i="3" s="1"/>
  <c r="AJ495" i="3" s="1"/>
  <c r="AE121" i="3"/>
  <c r="AE110" i="3" s="1"/>
  <c r="AE473" i="3" s="1"/>
  <c r="AE495" i="3" s="1"/>
  <c r="AI182" i="3"/>
  <c r="AI171" i="3" s="1"/>
  <c r="AI476" i="3" s="1"/>
  <c r="AI498" i="3" s="1"/>
  <c r="AB365" i="3"/>
  <c r="AB354" i="3" s="1"/>
  <c r="AL243" i="3"/>
  <c r="AL232" i="3" s="1"/>
  <c r="AL479" i="3" s="1"/>
  <c r="AL501" i="3" s="1"/>
  <c r="AF121" i="3"/>
  <c r="AF110" i="3" s="1"/>
  <c r="AF473" i="3" s="1"/>
  <c r="AF495" i="3" s="1"/>
  <c r="AL182" i="3"/>
  <c r="AL171" i="3" s="1"/>
  <c r="AL476" i="3" s="1"/>
  <c r="AL498" i="3" s="1"/>
  <c r="AE243" i="3"/>
  <c r="AE232" i="3" s="1"/>
  <c r="AE479" i="3" s="1"/>
  <c r="AE501" i="3" s="1"/>
  <c r="BG32" i="3"/>
  <c r="BG118" i="3"/>
  <c r="F54" i="2" s="1"/>
  <c r="AF304" i="3"/>
  <c r="AF293" i="3" s="1"/>
  <c r="AF482" i="3" s="1"/>
  <c r="AF504" i="3" s="1"/>
  <c r="AB426" i="3"/>
  <c r="AB415" i="3" s="1"/>
  <c r="AJ182" i="3"/>
  <c r="AJ171" i="3" s="1"/>
  <c r="AJ476" i="3" s="1"/>
  <c r="AJ498" i="3" s="1"/>
  <c r="BG216" i="3"/>
  <c r="J32" i="2" s="1"/>
  <c r="BG385" i="3"/>
  <c r="BH385" i="3" s="1"/>
  <c r="I411" i="3"/>
  <c r="I413" i="3" s="1"/>
  <c r="I487" i="3" s="1"/>
  <c r="BG270" i="3"/>
  <c r="L25" i="2" s="1"/>
  <c r="AD304" i="3"/>
  <c r="AD293" i="3" s="1"/>
  <c r="AJ304" i="3"/>
  <c r="AJ293" i="3" s="1"/>
  <c r="AJ482" i="3" s="1"/>
  <c r="AJ504" i="3" s="1"/>
  <c r="H375" i="3"/>
  <c r="BG423" i="3"/>
  <c r="BH423" i="3" s="1"/>
  <c r="AH243" i="3"/>
  <c r="AH232" i="3" s="1"/>
  <c r="AH479" i="3" s="1"/>
  <c r="AH501" i="3" s="1"/>
  <c r="AJ289" i="3"/>
  <c r="AJ291" i="3" s="1"/>
  <c r="AJ481" i="3" s="1"/>
  <c r="AJ503" i="3" s="1"/>
  <c r="AG304" i="3"/>
  <c r="AG293" i="3" s="1"/>
  <c r="AG482" i="3" s="1"/>
  <c r="AG504" i="3" s="1"/>
  <c r="AI243" i="3"/>
  <c r="AI232" i="3" s="1"/>
  <c r="AI479" i="3" s="1"/>
  <c r="AI501" i="3" s="1"/>
  <c r="AE304" i="3"/>
  <c r="AE293" i="3" s="1"/>
  <c r="AE482" i="3" s="1"/>
  <c r="AE504" i="3" s="1"/>
  <c r="D56" i="2"/>
  <c r="E56" i="2" s="1"/>
  <c r="G56" i="2" s="1"/>
  <c r="I56" i="2" s="1"/>
  <c r="K56" i="2" s="1"/>
  <c r="M56" i="2" s="1"/>
  <c r="BH59" i="3"/>
  <c r="D120" i="3" s="1"/>
  <c r="AG182" i="3"/>
  <c r="AG171" i="3" s="1"/>
  <c r="AG476" i="3" s="1"/>
  <c r="AG498" i="3" s="1"/>
  <c r="BG31" i="3"/>
  <c r="D30" i="2" s="1"/>
  <c r="E30" i="2" s="1"/>
  <c r="AA60" i="3"/>
  <c r="AA49" i="3" s="1"/>
  <c r="AA470" i="3" s="1"/>
  <c r="AA492" i="3" s="1"/>
  <c r="H106" i="3"/>
  <c r="H108" i="3" s="1"/>
  <c r="H472" i="3" s="1"/>
  <c r="H494" i="3" s="1"/>
  <c r="AH121" i="3"/>
  <c r="AH110" i="3" s="1"/>
  <c r="AH473" i="3" s="1"/>
  <c r="AH495" i="3" s="1"/>
  <c r="AH182" i="3"/>
  <c r="AH171" i="3" s="1"/>
  <c r="AH476" i="3" s="1"/>
  <c r="AH498" i="3" s="1"/>
  <c r="AE182" i="3"/>
  <c r="AE171" i="3" s="1"/>
  <c r="AE476" i="3" s="1"/>
  <c r="AE498" i="3" s="1"/>
  <c r="W60" i="3"/>
  <c r="W49" i="3" s="1"/>
  <c r="W470" i="3" s="1"/>
  <c r="W492" i="3" s="1"/>
  <c r="H289" i="3"/>
  <c r="H291" i="3" s="1"/>
  <c r="H481" i="3" s="1"/>
  <c r="H503" i="3" s="1"/>
  <c r="O151" i="3"/>
  <c r="BG218" i="3"/>
  <c r="J34" i="2" s="1"/>
  <c r="BG275" i="3"/>
  <c r="L30" i="2" s="1"/>
  <c r="BG324" i="3"/>
  <c r="BG360" i="3"/>
  <c r="BH360" i="3" s="1"/>
  <c r="BG56" i="3"/>
  <c r="D53" i="2" s="1"/>
  <c r="E53" i="2" s="1"/>
  <c r="H167" i="3"/>
  <c r="H169" i="3" s="1"/>
  <c r="H475" i="3" s="1"/>
  <c r="H497" i="3" s="1"/>
  <c r="AD365" i="3"/>
  <c r="AD354" i="3" s="1"/>
  <c r="H45" i="3"/>
  <c r="H47" i="3" s="1"/>
  <c r="Q45" i="3"/>
  <c r="Q47" i="3" s="1"/>
  <c r="G81" i="3"/>
  <c r="AO228" i="3"/>
  <c r="AO230" i="3" s="1"/>
  <c r="AH304" i="3"/>
  <c r="AH293" i="3" s="1"/>
  <c r="AH482" i="3" s="1"/>
  <c r="AH504" i="3" s="1"/>
  <c r="AL121" i="3"/>
  <c r="AL110" i="3" s="1"/>
  <c r="AL473" i="3" s="1"/>
  <c r="AL495" i="3" s="1"/>
  <c r="H121" i="3"/>
  <c r="H110" i="3" s="1"/>
  <c r="H473" i="3" s="1"/>
  <c r="H495" i="3" s="1"/>
  <c r="BG279" i="3"/>
  <c r="L34" i="2" s="1"/>
  <c r="E411" i="3"/>
  <c r="E413" i="3" s="1"/>
  <c r="E487" i="3" s="1"/>
  <c r="BG400" i="3"/>
  <c r="BH400" i="3" s="1"/>
  <c r="BG408" i="3"/>
  <c r="BH408" i="3" s="1"/>
  <c r="G20" i="3"/>
  <c r="J45" i="3"/>
  <c r="J47" i="3" s="1"/>
  <c r="J469" i="3" s="1"/>
  <c r="J491" i="3" s="1"/>
  <c r="BG78" i="3"/>
  <c r="F16" i="2" s="1"/>
  <c r="AD121" i="3"/>
  <c r="AD110" i="3" s="1"/>
  <c r="AD473" i="3" s="1"/>
  <c r="AD495" i="3" s="1"/>
  <c r="AI121" i="3"/>
  <c r="AI110" i="3" s="1"/>
  <c r="AI473" i="3" s="1"/>
  <c r="AI495" i="3" s="1"/>
  <c r="AD182" i="3"/>
  <c r="AD171" i="3" s="1"/>
  <c r="AD476" i="3" s="1"/>
  <c r="AD498" i="3" s="1"/>
  <c r="AG243" i="3"/>
  <c r="AG232" i="3" s="1"/>
  <c r="AG479" i="3" s="1"/>
  <c r="AG501" i="3" s="1"/>
  <c r="BG276" i="3"/>
  <c r="L31" i="2" s="1"/>
  <c r="AA426" i="3"/>
  <c r="AA415" i="3" s="1"/>
  <c r="BG435" i="3"/>
  <c r="BH374" i="3"/>
  <c r="BH252" i="3"/>
  <c r="BG374" i="3"/>
  <c r="BG252" i="3"/>
  <c r="BH435" i="3"/>
  <c r="BH313" i="3"/>
  <c r="BH191" i="3"/>
  <c r="K60" i="2"/>
  <c r="C60" i="2"/>
  <c r="D60" i="2" s="1"/>
  <c r="E60" i="2" s="1"/>
  <c r="F60" i="2" s="1"/>
  <c r="G60" i="2" s="1"/>
  <c r="H60" i="2" s="1"/>
  <c r="I60" i="2" s="1"/>
  <c r="J60" i="2" s="1"/>
  <c r="BG191" i="3"/>
  <c r="BH130" i="3"/>
  <c r="BG130" i="3"/>
  <c r="C13" i="1"/>
  <c r="BG313" i="3"/>
  <c r="G56" i="7"/>
  <c r="BH127" i="3"/>
  <c r="BH188" i="3" s="1"/>
  <c r="BH249" i="3" s="1"/>
  <c r="BH310" i="3" s="1"/>
  <c r="K79" i="2"/>
  <c r="A42" i="1"/>
  <c r="A43" i="1" s="1"/>
  <c r="K36" i="1"/>
  <c r="G37" i="5"/>
  <c r="D37" i="5"/>
  <c r="E37" i="5"/>
  <c r="M37" i="5"/>
  <c r="K37" i="5"/>
  <c r="I37" i="5"/>
  <c r="D438" i="3"/>
  <c r="M79" i="2"/>
  <c r="I27" i="1"/>
  <c r="K27" i="1" s="1"/>
  <c r="AS47" i="3"/>
  <c r="AS469" i="3" s="1"/>
  <c r="AS491" i="3" s="1"/>
  <c r="BH88" i="3"/>
  <c r="D88" i="3"/>
  <c r="BG101" i="3"/>
  <c r="AD169" i="3"/>
  <c r="AD475" i="3" s="1"/>
  <c r="AD497" i="3" s="1"/>
  <c r="AT169" i="3"/>
  <c r="AT475" i="3" s="1"/>
  <c r="AT497" i="3" s="1"/>
  <c r="S167" i="3"/>
  <c r="S169" i="3" s="1"/>
  <c r="AY507" i="3"/>
  <c r="AH70" i="3"/>
  <c r="J31" i="1"/>
  <c r="J35" i="1" s="1"/>
  <c r="C28" i="2"/>
  <c r="C45" i="2" s="1"/>
  <c r="D47" i="3"/>
  <c r="D469" i="3" s="1"/>
  <c r="D491" i="3" s="1"/>
  <c r="AU47" i="3"/>
  <c r="AU469" i="3" s="1"/>
  <c r="AU491" i="3" s="1"/>
  <c r="AZ45" i="3"/>
  <c r="AZ47" i="3" s="1"/>
  <c r="AZ469" i="3" s="1"/>
  <c r="AZ491" i="3" s="1"/>
  <c r="BH44" i="3"/>
  <c r="D105" i="3" s="1"/>
  <c r="D43" i="2"/>
  <c r="E43" i="2" s="1"/>
  <c r="G43" i="2" s="1"/>
  <c r="I43" i="2" s="1"/>
  <c r="AI70" i="3"/>
  <c r="BA106" i="3"/>
  <c r="BA108" i="3" s="1"/>
  <c r="F34" i="2"/>
  <c r="BE169" i="3"/>
  <c r="BE475" i="3" s="1"/>
  <c r="BE497" i="3" s="1"/>
  <c r="AD510" i="3"/>
  <c r="I35" i="1"/>
  <c r="I37" i="1" s="1"/>
  <c r="K35" i="1"/>
  <c r="K37" i="1" s="1"/>
  <c r="F28" i="2"/>
  <c r="H32" i="2"/>
  <c r="BE47" i="3"/>
  <c r="AD70" i="3"/>
  <c r="J108" i="3"/>
  <c r="J472" i="3" s="1"/>
  <c r="J494" i="3" s="1"/>
  <c r="BB106" i="3"/>
  <c r="BB108" i="3" s="1"/>
  <c r="BB472" i="3" s="1"/>
  <c r="BB494" i="3" s="1"/>
  <c r="Q169" i="3"/>
  <c r="Q475" i="3" s="1"/>
  <c r="Q497" i="3" s="1"/>
  <c r="Y169" i="3"/>
  <c r="AW169" i="3"/>
  <c r="AW475" i="3" s="1"/>
  <c r="AW497" i="3" s="1"/>
  <c r="H430" i="3"/>
  <c r="H436" i="3"/>
  <c r="P509" i="3"/>
  <c r="P430" i="3"/>
  <c r="AF509" i="3"/>
  <c r="AF436" i="3"/>
  <c r="AZ436" i="3"/>
  <c r="D49" i="3"/>
  <c r="D470" i="3" s="1"/>
  <c r="D492" i="3" s="1"/>
  <c r="BD192" i="3"/>
  <c r="H39" i="2"/>
  <c r="OY38" i="4"/>
  <c r="CC20" i="4"/>
  <c r="CD20" i="4" s="1"/>
  <c r="G4" i="1"/>
  <c r="K14" i="1"/>
  <c r="K15" i="1" s="1"/>
  <c r="I26" i="1"/>
  <c r="I28" i="1" s="1"/>
  <c r="AO70" i="3"/>
  <c r="BH58" i="3"/>
  <c r="D119" i="3" s="1"/>
  <c r="AR108" i="3"/>
  <c r="AR472" i="3" s="1"/>
  <c r="AR494" i="3" s="1"/>
  <c r="AZ108" i="3"/>
  <c r="O90" i="3"/>
  <c r="AG121" i="3"/>
  <c r="AG110" i="3" s="1"/>
  <c r="AG473" i="3" s="1"/>
  <c r="AG495" i="3" s="1"/>
  <c r="BG151" i="3"/>
  <c r="H25" i="2"/>
  <c r="H28" i="2" s="1"/>
  <c r="R192" i="3"/>
  <c r="H16" i="2"/>
  <c r="W192" i="3"/>
  <c r="I18" i="1"/>
  <c r="K18" i="1" s="1"/>
  <c r="K19" i="1" s="1"/>
  <c r="BY20" i="4"/>
  <c r="BX20" i="4"/>
  <c r="CA20" i="4"/>
  <c r="CB20" i="4" s="1"/>
  <c r="BZ20" i="4"/>
  <c r="BW20" i="4"/>
  <c r="GS21" i="5"/>
  <c r="FI22" i="5"/>
  <c r="C74" i="4"/>
  <c r="OY41" i="4"/>
  <c r="U37" i="4"/>
  <c r="TH21" i="4"/>
  <c r="AM22" i="4"/>
  <c r="AQ22" i="4" s="1"/>
  <c r="K26" i="1"/>
  <c r="K28" i="1" s="1"/>
  <c r="K33" i="1"/>
  <c r="D13" i="1" s="1"/>
  <c r="I24" i="2"/>
  <c r="C44" i="2"/>
  <c r="E55" i="2"/>
  <c r="G55" i="2" s="1"/>
  <c r="I55" i="2" s="1"/>
  <c r="K55" i="2" s="1"/>
  <c r="L108" i="3"/>
  <c r="T108" i="3"/>
  <c r="T472" i="3" s="1"/>
  <c r="T494" i="3" s="1"/>
  <c r="AK108" i="3"/>
  <c r="AS108" i="3"/>
  <c r="AS472" i="3" s="1"/>
  <c r="AS494" i="3" s="1"/>
  <c r="J430" i="3"/>
  <c r="AG70" i="3"/>
  <c r="H18" i="2"/>
  <c r="M169" i="3"/>
  <c r="M475" i="3" s="1"/>
  <c r="M497" i="3" s="1"/>
  <c r="AK169" i="3"/>
  <c r="AK475" i="3" s="1"/>
  <c r="AK497" i="3" s="1"/>
  <c r="AS169" i="3"/>
  <c r="AS475" i="3" s="1"/>
  <c r="AS497" i="3" s="1"/>
  <c r="BB169" i="3"/>
  <c r="BB475" i="3" s="1"/>
  <c r="BB497" i="3" s="1"/>
  <c r="H31" i="2"/>
  <c r="H34" i="2"/>
  <c r="AW369" i="3"/>
  <c r="AW506" i="3"/>
  <c r="K253" i="3"/>
  <c r="AA230" i="3"/>
  <c r="AA478" i="3" s="1"/>
  <c r="AA500" i="3" s="1"/>
  <c r="BG214" i="3"/>
  <c r="BB232" i="3"/>
  <c r="BB479" i="3" s="1"/>
  <c r="BB501" i="3" s="1"/>
  <c r="E375" i="3"/>
  <c r="E369" i="3"/>
  <c r="I352" i="3"/>
  <c r="I484" i="3" s="1"/>
  <c r="Q352" i="3"/>
  <c r="Q484" i="3" s="1"/>
  <c r="Y352" i="3"/>
  <c r="Y484" i="3" s="1"/>
  <c r="BB352" i="3"/>
  <c r="BB484" i="3" s="1"/>
  <c r="N506" i="3"/>
  <c r="N375" i="3"/>
  <c r="N369" i="3"/>
  <c r="AJ369" i="3"/>
  <c r="G413" i="3"/>
  <c r="G487" i="3" s="1"/>
  <c r="O413" i="3"/>
  <c r="O487" i="3" s="1"/>
  <c r="W413" i="3"/>
  <c r="W487" i="3" s="1"/>
  <c r="AE413" i="3"/>
  <c r="AE487" i="3" s="1"/>
  <c r="W253" i="3"/>
  <c r="M291" i="3"/>
  <c r="U291" i="3"/>
  <c r="U481" i="3" s="1"/>
  <c r="U503" i="3" s="1"/>
  <c r="S352" i="3"/>
  <c r="S484" i="3" s="1"/>
  <c r="AA506" i="3"/>
  <c r="AA365" i="3"/>
  <c r="AA354" i="3" s="1"/>
  <c r="Q413" i="3"/>
  <c r="Q487" i="3" s="1"/>
  <c r="Y413" i="3"/>
  <c r="Y487" i="3" s="1"/>
  <c r="AG413" i="3"/>
  <c r="AG487" i="3" s="1"/>
  <c r="R430" i="3"/>
  <c r="AV212" i="3"/>
  <c r="BG208" i="3"/>
  <c r="AM291" i="3"/>
  <c r="AU291" i="3"/>
  <c r="AU481" i="3" s="1"/>
  <c r="AU503" i="3" s="1"/>
  <c r="BD291" i="3"/>
  <c r="L375" i="3"/>
  <c r="BH332" i="3"/>
  <c r="C58" i="2"/>
  <c r="D72" i="3" s="1"/>
  <c r="L52" i="6"/>
  <c r="D52" i="6"/>
  <c r="L50" i="6"/>
  <c r="D50" i="6"/>
  <c r="L46" i="6"/>
  <c r="L44" i="6"/>
  <c r="L42" i="6"/>
  <c r="D40" i="6"/>
  <c r="L26" i="6"/>
  <c r="D26" i="6"/>
  <c r="K52" i="6"/>
  <c r="K50" i="6"/>
  <c r="K46" i="6"/>
  <c r="K44" i="6"/>
  <c r="K42" i="6"/>
  <c r="C36" i="6"/>
  <c r="C34" i="6"/>
  <c r="C32" i="6"/>
  <c r="C30" i="6"/>
  <c r="K26" i="6"/>
  <c r="L53" i="6"/>
  <c r="D53" i="6"/>
  <c r="L47" i="6"/>
  <c r="H44" i="6"/>
  <c r="L43" i="6"/>
  <c r="L41" i="6"/>
  <c r="D41" i="6"/>
  <c r="L39" i="6"/>
  <c r="L37" i="6"/>
  <c r="N50" i="6"/>
  <c r="K47" i="6"/>
  <c r="I44" i="6"/>
  <c r="E39" i="6"/>
  <c r="C33" i="6"/>
  <c r="I29" i="6"/>
  <c r="K27" i="6"/>
  <c r="E23" i="6"/>
  <c r="I22" i="6"/>
  <c r="E21" i="6"/>
  <c r="I20" i="6"/>
  <c r="I18" i="6"/>
  <c r="E17" i="6"/>
  <c r="I16" i="6"/>
  <c r="I14" i="6"/>
  <c r="I12" i="6"/>
  <c r="I10" i="6"/>
  <c r="I8" i="6"/>
  <c r="E7" i="6"/>
  <c r="I6" i="6"/>
  <c r="N53" i="6"/>
  <c r="N52" i="6"/>
  <c r="J47" i="6"/>
  <c r="E41" i="6"/>
  <c r="E40" i="6"/>
  <c r="N37" i="6"/>
  <c r="F30" i="6"/>
  <c r="J26" i="6"/>
  <c r="L25" i="6"/>
  <c r="D25" i="6"/>
  <c r="H24" i="6"/>
  <c r="L23" i="6"/>
  <c r="D23" i="6"/>
  <c r="H22" i="6"/>
  <c r="L21" i="6"/>
  <c r="H20" i="6"/>
  <c r="L19" i="6"/>
  <c r="L17" i="6"/>
  <c r="L15" i="6"/>
  <c r="H14" i="6"/>
  <c r="L13" i="6"/>
  <c r="L11" i="6"/>
  <c r="D11" i="6"/>
  <c r="J50" i="6"/>
  <c r="I48" i="6"/>
  <c r="I47" i="6"/>
  <c r="E42" i="6"/>
  <c r="N39" i="6"/>
  <c r="C31" i="6"/>
  <c r="I26" i="6"/>
  <c r="K25" i="6"/>
  <c r="K23" i="6"/>
  <c r="K21" i="6"/>
  <c r="K19" i="6"/>
  <c r="K17" i="6"/>
  <c r="K15" i="6"/>
  <c r="K13" i="6"/>
  <c r="K11" i="6"/>
  <c r="K9" i="6"/>
  <c r="K7" i="6"/>
  <c r="D42" i="7"/>
  <c r="J53" i="6"/>
  <c r="I52" i="6"/>
  <c r="I51" i="6"/>
  <c r="N43" i="6"/>
  <c r="N42" i="6"/>
  <c r="K39" i="6"/>
  <c r="J37" i="6"/>
  <c r="I36" i="6"/>
  <c r="I35" i="6"/>
  <c r="I33" i="6"/>
  <c r="I32" i="6"/>
  <c r="I25" i="6"/>
  <c r="E24" i="6"/>
  <c r="I21" i="6"/>
  <c r="I19" i="6"/>
  <c r="I17" i="6"/>
  <c r="E16" i="6"/>
  <c r="I15" i="6"/>
  <c r="I13" i="6"/>
  <c r="E12" i="6"/>
  <c r="I11" i="6"/>
  <c r="E10" i="6"/>
  <c r="I9" i="6"/>
  <c r="I7" i="6"/>
  <c r="E6" i="6"/>
  <c r="I5" i="6"/>
  <c r="I53" i="6"/>
  <c r="F50" i="6"/>
  <c r="N44" i="6"/>
  <c r="K41" i="6"/>
  <c r="J39" i="6"/>
  <c r="I37" i="6"/>
  <c r="L29" i="6"/>
  <c r="N27" i="6"/>
  <c r="H25" i="6"/>
  <c r="L24" i="6"/>
  <c r="D24" i="6"/>
  <c r="L22" i="6"/>
  <c r="D22" i="6"/>
  <c r="H21" i="6"/>
  <c r="L20" i="6"/>
  <c r="H19" i="6"/>
  <c r="L18" i="6"/>
  <c r="L16" i="6"/>
  <c r="L14" i="6"/>
  <c r="J52" i="6"/>
  <c r="N49" i="6"/>
  <c r="I41" i="6"/>
  <c r="I30" i="6"/>
  <c r="N25" i="6"/>
  <c r="F22" i="6"/>
  <c r="J20" i="6"/>
  <c r="K18" i="6"/>
  <c r="N16" i="6"/>
  <c r="J13" i="6"/>
  <c r="N10" i="6"/>
  <c r="N9" i="6"/>
  <c r="L7" i="6"/>
  <c r="L6" i="6"/>
  <c r="N5" i="6"/>
  <c r="K43" i="6"/>
  <c r="H30" i="6"/>
  <c r="J25" i="6"/>
  <c r="N23" i="6"/>
  <c r="F20" i="6"/>
  <c r="J18" i="6"/>
  <c r="K16" i="6"/>
  <c r="N14" i="6"/>
  <c r="L10" i="6"/>
  <c r="L9" i="6"/>
  <c r="K8" i="6"/>
  <c r="J7" i="6"/>
  <c r="K6" i="6"/>
  <c r="L5" i="6"/>
  <c r="E52" i="6"/>
  <c r="I40" i="6"/>
  <c r="K37" i="6"/>
  <c r="C35" i="6"/>
  <c r="N29" i="6"/>
  <c r="L27" i="6"/>
  <c r="J23" i="6"/>
  <c r="N21" i="6"/>
  <c r="F18" i="6"/>
  <c r="J16" i="6"/>
  <c r="K14" i="6"/>
  <c r="K10" i="6"/>
  <c r="J9" i="6"/>
  <c r="J6" i="6"/>
  <c r="K5" i="6"/>
  <c r="N48" i="6"/>
  <c r="F37" i="6"/>
  <c r="I34" i="6"/>
  <c r="K29" i="6"/>
  <c r="F27" i="6"/>
  <c r="J21" i="6"/>
  <c r="N19" i="6"/>
  <c r="F16" i="6"/>
  <c r="J14" i="6"/>
  <c r="F13" i="6"/>
  <c r="N11" i="6"/>
  <c r="J10" i="6"/>
  <c r="H6" i="6"/>
  <c r="J5" i="6"/>
  <c r="E51" i="6"/>
  <c r="J42" i="6"/>
  <c r="E37" i="6"/>
  <c r="J29" i="6"/>
  <c r="N24" i="6"/>
  <c r="F23" i="6"/>
  <c r="J19" i="6"/>
  <c r="N17" i="6"/>
  <c r="F14" i="6"/>
  <c r="N12" i="6"/>
  <c r="J11" i="6"/>
  <c r="H10" i="6"/>
  <c r="D41" i="7"/>
  <c r="K53" i="6"/>
  <c r="C51" i="6"/>
  <c r="N47" i="6"/>
  <c r="I42" i="6"/>
  <c r="I39" i="6"/>
  <c r="I31" i="6"/>
  <c r="N26" i="6"/>
  <c r="K24" i="6"/>
  <c r="N22" i="6"/>
  <c r="F21" i="6"/>
  <c r="J17" i="6"/>
  <c r="N15" i="6"/>
  <c r="L12" i="6"/>
  <c r="H11" i="6"/>
  <c r="F6" i="6"/>
  <c r="E53" i="6"/>
  <c r="E50" i="6"/>
  <c r="J44" i="6"/>
  <c r="J41" i="6"/>
  <c r="E26" i="6"/>
  <c r="F24" i="6"/>
  <c r="J22" i="6"/>
  <c r="K20" i="6"/>
  <c r="N18" i="6"/>
  <c r="N13" i="6"/>
  <c r="J12" i="6"/>
  <c r="F11" i="6"/>
  <c r="N8" i="6"/>
  <c r="N7" i="6"/>
  <c r="N6" i="6"/>
  <c r="J24" i="6"/>
  <c r="N41" i="6"/>
  <c r="K22" i="6"/>
  <c r="D10" i="6"/>
  <c r="N20" i="6"/>
  <c r="J15" i="6"/>
  <c r="K12" i="6"/>
  <c r="BH25" i="3"/>
  <c r="BG90" i="3"/>
  <c r="H228" i="3"/>
  <c r="H230" i="3" s="1"/>
  <c r="G291" i="3"/>
  <c r="G481" i="3" s="1"/>
  <c r="G503" i="3" s="1"/>
  <c r="W291" i="3"/>
  <c r="W481" i="3" s="1"/>
  <c r="W503" i="3" s="1"/>
  <c r="AX506" i="3"/>
  <c r="AX369" i="3"/>
  <c r="BF369" i="3"/>
  <c r="BF375" i="3"/>
  <c r="J506" i="3"/>
  <c r="J369" i="3"/>
  <c r="J375" i="3"/>
  <c r="AD506" i="3"/>
  <c r="T369" i="3"/>
  <c r="AI436" i="3"/>
  <c r="AH430" i="3"/>
  <c r="AJ70" i="3"/>
  <c r="K314" i="3"/>
  <c r="AE352" i="3"/>
  <c r="AE484" i="3" s="1"/>
  <c r="AY352" i="3"/>
  <c r="AY484" i="3" s="1"/>
  <c r="L509" i="3"/>
  <c r="L436" i="3"/>
  <c r="L430" i="3"/>
  <c r="T430" i="3"/>
  <c r="T509" i="3"/>
  <c r="AB509" i="3"/>
  <c r="AJ436" i="3"/>
  <c r="AJ509" i="3"/>
  <c r="AJ430" i="3"/>
  <c r="BD509" i="3"/>
  <c r="BD436" i="3"/>
  <c r="BA411" i="3"/>
  <c r="BA413" i="3" s="1"/>
  <c r="BA487" i="3" s="1"/>
  <c r="AQ169" i="3"/>
  <c r="AQ475" i="3" s="1"/>
  <c r="AQ497" i="3" s="1"/>
  <c r="BB182" i="3"/>
  <c r="Q230" i="3"/>
  <c r="Y230" i="3"/>
  <c r="J314" i="3"/>
  <c r="BE304" i="3"/>
  <c r="BE293" i="3" s="1"/>
  <c r="BE482" i="3" s="1"/>
  <c r="BE504" i="3" s="1"/>
  <c r="G352" i="3"/>
  <c r="G484" i="3" s="1"/>
  <c r="O352" i="3"/>
  <c r="O484" i="3" s="1"/>
  <c r="W352" i="3"/>
  <c r="W484" i="3" s="1"/>
  <c r="AF352" i="3"/>
  <c r="AF484" i="3" s="1"/>
  <c r="AZ352" i="3"/>
  <c r="AZ484" i="3" s="1"/>
  <c r="BG359" i="3"/>
  <c r="M413" i="3"/>
  <c r="M487" i="3" s="1"/>
  <c r="U413" i="3"/>
  <c r="U487" i="3" s="1"/>
  <c r="AC413" i="3"/>
  <c r="AC487" i="3" s="1"/>
  <c r="AW413" i="3"/>
  <c r="AW487" i="3" s="1"/>
  <c r="BE413" i="3"/>
  <c r="BE487" i="3" s="1"/>
  <c r="BH393" i="3"/>
  <c r="Z411" i="3"/>
  <c r="Z413" i="3" s="1"/>
  <c r="Z487" i="3" s="1"/>
  <c r="BB509" i="3"/>
  <c r="BC182" i="3"/>
  <c r="BC171" i="3" s="1"/>
  <c r="BC476" i="3" s="1"/>
  <c r="BC498" i="3" s="1"/>
  <c r="AQ230" i="3"/>
  <c r="AQ478" i="3" s="1"/>
  <c r="AQ500" i="3" s="1"/>
  <c r="BB228" i="3"/>
  <c r="BB230" i="3" s="1"/>
  <c r="BB478" i="3" s="1"/>
  <c r="BB500" i="3" s="1"/>
  <c r="H506" i="3"/>
  <c r="H369" i="3"/>
  <c r="P506" i="3"/>
  <c r="P369" i="3"/>
  <c r="X506" i="3"/>
  <c r="X369" i="3"/>
  <c r="AG352" i="3"/>
  <c r="AG484" i="3" s="1"/>
  <c r="AH506" i="3"/>
  <c r="AH369" i="3"/>
  <c r="AH375" i="3"/>
  <c r="BE506" i="3"/>
  <c r="N509" i="3"/>
  <c r="N430" i="3"/>
  <c r="N436" i="3"/>
  <c r="V509" i="3"/>
  <c r="V430" i="3"/>
  <c r="BF413" i="3"/>
  <c r="BF487" i="3" s="1"/>
  <c r="S436" i="3"/>
  <c r="S509" i="3"/>
  <c r="S430" i="3"/>
  <c r="AA509" i="3"/>
  <c r="AI430" i="3"/>
  <c r="BD430" i="3"/>
  <c r="Z350" i="3"/>
  <c r="Z352" i="3" s="1"/>
  <c r="Z484" i="3" s="1"/>
  <c r="BG420" i="3"/>
  <c r="MZ16" i="4"/>
  <c r="MX17" i="4"/>
  <c r="H243" i="3"/>
  <c r="H232" i="3" s="1"/>
  <c r="H479" i="3" s="1"/>
  <c r="H501" i="3" s="1"/>
  <c r="BG421" i="3"/>
  <c r="JQ22" i="4"/>
  <c r="JQ23" i="4" s="1"/>
  <c r="BG382" i="3"/>
  <c r="O212" i="3"/>
  <c r="BG362" i="3"/>
  <c r="KW31" i="4"/>
  <c r="V43" i="3" s="1"/>
  <c r="V45" i="3" s="1"/>
  <c r="V47" i="3" s="1"/>
  <c r="V469" i="3" s="1"/>
  <c r="V491" i="3" s="1"/>
  <c r="BD375" i="3"/>
  <c r="BE426" i="3"/>
  <c r="BE415" i="3" s="1"/>
  <c r="NG20" i="4"/>
  <c r="NG21" i="4" s="1"/>
  <c r="BF426" i="3"/>
  <c r="BF415" i="3" s="1"/>
  <c r="II22" i="4"/>
  <c r="II23" i="4" s="1"/>
  <c r="R253" i="3" s="1"/>
  <c r="V62" i="4"/>
  <c r="V38" i="4"/>
  <c r="V34" i="4"/>
  <c r="W17" i="4"/>
  <c r="FQ23" i="4"/>
  <c r="N314" i="3" s="1"/>
  <c r="FQ21" i="4"/>
  <c r="UG24" i="4"/>
  <c r="KD19" i="4"/>
  <c r="KD20" i="4" s="1"/>
  <c r="ID20" i="4"/>
  <c r="IF16" i="4"/>
  <c r="SW24" i="4"/>
  <c r="AG226" i="3" s="1"/>
  <c r="AG228" i="3" s="1"/>
  <c r="AG230" i="3" s="1"/>
  <c r="AG478" i="3" s="1"/>
  <c r="AG500" i="3" s="1"/>
  <c r="KI20" i="4"/>
  <c r="U192" i="3" s="1"/>
  <c r="KI19" i="4"/>
  <c r="NL20" i="4"/>
  <c r="NL21" i="4" s="1"/>
  <c r="QH20" i="4"/>
  <c r="QH21" i="4" s="1"/>
  <c r="JO22" i="4"/>
  <c r="JO23" i="4"/>
  <c r="T131" i="3" s="1"/>
  <c r="PI21" i="4"/>
  <c r="UT25" i="4"/>
  <c r="UT23" i="4"/>
  <c r="AM226" i="3" s="1"/>
  <c r="AM228" i="3" s="1"/>
  <c r="AM230" i="3" s="1"/>
  <c r="AM478" i="3" s="1"/>
  <c r="AM500" i="3" s="1"/>
  <c r="IE22" i="4"/>
  <c r="R104" i="3" s="1"/>
  <c r="R106" i="3" s="1"/>
  <c r="R108" i="3" s="1"/>
  <c r="R472" i="3" s="1"/>
  <c r="R494" i="3" s="1"/>
  <c r="KE19" i="4"/>
  <c r="U43" i="3" s="1"/>
  <c r="U45" i="3" s="1"/>
  <c r="U47" i="3" s="1"/>
  <c r="U469" i="3" s="1"/>
  <c r="U491" i="3" s="1"/>
  <c r="LP22" i="4"/>
  <c r="LR16" i="4"/>
  <c r="VB28" i="4"/>
  <c r="VD16" i="4"/>
  <c r="GI30" i="4"/>
  <c r="O287" i="3" s="1"/>
  <c r="O289" i="3" s="1"/>
  <c r="O291" i="3" s="1"/>
  <c r="O481" i="3" s="1"/>
  <c r="O503" i="3" s="1"/>
  <c r="IU19" i="4"/>
  <c r="IV17" i="4"/>
  <c r="SV17" i="4"/>
  <c r="SZ18" i="4"/>
  <c r="TB18" i="4" s="1"/>
  <c r="TD18" i="4" s="1"/>
  <c r="FI21" i="4"/>
  <c r="N43" i="3" s="1"/>
  <c r="N45" i="3" s="1"/>
  <c r="N47" i="3" s="1"/>
  <c r="BH16" i="4"/>
  <c r="BF22" i="4"/>
  <c r="BF24" i="4" s="1"/>
  <c r="KF19" i="4"/>
  <c r="KF20" i="4" s="1"/>
  <c r="WN20" i="4"/>
  <c r="WN21" i="4" s="1"/>
  <c r="LA31" i="4"/>
  <c r="LA32" i="4" s="1"/>
  <c r="SX17" i="4"/>
  <c r="SZ17" i="4" s="1"/>
  <c r="TB17" i="4" s="1"/>
  <c r="TD17" i="4" s="1"/>
  <c r="FH23" i="4"/>
  <c r="FH21" i="4"/>
  <c r="FJ20" i="4"/>
  <c r="NW26" i="4"/>
  <c r="NW28" i="4" s="1"/>
  <c r="NW31" i="4" s="1"/>
  <c r="SB20" i="4"/>
  <c r="SB24" i="4" s="1"/>
  <c r="SB26" i="4" s="1"/>
  <c r="SF16" i="4"/>
  <c r="SD20" i="4"/>
  <c r="SD24" i="4" s="1"/>
  <c r="SD26" i="4" s="1"/>
  <c r="WO20" i="4"/>
  <c r="AP287" i="3" s="1"/>
  <c r="AP289" i="3" s="1"/>
  <c r="AP291" i="3" s="1"/>
  <c r="AP481" i="3" s="1"/>
  <c r="AP503" i="3" s="1"/>
  <c r="WO21" i="4"/>
  <c r="BL17" i="4"/>
  <c r="BN17" i="4" s="1"/>
  <c r="BP17" i="4" s="1"/>
  <c r="BR17" i="4" s="1"/>
  <c r="TR19" i="4"/>
  <c r="F18" i="4"/>
  <c r="JW22" i="4"/>
  <c r="JW23" i="4" s="1"/>
  <c r="T375" i="3" s="1"/>
  <c r="WG20" i="4"/>
  <c r="WG21" i="4"/>
  <c r="JA21" i="4"/>
  <c r="S226" i="3" s="1"/>
  <c r="S228" i="3" s="1"/>
  <c r="S230" i="3" s="1"/>
  <c r="S478" i="3" s="1"/>
  <c r="S500" i="3" s="1"/>
  <c r="JL22" i="4"/>
  <c r="JL23" i="4" s="1"/>
  <c r="SC28" i="4"/>
  <c r="AF165" i="3" s="1"/>
  <c r="AF167" i="3" s="1"/>
  <c r="AF169" i="3" s="1"/>
  <c r="AF475" i="3" s="1"/>
  <c r="AF497" i="3" s="1"/>
  <c r="SY20" i="4"/>
  <c r="SY22" i="4" s="1"/>
  <c r="CP21" i="4"/>
  <c r="CR17" i="4"/>
  <c r="ET19" i="4"/>
  <c r="ET21" i="4" s="1"/>
  <c r="EV17" i="4"/>
  <c r="ES17" i="4"/>
  <c r="KQ20" i="4"/>
  <c r="PV20" i="4"/>
  <c r="PV21" i="4" s="1"/>
  <c r="JY22" i="4"/>
  <c r="JY23" i="4" s="1"/>
  <c r="T436" i="3" s="1"/>
  <c r="EA21" i="4"/>
  <c r="EA22" i="4"/>
  <c r="L131" i="3" s="1"/>
  <c r="DX21" i="4"/>
  <c r="DX22" i="4" s="1"/>
  <c r="DZ20" i="4"/>
  <c r="FJ18" i="4"/>
  <c r="MG20" i="4"/>
  <c r="MG25" i="4" s="1"/>
  <c r="MG27" i="4" s="1"/>
  <c r="MH16" i="4"/>
  <c r="GA25" i="4"/>
  <c r="GA28" i="4" s="1"/>
  <c r="GB17" i="4"/>
  <c r="RN21" i="4"/>
  <c r="RN25" i="4" s="1"/>
  <c r="RN27" i="4" s="1"/>
  <c r="RM17" i="4"/>
  <c r="MS29" i="4"/>
  <c r="MS31" i="4"/>
  <c r="X436" i="3" s="1"/>
  <c r="AR16" i="4"/>
  <c r="AO16" i="4"/>
  <c r="DY21" i="4"/>
  <c r="L43" i="3" s="1"/>
  <c r="L45" i="3" s="1"/>
  <c r="L47" i="3" s="1"/>
  <c r="L469" i="3" s="1"/>
  <c r="L491" i="3" s="1"/>
  <c r="SG28" i="4"/>
  <c r="AF287" i="3" s="1"/>
  <c r="AF289" i="3" s="1"/>
  <c r="AF291" i="3" s="1"/>
  <c r="AF481" i="3" s="1"/>
  <c r="AF503" i="3" s="1"/>
  <c r="VZ20" i="4"/>
  <c r="AO287" i="3" s="1"/>
  <c r="AO289" i="3" s="1"/>
  <c r="AO291" i="3" s="1"/>
  <c r="AO481" i="3" s="1"/>
  <c r="AO503" i="3" s="1"/>
  <c r="F17" i="4"/>
  <c r="KG20" i="4"/>
  <c r="PX20" i="4"/>
  <c r="PX21" i="4" s="1"/>
  <c r="QF20" i="4"/>
  <c r="QF21" i="4" s="1"/>
  <c r="PB19" i="4"/>
  <c r="CJ23" i="4"/>
  <c r="CJ24" i="4" s="1"/>
  <c r="CJ36" i="4" s="1"/>
  <c r="CI24" i="4"/>
  <c r="VX21" i="4"/>
  <c r="SW42" i="4"/>
  <c r="AH226" i="3" s="1"/>
  <c r="AH228" i="3" s="1"/>
  <c r="AH230" i="3" s="1"/>
  <c r="AH478" i="3" s="1"/>
  <c r="AH500" i="3" s="1"/>
  <c r="BE22" i="4"/>
  <c r="BE24" i="4" s="1"/>
  <c r="BM22" i="4"/>
  <c r="BM24" i="4" s="1"/>
  <c r="FL16" i="4"/>
  <c r="HL16" i="4"/>
  <c r="IC23" i="4"/>
  <c r="IC22" i="4"/>
  <c r="R43" i="3" s="1"/>
  <c r="R45" i="3" s="1"/>
  <c r="R47" i="3" s="1"/>
  <c r="R469" i="3" s="1"/>
  <c r="R491" i="3" s="1"/>
  <c r="KH16" i="4"/>
  <c r="MF20" i="4"/>
  <c r="MF25" i="4" s="1"/>
  <c r="MF27" i="4" s="1"/>
  <c r="SA28" i="4"/>
  <c r="AF104" i="3" s="1"/>
  <c r="AF106" i="3" s="1"/>
  <c r="AF108" i="3" s="1"/>
  <c r="AF472" i="3" s="1"/>
  <c r="AF494" i="3" s="1"/>
  <c r="WA20" i="4"/>
  <c r="WA21" i="4" s="1"/>
  <c r="FZ25" i="4"/>
  <c r="FZ28" i="4" s="1"/>
  <c r="IT19" i="4"/>
  <c r="KP20" i="4"/>
  <c r="QJ17" i="4"/>
  <c r="QJ18" i="4" s="1"/>
  <c r="DJ18" i="4"/>
  <c r="FO21" i="4"/>
  <c r="FO23" i="4" s="1"/>
  <c r="N253" i="3" s="1"/>
  <c r="WF20" i="4"/>
  <c r="WF21" i="4" s="1"/>
  <c r="KP19" i="4"/>
  <c r="QR19" i="4"/>
  <c r="RK19" i="4"/>
  <c r="RI19" i="4"/>
  <c r="RI21" i="4" s="1"/>
  <c r="RI25" i="4" s="1"/>
  <c r="RI27" i="4" s="1"/>
  <c r="TJ19" i="4"/>
  <c r="VG19" i="4"/>
  <c r="VH23" i="4"/>
  <c r="H20" i="4"/>
  <c r="KO20" i="4"/>
  <c r="PD20" i="4"/>
  <c r="RK20" i="4"/>
  <c r="RI20" i="4"/>
  <c r="TC24" i="4"/>
  <c r="TC26" i="4" s="1"/>
  <c r="W21" i="4"/>
  <c r="NJ21" i="4"/>
  <c r="VR21" i="4"/>
  <c r="EG22" i="4"/>
  <c r="MJ22" i="4"/>
  <c r="ML22" i="4" s="1"/>
  <c r="MN22" i="4" s="1"/>
  <c r="MP22" i="4" s="1"/>
  <c r="MR22" i="4" s="1"/>
  <c r="MT22" i="4" s="1"/>
  <c r="MT25" i="4" s="1"/>
  <c r="MT27" i="4" s="1"/>
  <c r="IM23" i="4"/>
  <c r="R375" i="3" s="1"/>
  <c r="KZ23" i="4"/>
  <c r="LB23" i="4" s="1"/>
  <c r="LD23" i="4" s="1"/>
  <c r="LF23" i="4" s="1"/>
  <c r="OH34" i="4"/>
  <c r="OH35" i="4"/>
  <c r="BG22" i="4"/>
  <c r="BG24" i="4" s="1"/>
  <c r="VC31" i="4"/>
  <c r="VC30" i="4"/>
  <c r="AN43" i="3" s="1"/>
  <c r="AN45" i="3" s="1"/>
  <c r="AN47" i="3" s="1"/>
  <c r="AN469" i="3" s="1"/>
  <c r="AN491" i="3" s="1"/>
  <c r="MY17" i="4"/>
  <c r="QB20" i="4"/>
  <c r="QB21" i="4" s="1"/>
  <c r="RO17" i="4"/>
  <c r="ES18" i="4"/>
  <c r="NY26" i="4"/>
  <c r="NY28" i="4" s="1"/>
  <c r="NY31" i="4" s="1"/>
  <c r="OZ21" i="4"/>
  <c r="VU20" i="4"/>
  <c r="VU21" i="4" s="1"/>
  <c r="WH21" i="4"/>
  <c r="JC21" i="4"/>
  <c r="JC22" i="4"/>
  <c r="S314" i="3" s="1"/>
  <c r="KG19" i="4"/>
  <c r="U104" i="3" s="1"/>
  <c r="U106" i="3" s="1"/>
  <c r="U108" i="3" s="1"/>
  <c r="U472" i="3" s="1"/>
  <c r="U494" i="3" s="1"/>
  <c r="NI20" i="4"/>
  <c r="NI21" i="4" s="1"/>
  <c r="Y375" i="3" s="1"/>
  <c r="RM19" i="4"/>
  <c r="SX19" i="4"/>
  <c r="SZ19" i="4" s="1"/>
  <c r="TB19" i="4" s="1"/>
  <c r="TD19" i="4" s="1"/>
  <c r="AO22" i="4"/>
  <c r="AO23" i="4"/>
  <c r="IK23" i="4"/>
  <c r="MK34" i="4"/>
  <c r="MK29" i="4"/>
  <c r="MK31" i="4" s="1"/>
  <c r="RM20" i="4"/>
  <c r="CN21" i="4"/>
  <c r="RQ25" i="4"/>
  <c r="RQ27" i="4" s="1"/>
  <c r="RQ31" i="4" s="1"/>
  <c r="FB25" i="4"/>
  <c r="FB27" i="4" s="1"/>
  <c r="UE26" i="4"/>
  <c r="UE27" i="4" s="1"/>
  <c r="GK31" i="4"/>
  <c r="NP32" i="4"/>
  <c r="NP33" i="4"/>
  <c r="F35" i="4"/>
  <c r="OS39" i="4"/>
  <c r="OS40" i="4" s="1"/>
  <c r="TC42" i="4"/>
  <c r="TC44" i="4" s="1"/>
  <c r="MI25" i="4"/>
  <c r="MI27" i="4" s="1"/>
  <c r="SS20" i="4"/>
  <c r="SS22" i="4" s="1"/>
  <c r="CO21" i="4"/>
  <c r="GC30" i="4"/>
  <c r="O104" i="3" s="1"/>
  <c r="KK19" i="4"/>
  <c r="KK20" i="4" s="1"/>
  <c r="RH29" i="4"/>
  <c r="RH31" i="4" s="1"/>
  <c r="JS22" i="4"/>
  <c r="JS23" i="4" s="1"/>
  <c r="T253" i="3" s="1"/>
  <c r="PA21" i="4"/>
  <c r="PK21" i="4"/>
  <c r="PK35" i="4" s="1"/>
  <c r="QD21" i="4"/>
  <c r="VV20" i="4"/>
  <c r="VV21" i="4"/>
  <c r="SF19" i="4"/>
  <c r="SH19" i="4" s="1"/>
  <c r="SJ19" i="4" s="1"/>
  <c r="SL19" i="4" s="1"/>
  <c r="FM21" i="4"/>
  <c r="FM23" i="4"/>
  <c r="WM20" i="4"/>
  <c r="AP226" i="3" s="1"/>
  <c r="AP228" i="3" s="1"/>
  <c r="AP230" i="3" s="1"/>
  <c r="AP478" i="3" s="1"/>
  <c r="AP500" i="3" s="1"/>
  <c r="FD25" i="4"/>
  <c r="FD27" i="4" s="1"/>
  <c r="PZ21" i="4"/>
  <c r="GR27" i="4"/>
  <c r="GR29" i="4" s="1"/>
  <c r="GR31" i="4" s="1"/>
  <c r="GR33" i="4" s="1"/>
  <c r="GM30" i="4"/>
  <c r="GM31" i="4" s="1"/>
  <c r="O436" i="3" s="1"/>
  <c r="PJ32" i="4"/>
  <c r="RN34" i="4"/>
  <c r="RL36" i="4"/>
  <c r="BI22" i="4"/>
  <c r="BI24" i="4" s="1"/>
  <c r="SE20" i="4"/>
  <c r="SE24" i="4" s="1"/>
  <c r="SE26" i="4" s="1"/>
  <c r="ST16" i="4"/>
  <c r="ST20" i="4" s="1"/>
  <c r="ST22" i="4" s="1"/>
  <c r="KV31" i="4"/>
  <c r="KV32" i="4" s="1"/>
  <c r="TI19" i="4"/>
  <c r="X18" i="4"/>
  <c r="FK21" i="4"/>
  <c r="FK23" i="4" s="1"/>
  <c r="PB18" i="4"/>
  <c r="WJ21" i="4"/>
  <c r="F19" i="4"/>
  <c r="V63" i="4"/>
  <c r="MM34" i="4"/>
  <c r="MM29" i="4"/>
  <c r="MM31" i="4" s="1"/>
  <c r="NE20" i="4"/>
  <c r="VW20" i="4"/>
  <c r="VW21" i="4" s="1"/>
  <c r="KZ21" i="4"/>
  <c r="LB21" i="4" s="1"/>
  <c r="LD21" i="4" s="1"/>
  <c r="LF21" i="4" s="1"/>
  <c r="IY22" i="4"/>
  <c r="SF22" i="4"/>
  <c r="SH22" i="4" s="1"/>
  <c r="SJ22" i="4" s="1"/>
  <c r="SL22" i="4" s="1"/>
  <c r="VK30" i="4"/>
  <c r="VK31" i="4" s="1"/>
  <c r="GY35" i="4"/>
  <c r="GY37" i="4" s="1"/>
  <c r="P253" i="3" s="1"/>
  <c r="RZ30" i="4"/>
  <c r="SD35" i="4"/>
  <c r="SE33" i="4"/>
  <c r="SC33" i="4"/>
  <c r="SV47" i="4"/>
  <c r="DZ16" i="4"/>
  <c r="JN16" i="4"/>
  <c r="SU20" i="4"/>
  <c r="SU22" i="4" s="1"/>
  <c r="WP16" i="4"/>
  <c r="WP18" i="4" s="1"/>
  <c r="EP19" i="4"/>
  <c r="EP21" i="4" s="1"/>
  <c r="EP23" i="4" s="1"/>
  <c r="GE30" i="4"/>
  <c r="O165" i="3" s="1"/>
  <c r="LJ25" i="4"/>
  <c r="LJ28" i="4" s="1"/>
  <c r="LJ30" i="4" s="1"/>
  <c r="RJ21" i="4"/>
  <c r="RJ25" i="4" s="1"/>
  <c r="RJ27" i="4" s="1"/>
  <c r="DF25" i="4"/>
  <c r="DF26" i="4" s="1"/>
  <c r="OH21" i="4"/>
  <c r="OH24" i="4" s="1"/>
  <c r="PC21" i="4"/>
  <c r="IW22" i="4"/>
  <c r="NA19" i="4"/>
  <c r="W63" i="4"/>
  <c r="EL22" i="4"/>
  <c r="EL21" i="4"/>
  <c r="JU22" i="4"/>
  <c r="JU23" i="4" s="1"/>
  <c r="T314" i="3" s="1"/>
  <c r="MO29" i="4"/>
  <c r="MO31" i="4"/>
  <c r="MO34" i="4"/>
  <c r="EC21" i="4"/>
  <c r="EC22" i="4" s="1"/>
  <c r="L192" i="3" s="1"/>
  <c r="WK21" i="4"/>
  <c r="GT24" i="4"/>
  <c r="PB24" i="4"/>
  <c r="OZ27" i="4"/>
  <c r="Z25" i="4"/>
  <c r="H28" i="4"/>
  <c r="HA35" i="4"/>
  <c r="HA37" i="4" s="1"/>
  <c r="NU32" i="4"/>
  <c r="NU33" i="4" s="1"/>
  <c r="Z192" i="3" s="1"/>
  <c r="OL34" i="4"/>
  <c r="OL35" i="4" s="1"/>
  <c r="L40" i="4"/>
  <c r="SZ65" i="4"/>
  <c r="SY67" i="4"/>
  <c r="BK22" i="4"/>
  <c r="BK24" i="4" s="1"/>
  <c r="KX17" i="4"/>
  <c r="NC19" i="4"/>
  <c r="NK21" i="4"/>
  <c r="Y436" i="3" s="1"/>
  <c r="RK17" i="4"/>
  <c r="TL19" i="4"/>
  <c r="DG23" i="4"/>
  <c r="OJ21" i="4"/>
  <c r="OJ24" i="4" s="1"/>
  <c r="PE21" i="4"/>
  <c r="RO18" i="4"/>
  <c r="RM18" i="4"/>
  <c r="SF18" i="4"/>
  <c r="SH18" i="4" s="1"/>
  <c r="SJ18" i="4" s="1"/>
  <c r="SL18" i="4" s="1"/>
  <c r="UM21" i="4"/>
  <c r="UO18" i="4"/>
  <c r="VQ21" i="4"/>
  <c r="OU29" i="4"/>
  <c r="X20" i="4"/>
  <c r="KM20" i="4"/>
  <c r="U314" i="3" s="1"/>
  <c r="TA24" i="4"/>
  <c r="TA26" i="4"/>
  <c r="AG375" i="3" s="1"/>
  <c r="VY20" i="4"/>
  <c r="VY21" i="4" s="1"/>
  <c r="MH23" i="4"/>
  <c r="MJ23" i="4" s="1"/>
  <c r="ML23" i="4" s="1"/>
  <c r="MN23" i="4" s="1"/>
  <c r="MP23" i="4" s="1"/>
  <c r="MR23" i="4" s="1"/>
  <c r="MT23" i="4" s="1"/>
  <c r="VL23" i="4"/>
  <c r="PD31" i="4"/>
  <c r="IB23" i="4"/>
  <c r="IB22" i="4"/>
  <c r="LN22" i="4"/>
  <c r="D46" i="4"/>
  <c r="ER19" i="4"/>
  <c r="ER21" i="4" s="1"/>
  <c r="KY31" i="4"/>
  <c r="KY32" i="4" s="1"/>
  <c r="V131" i="3" s="1"/>
  <c r="TN19" i="4"/>
  <c r="UN25" i="4"/>
  <c r="UN23" i="4"/>
  <c r="AM43" i="3" s="1"/>
  <c r="AM45" i="3" s="1"/>
  <c r="AM47" i="3" s="1"/>
  <c r="AM469" i="3" s="1"/>
  <c r="AM491" i="3" s="1"/>
  <c r="NE21" i="4"/>
  <c r="SK28" i="4"/>
  <c r="SK30" i="4"/>
  <c r="EE22" i="4"/>
  <c r="SI28" i="4"/>
  <c r="SI30" i="4" s="1"/>
  <c r="F25" i="4"/>
  <c r="W28" i="4"/>
  <c r="SV28" i="4"/>
  <c r="SU31" i="4"/>
  <c r="HE35" i="4"/>
  <c r="HE37" i="4" s="1"/>
  <c r="P436" i="3" s="1"/>
  <c r="PI33" i="4"/>
  <c r="AO34" i="4"/>
  <c r="IW21" i="4"/>
  <c r="S104" i="3" s="1"/>
  <c r="S106" i="3" s="1"/>
  <c r="S108" i="3" s="1"/>
  <c r="S472" i="3" s="1"/>
  <c r="S494" i="3" s="1"/>
  <c r="VS21" i="4"/>
  <c r="WL21" i="4"/>
  <c r="EU25" i="4"/>
  <c r="EU27" i="4" s="1"/>
  <c r="M192" i="3" s="1"/>
  <c r="FC25" i="4"/>
  <c r="FC27" i="4" s="1"/>
  <c r="F27" i="4"/>
  <c r="PA27" i="4"/>
  <c r="NS32" i="4"/>
  <c r="NS33" i="4" s="1"/>
  <c r="Z131" i="3" s="1"/>
  <c r="LC31" i="4"/>
  <c r="LC32" i="4" s="1"/>
  <c r="V253" i="3" s="1"/>
  <c r="SS42" i="4"/>
  <c r="AH104" i="3" s="1"/>
  <c r="AH106" i="3" s="1"/>
  <c r="AH108" i="3" s="1"/>
  <c r="AH472" i="3" s="1"/>
  <c r="AH494" i="3" s="1"/>
  <c r="TN35" i="4"/>
  <c r="H37" i="4"/>
  <c r="SW49" i="4"/>
  <c r="SX46" i="4"/>
  <c r="VI21" i="4"/>
  <c r="AN240" i="3" s="1"/>
  <c r="AN243" i="3" s="1"/>
  <c r="AN232" i="3" s="1"/>
  <c r="AN479" i="3" s="1"/>
  <c r="AN501" i="3" s="1"/>
  <c r="ES22" i="4"/>
  <c r="IK22" i="4"/>
  <c r="TY24" i="4"/>
  <c r="PC27" i="4"/>
  <c r="PM27" i="4"/>
  <c r="PM35" i="4" s="1"/>
  <c r="EY27" i="4"/>
  <c r="NT33" i="4"/>
  <c r="ST38" i="4"/>
  <c r="ST40" i="4" s="1"/>
  <c r="OU40" i="4"/>
  <c r="HF37" i="4"/>
  <c r="PB38" i="4"/>
  <c r="PG21" i="4"/>
  <c r="TZ24" i="4"/>
  <c r="EW25" i="4"/>
  <c r="EW27" i="4" s="1"/>
  <c r="M253" i="3" s="1"/>
  <c r="TX26" i="4"/>
  <c r="PI27" i="4"/>
  <c r="LE31" i="4"/>
  <c r="LE32" i="4" s="1"/>
  <c r="V314" i="3" s="1"/>
  <c r="PA33" i="4"/>
  <c r="SU38" i="4"/>
  <c r="SU40" i="4" s="1"/>
  <c r="SV34" i="4"/>
  <c r="OV39" i="4"/>
  <c r="OV40" i="4" s="1"/>
  <c r="L39" i="4"/>
  <c r="Z71" i="4"/>
  <c r="AB43" i="4"/>
  <c r="V70" i="4"/>
  <c r="W50" i="4"/>
  <c r="X22" i="4"/>
  <c r="E23" i="4"/>
  <c r="F24" i="4"/>
  <c r="PE27" i="4"/>
  <c r="UA26" i="4"/>
  <c r="UA27" i="4"/>
  <c r="LG31" i="4"/>
  <c r="LG32" i="4" s="1"/>
  <c r="AU27" i="4"/>
  <c r="HC35" i="4"/>
  <c r="HC37" i="4"/>
  <c r="P375" i="3" s="1"/>
  <c r="KZ27" i="4"/>
  <c r="LB27" i="4" s="1"/>
  <c r="LD27" i="4" s="1"/>
  <c r="LF27" i="4" s="1"/>
  <c r="LH31" i="4"/>
  <c r="LH32" i="4" s="1"/>
  <c r="TI31" i="4"/>
  <c r="PB30" i="4"/>
  <c r="RN35" i="4"/>
  <c r="SY90" i="4"/>
  <c r="SZ36" i="4"/>
  <c r="TB36" i="4" s="1"/>
  <c r="TD36" i="4" s="1"/>
  <c r="AC72" i="4"/>
  <c r="H45" i="4"/>
  <c r="SY101" i="4"/>
  <c r="W19" i="4"/>
  <c r="AL33" i="4"/>
  <c r="AL32" i="4"/>
  <c r="MR25" i="4"/>
  <c r="MR27" i="4" s="1"/>
  <c r="UF22" i="4"/>
  <c r="UV23" i="4"/>
  <c r="UV25" i="4" s="1"/>
  <c r="W24" i="4"/>
  <c r="PG27" i="4"/>
  <c r="UB26" i="4"/>
  <c r="W26" i="4"/>
  <c r="NR32" i="4"/>
  <c r="NR33" i="4"/>
  <c r="VI30" i="4"/>
  <c r="AN226" i="3" s="1"/>
  <c r="AN228" i="3" s="1"/>
  <c r="AN230" i="3" s="1"/>
  <c r="AN478" i="3" s="1"/>
  <c r="AN500" i="3" s="1"/>
  <c r="LI31" i="4"/>
  <c r="LI32" i="4" s="1"/>
  <c r="V436" i="3" s="1"/>
  <c r="OJ34" i="4"/>
  <c r="OJ35" i="4" s="1"/>
  <c r="MQ29" i="4"/>
  <c r="MQ31" i="4" s="1"/>
  <c r="X375" i="3" s="1"/>
  <c r="SY88" i="4"/>
  <c r="RP35" i="4"/>
  <c r="RR35" i="4" s="1"/>
  <c r="RT35" i="4" s="1"/>
  <c r="TA44" i="4"/>
  <c r="TA42" i="4"/>
  <c r="AA74" i="4"/>
  <c r="AA40" i="4"/>
  <c r="M46" i="4"/>
  <c r="Q74" i="4"/>
  <c r="Q75" i="4"/>
  <c r="ST48" i="4"/>
  <c r="ST49" i="4" s="1"/>
  <c r="SS49" i="4"/>
  <c r="UR25" i="4"/>
  <c r="FA27" i="4"/>
  <c r="M375" i="3" s="1"/>
  <c r="GS27" i="4"/>
  <c r="GS29" i="4" s="1"/>
  <c r="GS31" i="4" s="1"/>
  <c r="GS33" i="4" s="1"/>
  <c r="KX24" i="4"/>
  <c r="KZ24" i="4" s="1"/>
  <c r="LB24" i="4" s="1"/>
  <c r="LD24" i="4" s="1"/>
  <c r="LF24" i="4" s="1"/>
  <c r="PB25" i="4"/>
  <c r="GU35" i="4"/>
  <c r="GU37" i="4" s="1"/>
  <c r="HD35" i="4"/>
  <c r="HD37" i="4" s="1"/>
  <c r="SX30" i="4"/>
  <c r="SZ30" i="4" s="1"/>
  <c r="TP34" i="4"/>
  <c r="TP35" i="4"/>
  <c r="AS27" i="4"/>
  <c r="VJ28" i="4"/>
  <c r="SH35" i="4"/>
  <c r="AC69" i="4"/>
  <c r="AC40" i="4"/>
  <c r="OZ41" i="4"/>
  <c r="SY38" i="4"/>
  <c r="SY40" i="4" s="1"/>
  <c r="OT39" i="4"/>
  <c r="OT40" i="4" s="1"/>
  <c r="K46" i="4"/>
  <c r="X71" i="4"/>
  <c r="W44" i="4"/>
  <c r="K62" i="4"/>
  <c r="SV67" i="4"/>
  <c r="SX64" i="4"/>
  <c r="SX67" i="4" s="1"/>
  <c r="AE69" i="4"/>
  <c r="SV37" i="4"/>
  <c r="SX37" i="4" s="1"/>
  <c r="SZ37" i="4" s="1"/>
  <c r="TB37" i="4" s="1"/>
  <c r="TD37" i="4" s="1"/>
  <c r="O63" i="4"/>
  <c r="PI48" i="4"/>
  <c r="SV48" i="4"/>
  <c r="SX48" i="4" s="1"/>
  <c r="SZ48" i="4" s="1"/>
  <c r="SZ64" i="4"/>
  <c r="SZ67" i="4" s="1"/>
  <c r="SU78" i="4"/>
  <c r="AJ165" i="3" s="1"/>
  <c r="AJ167" i="3" s="1"/>
  <c r="AJ169" i="3" s="1"/>
  <c r="AJ475" i="3" s="1"/>
  <c r="AJ497" i="3" s="1"/>
  <c r="UD27" i="4"/>
  <c r="OI28" i="4"/>
  <c r="VF30" i="4"/>
  <c r="VF31" i="4" s="1"/>
  <c r="PE33" i="4"/>
  <c r="SX35" i="4"/>
  <c r="SZ35" i="4" s="1"/>
  <c r="TB35" i="4" s="1"/>
  <c r="TD35" i="4" s="1"/>
  <c r="AE72" i="4"/>
  <c r="AC74" i="4"/>
  <c r="AE40" i="4"/>
  <c r="OZ42" i="4"/>
  <c r="H44" i="4"/>
  <c r="W68" i="4"/>
  <c r="Z48" i="4"/>
  <c r="PG50" i="4"/>
  <c r="J61" i="4"/>
  <c r="PD26" i="4"/>
  <c r="W27" i="4"/>
  <c r="AW27" i="4"/>
  <c r="TJ29" i="4"/>
  <c r="TJ31" i="4" s="1"/>
  <c r="F30" i="4"/>
  <c r="VG30" i="4"/>
  <c r="VG31" i="4" s="1"/>
  <c r="F31" i="4"/>
  <c r="E33" i="4"/>
  <c r="TL35" i="4"/>
  <c r="H42" i="4"/>
  <c r="X47" i="4"/>
  <c r="PK47" i="4"/>
  <c r="PK48" i="4" s="1"/>
  <c r="PK50" i="4" s="1"/>
  <c r="PL48" i="4"/>
  <c r="PL50" i="4" s="1"/>
  <c r="PH50" i="4"/>
  <c r="Z54" i="4"/>
  <c r="X73" i="4"/>
  <c r="L58" i="4"/>
  <c r="UC26" i="4"/>
  <c r="OK28" i="4"/>
  <c r="OK30" i="4" s="1"/>
  <c r="OK32" i="4" s="1"/>
  <c r="VH30" i="4"/>
  <c r="VH31" i="4" s="1"/>
  <c r="SY31" i="4"/>
  <c r="PG33" i="4"/>
  <c r="AA57" i="4"/>
  <c r="SY91" i="4"/>
  <c r="PM47" i="4"/>
  <c r="PM48" i="4" s="1"/>
  <c r="PM50" i="4" s="1"/>
  <c r="PM52" i="4" s="1"/>
  <c r="SY49" i="4"/>
  <c r="ST52" i="4"/>
  <c r="ST56" i="4" s="1"/>
  <c r="ST58" i="4" s="1"/>
  <c r="SS56" i="4"/>
  <c r="SS58" i="4" s="1"/>
  <c r="Y64" i="4"/>
  <c r="X45" i="4"/>
  <c r="I46" i="4"/>
  <c r="X46" i="4"/>
  <c r="PF50" i="4"/>
  <c r="SU56" i="4"/>
  <c r="SU58" i="4" s="1"/>
  <c r="SY89" i="4"/>
  <c r="V64" i="4"/>
  <c r="H29" i="4"/>
  <c r="W29" i="4"/>
  <c r="Y30" i="4"/>
  <c r="X33" i="4"/>
  <c r="E34" i="4"/>
  <c r="F34" i="4" s="1"/>
  <c r="AC57" i="4"/>
  <c r="TL34" i="4"/>
  <c r="G36" i="4"/>
  <c r="H36" i="4" s="1"/>
  <c r="J41" i="4"/>
  <c r="E43" i="4"/>
  <c r="PC50" i="4"/>
  <c r="PN52" i="4"/>
  <c r="PN53" i="4" s="1"/>
  <c r="SW56" i="4"/>
  <c r="SW58" i="4" s="1"/>
  <c r="PJ53" i="4"/>
  <c r="J68" i="4"/>
  <c r="ST84" i="4"/>
  <c r="SS85" i="4"/>
  <c r="SY56" i="4"/>
  <c r="SY58" i="4" s="1"/>
  <c r="H54" i="4"/>
  <c r="SS89" i="4"/>
  <c r="ST89" i="4" s="1"/>
  <c r="SW78" i="4"/>
  <c r="AJ226" i="3" s="1"/>
  <c r="AJ228" i="3" s="1"/>
  <c r="AJ230" i="3" s="1"/>
  <c r="AJ478" i="3" s="1"/>
  <c r="AJ500" i="3" s="1"/>
  <c r="SY80" i="4"/>
  <c r="CF32" i="5"/>
  <c r="CF39" i="5" s="1"/>
  <c r="CE18" i="5"/>
  <c r="GE41" i="5"/>
  <c r="GE42" i="5" s="1"/>
  <c r="W49" i="4"/>
  <c r="W55" i="4" s="1"/>
  <c r="W51" i="4"/>
  <c r="G62" i="4"/>
  <c r="F71" i="4"/>
  <c r="ST71" i="4"/>
  <c r="SV71" i="4" s="1"/>
  <c r="SX71" i="4" s="1"/>
  <c r="SZ71" i="4" s="1"/>
  <c r="TB71" i="4" s="1"/>
  <c r="TD71" i="4" s="1"/>
  <c r="SS90" i="4"/>
  <c r="ST90" i="4" s="1"/>
  <c r="SU89" i="4"/>
  <c r="SS91" i="4"/>
  <c r="ST91" i="4" s="1"/>
  <c r="SS101" i="4"/>
  <c r="AA72" i="4"/>
  <c r="F50" i="4"/>
  <c r="F55" i="4"/>
  <c r="ST67" i="4"/>
  <c r="SS74" i="4"/>
  <c r="SS76" i="4" s="1"/>
  <c r="SS88" i="4"/>
  <c r="SU90" i="4"/>
  <c r="SV72" i="4"/>
  <c r="ST73" i="4"/>
  <c r="SV100" i="4"/>
  <c r="TB103" i="4"/>
  <c r="BS28" i="5"/>
  <c r="BS30" i="5" s="1"/>
  <c r="H32" i="5"/>
  <c r="V55" i="4"/>
  <c r="PL52" i="4"/>
  <c r="PD52" i="4"/>
  <c r="PD53" i="4" s="1"/>
  <c r="PK52" i="4"/>
  <c r="PC52" i="4"/>
  <c r="PE52" i="4"/>
  <c r="H59" i="4"/>
  <c r="AA65" i="4"/>
  <c r="SV70" i="4"/>
  <c r="V71" i="4"/>
  <c r="SX72" i="4"/>
  <c r="SZ72" i="4" s="1"/>
  <c r="TB72" i="4" s="1"/>
  <c r="TD72" i="4" s="1"/>
  <c r="V73" i="4"/>
  <c r="SU91" i="4"/>
  <c r="SV73" i="4"/>
  <c r="SX73" i="4" s="1"/>
  <c r="SZ73" i="4" s="1"/>
  <c r="TB73" i="4" s="1"/>
  <c r="TD73" i="4" s="1"/>
  <c r="AE65" i="4"/>
  <c r="E70" i="4"/>
  <c r="SX70" i="4"/>
  <c r="AE74" i="4"/>
  <c r="TA80" i="4"/>
  <c r="AI375" i="3" s="1"/>
  <c r="SY85" i="4"/>
  <c r="SZ82" i="4"/>
  <c r="TA96" i="4"/>
  <c r="TA98" i="4" s="1"/>
  <c r="AJ375" i="3" s="1"/>
  <c r="X52" i="4"/>
  <c r="J53" i="4"/>
  <c r="X53" i="4"/>
  <c r="W67" i="4"/>
  <c r="SW88" i="4"/>
  <c r="SW89" i="4"/>
  <c r="SW90" i="4"/>
  <c r="SW91" i="4"/>
  <c r="ED20" i="5"/>
  <c r="H22" i="5"/>
  <c r="AP26" i="5"/>
  <c r="AR24" i="5"/>
  <c r="TC100" i="4"/>
  <c r="TC103" i="4" s="1"/>
  <c r="BQ28" i="5"/>
  <c r="BQ30" i="5" s="1"/>
  <c r="AX375" i="3" s="1"/>
  <c r="J20" i="5"/>
  <c r="ER41" i="5"/>
  <c r="ER42" i="5" s="1"/>
  <c r="AC65" i="4"/>
  <c r="TC78" i="4"/>
  <c r="TC80" i="4" s="1"/>
  <c r="ST83" i="4"/>
  <c r="EW31" i="5"/>
  <c r="H25" i="5"/>
  <c r="CH62" i="5"/>
  <c r="CI42" i="5"/>
  <c r="CI62" i="5" s="1"/>
  <c r="CG42" i="5"/>
  <c r="ST100" i="4"/>
  <c r="SU101" i="4"/>
  <c r="AP21" i="5"/>
  <c r="AR18" i="5"/>
  <c r="E69" i="4"/>
  <c r="F69" i="4" s="1"/>
  <c r="SU88" i="4"/>
  <c r="TC92" i="4"/>
  <c r="TC94" i="4" s="1"/>
  <c r="D27" i="5"/>
  <c r="F18" i="5"/>
  <c r="EV31" i="5"/>
  <c r="GK41" i="5"/>
  <c r="GK42" i="5" s="1"/>
  <c r="H60" i="4"/>
  <c r="V67" i="4"/>
  <c r="SW101" i="4"/>
  <c r="BI28" i="5"/>
  <c r="AX104" i="3" s="1"/>
  <c r="AX106" i="3" s="1"/>
  <c r="AX108" i="3" s="1"/>
  <c r="AX472" i="3" s="1"/>
  <c r="AX494" i="3" s="1"/>
  <c r="CC18" i="5"/>
  <c r="CD32" i="5"/>
  <c r="CD39" i="5" s="1"/>
  <c r="FJ19" i="5"/>
  <c r="ED24" i="5"/>
  <c r="BT30" i="5"/>
  <c r="G35" i="5"/>
  <c r="EB28" i="5"/>
  <c r="F34" i="5"/>
  <c r="FL39" i="5"/>
  <c r="E27" i="5"/>
  <c r="CG18" i="5"/>
  <c r="FL18" i="5"/>
  <c r="CA23" i="5"/>
  <c r="AO28" i="5"/>
  <c r="AW43" i="3" s="1"/>
  <c r="AW45" i="3" s="1"/>
  <c r="AW47" i="3" s="1"/>
  <c r="AW469" i="3" s="1"/>
  <c r="AW491" i="3" s="1"/>
  <c r="CG24" i="5"/>
  <c r="CE24" i="5"/>
  <c r="EB25" i="5"/>
  <c r="EB29" i="5" s="1"/>
  <c r="GU29" i="5"/>
  <c r="CE29" i="5"/>
  <c r="CC29" i="5"/>
  <c r="CH32" i="5"/>
  <c r="CH39" i="5" s="1"/>
  <c r="ED32" i="5"/>
  <c r="EY41" i="5"/>
  <c r="EY42" i="5" s="1"/>
  <c r="GI41" i="5"/>
  <c r="BE226" i="3" s="1"/>
  <c r="BE228" i="3" s="1"/>
  <c r="BE230" i="3" s="1"/>
  <c r="BE478" i="3" s="1"/>
  <c r="BE500" i="3" s="1"/>
  <c r="BM22" i="5"/>
  <c r="BM26" i="5" s="1"/>
  <c r="EX23" i="5"/>
  <c r="EX31" i="5" s="1"/>
  <c r="BG28" i="5"/>
  <c r="AX43" i="3" s="1"/>
  <c r="AX45" i="3" s="1"/>
  <c r="AX47" i="3" s="1"/>
  <c r="AX469" i="3" s="1"/>
  <c r="AX491" i="3" s="1"/>
  <c r="CC23" i="5"/>
  <c r="F24" i="5"/>
  <c r="CU29" i="5"/>
  <c r="FN29" i="5"/>
  <c r="GY36" i="5"/>
  <c r="FN42" i="5"/>
  <c r="CB66" i="5"/>
  <c r="CB64" i="5"/>
  <c r="EB66" i="5"/>
  <c r="I27" i="5"/>
  <c r="CP21" i="5"/>
  <c r="EB18" i="5"/>
  <c r="EA21" i="5"/>
  <c r="F19" i="5"/>
  <c r="AR19" i="5"/>
  <c r="AT19" i="5" s="1"/>
  <c r="AV19" i="5" s="1"/>
  <c r="AX19" i="5" s="1"/>
  <c r="AZ19" i="5" s="1"/>
  <c r="BB19" i="5" s="1"/>
  <c r="GE32" i="5"/>
  <c r="CE23" i="5"/>
  <c r="EY31" i="5"/>
  <c r="CE30" i="5"/>
  <c r="CC30" i="5"/>
  <c r="HC34" i="5"/>
  <c r="EU41" i="5"/>
  <c r="BC104" i="3" s="1"/>
  <c r="BC106" i="3" s="1"/>
  <c r="BC108" i="3" s="1"/>
  <c r="BC472" i="3" s="1"/>
  <c r="BC494" i="3" s="1"/>
  <c r="BF22" i="5"/>
  <c r="BF26" i="5" s="1"/>
  <c r="BH17" i="5"/>
  <c r="K27" i="5"/>
  <c r="BJ18" i="5"/>
  <c r="BL18" i="5" s="1"/>
  <c r="BN18" i="5" s="1"/>
  <c r="BP18" i="5" s="1"/>
  <c r="ER23" i="5"/>
  <c r="ER31" i="5" s="1"/>
  <c r="EZ23" i="5"/>
  <c r="EZ31" i="5" s="1"/>
  <c r="F21" i="5"/>
  <c r="CP28" i="5"/>
  <c r="CP29" i="5" s="1"/>
  <c r="DJ24" i="5"/>
  <c r="GF24" i="5"/>
  <c r="F26" i="5"/>
  <c r="AU21" i="5"/>
  <c r="CR21" i="5"/>
  <c r="CT18" i="5"/>
  <c r="BL19" i="5"/>
  <c r="BN19" i="5" s="1"/>
  <c r="BP19" i="5" s="1"/>
  <c r="CC19" i="5"/>
  <c r="CA19" i="5"/>
  <c r="BJ20" i="5"/>
  <c r="BL20" i="5" s="1"/>
  <c r="BN20" i="5" s="1"/>
  <c r="BP20" i="5" s="1"/>
  <c r="AN21" i="5"/>
  <c r="BO22" i="5"/>
  <c r="BO26" i="5" s="1"/>
  <c r="FL22" i="5"/>
  <c r="F23" i="5"/>
  <c r="FJ25" i="5"/>
  <c r="AN29" i="5"/>
  <c r="CG26" i="5"/>
  <c r="BK28" i="5"/>
  <c r="BK30" i="5" s="1"/>
  <c r="CG28" i="5"/>
  <c r="CE28" i="5"/>
  <c r="FC41" i="5"/>
  <c r="FC42" i="5" s="1"/>
  <c r="GB41" i="5"/>
  <c r="GB42" i="5"/>
  <c r="M27" i="5"/>
  <c r="CA32" i="5"/>
  <c r="BR30" i="5"/>
  <c r="CC27" i="5"/>
  <c r="CA27" i="5"/>
  <c r="DH28" i="5"/>
  <c r="DH30" i="5" s="1"/>
  <c r="GG41" i="5"/>
  <c r="GG42" i="5" s="1"/>
  <c r="GC41" i="5"/>
  <c r="GC42" i="5"/>
  <c r="BE70" i="3" s="1"/>
  <c r="EA48" i="5"/>
  <c r="EB19" i="5"/>
  <c r="FK19" i="5"/>
  <c r="FS47" i="5"/>
  <c r="GH20" i="5"/>
  <c r="AS29" i="5"/>
  <c r="F30" i="5"/>
  <c r="CI39" i="5"/>
  <c r="HD34" i="5"/>
  <c r="CG38" i="5"/>
  <c r="GW37" i="5"/>
  <c r="FL41" i="5"/>
  <c r="EB43" i="5"/>
  <c r="FM47" i="5"/>
  <c r="FK25" i="5"/>
  <c r="AU28" i="5"/>
  <c r="AW227" i="3" s="1"/>
  <c r="BG227" i="3" s="1"/>
  <c r="AU29" i="5"/>
  <c r="EY29" i="5"/>
  <c r="BC238" i="3" s="1"/>
  <c r="BC243" i="3" s="1"/>
  <c r="BC232" i="3" s="1"/>
  <c r="BC479" i="3" s="1"/>
  <c r="BC501" i="3" s="1"/>
  <c r="GT29" i="5"/>
  <c r="CU28" i="5"/>
  <c r="AZ165" i="3" s="1"/>
  <c r="AZ167" i="3" s="1"/>
  <c r="AZ169" i="3" s="1"/>
  <c r="AZ475" i="3" s="1"/>
  <c r="AZ497" i="3" s="1"/>
  <c r="BY39" i="5"/>
  <c r="ET37" i="5"/>
  <c r="ET39" i="5" s="1"/>
  <c r="FB37" i="5"/>
  <c r="FB39" i="5" s="1"/>
  <c r="GZ37" i="5"/>
  <c r="GF37" i="5"/>
  <c r="GF39" i="5" s="1"/>
  <c r="GH35" i="5"/>
  <c r="GZ36" i="5"/>
  <c r="CJ64" i="5"/>
  <c r="CJ66" i="5" s="1"/>
  <c r="EB60" i="5"/>
  <c r="BZ62" i="5"/>
  <c r="CA42" i="5"/>
  <c r="CK64" i="5"/>
  <c r="AY409" i="3" s="1"/>
  <c r="BG409" i="3" s="1"/>
  <c r="AW29" i="5"/>
  <c r="CW29" i="5"/>
  <c r="GV27" i="5"/>
  <c r="EA29" i="5"/>
  <c r="DM30" i="5"/>
  <c r="H31" i="5"/>
  <c r="FL32" i="5"/>
  <c r="EV37" i="5"/>
  <c r="EV39" i="5" s="1"/>
  <c r="CC36" i="5"/>
  <c r="FL37" i="5"/>
  <c r="FL38" i="5"/>
  <c r="CB32" i="5"/>
  <c r="GT21" i="5"/>
  <c r="GT22" i="5"/>
  <c r="ET29" i="5"/>
  <c r="ET31" i="5" s="1"/>
  <c r="FB29" i="5"/>
  <c r="FB31" i="5" s="1"/>
  <c r="EB27" i="5"/>
  <c r="CY28" i="5"/>
  <c r="AZ287" i="3" s="1"/>
  <c r="AZ289" i="3" s="1"/>
  <c r="AZ291" i="3" s="1"/>
  <c r="AZ481" i="3" s="1"/>
  <c r="AZ503" i="3" s="1"/>
  <c r="GH28" i="5"/>
  <c r="FL30" i="5"/>
  <c r="DZ38" i="5"/>
  <c r="H33" i="5"/>
  <c r="EB33" i="5"/>
  <c r="EW37" i="5"/>
  <c r="EB37" i="5"/>
  <c r="EZ41" i="5"/>
  <c r="EZ42" i="5" s="1"/>
  <c r="FQ47" i="5"/>
  <c r="AQ29" i="5"/>
  <c r="EU29" i="5"/>
  <c r="BC116" i="3" s="1"/>
  <c r="BC121" i="3" s="1"/>
  <c r="BC110" i="3" s="1"/>
  <c r="BC473" i="3" s="1"/>
  <c r="BC495" i="3" s="1"/>
  <c r="HA32" i="5"/>
  <c r="HB34" i="5"/>
  <c r="EX37" i="5"/>
  <c r="EX39" i="5" s="1"/>
  <c r="ED35" i="5"/>
  <c r="CE36" i="5"/>
  <c r="ED36" i="5"/>
  <c r="CD66" i="5"/>
  <c r="CD64" i="5"/>
  <c r="FE42" i="5"/>
  <c r="CE53" i="5"/>
  <c r="CC53" i="5"/>
  <c r="EB67" i="5"/>
  <c r="EB69" i="5"/>
  <c r="FO51" i="5"/>
  <c r="GD30" i="5"/>
  <c r="GD32" i="5" s="1"/>
  <c r="FK33" i="5"/>
  <c r="CL66" i="5"/>
  <c r="EB44" i="5"/>
  <c r="BY52" i="5"/>
  <c r="BY57" i="5"/>
  <c r="ED47" i="5"/>
  <c r="EB54" i="5"/>
  <c r="CF62" i="5"/>
  <c r="FD41" i="5"/>
  <c r="FD42" i="5" s="1"/>
  <c r="CE56" i="5"/>
  <c r="CC60" i="5"/>
  <c r="FL31" i="5"/>
  <c r="EA38" i="5"/>
  <c r="CC46" i="5"/>
  <c r="EB46" i="5"/>
  <c r="CE47" i="5"/>
  <c r="BY51" i="5"/>
  <c r="CK39" i="5"/>
  <c r="EB34" i="5"/>
  <c r="GX37" i="5"/>
  <c r="CB38" i="5"/>
  <c r="FF41" i="5"/>
  <c r="FF42" i="5" s="1"/>
  <c r="BX62" i="5"/>
  <c r="EB42" i="5"/>
  <c r="CC45" i="5"/>
  <c r="CC62" i="5" s="1"/>
  <c r="ED45" i="5"/>
  <c r="CE50" i="5"/>
  <c r="EB62" i="5"/>
  <c r="ED53" i="5"/>
  <c r="CA61" i="5"/>
  <c r="CC61" i="5"/>
  <c r="DZ48" i="5"/>
  <c r="BY54" i="5"/>
  <c r="CC58" i="5"/>
  <c r="CE60" i="5"/>
  <c r="CC55" i="5"/>
  <c r="CA59" i="5"/>
  <c r="CG60" i="5"/>
  <c r="CG61" i="5"/>
  <c r="EA55" i="5"/>
  <c r="EB64" i="5"/>
  <c r="EB70" i="5"/>
  <c r="EB41" i="5"/>
  <c r="EB51" i="5"/>
  <c r="EB52" i="5"/>
  <c r="CE57" i="5"/>
  <c r="EA58" i="5"/>
  <c r="CE59" i="5"/>
  <c r="BY61" i="5"/>
  <c r="EB61" i="5"/>
  <c r="EB73" i="5"/>
  <c r="EA71" i="5"/>
  <c r="E46" i="4" l="1"/>
  <c r="E22" i="6"/>
  <c r="J192" i="3"/>
  <c r="C23" i="6"/>
  <c r="D20" i="6"/>
  <c r="E14" i="6"/>
  <c r="C41" i="6"/>
  <c r="G41" i="6" s="1"/>
  <c r="AX192" i="3"/>
  <c r="V192" i="3"/>
  <c r="E44" i="6"/>
  <c r="E27" i="6"/>
  <c r="AA192" i="3"/>
  <c r="E28" i="6"/>
  <c r="K51" i="6"/>
  <c r="BE192" i="3"/>
  <c r="N192" i="3"/>
  <c r="J43" i="6"/>
  <c r="I49" i="6"/>
  <c r="AZ253" i="3"/>
  <c r="F46" i="6"/>
  <c r="N46" i="6"/>
  <c r="H16" i="6"/>
  <c r="Q314" i="3"/>
  <c r="P314" i="3"/>
  <c r="N38" i="6"/>
  <c r="H17" i="6"/>
  <c r="H37" i="6"/>
  <c r="R436" i="3"/>
  <c r="AF430" i="3"/>
  <c r="BD369" i="3"/>
  <c r="AC375" i="3"/>
  <c r="BE369" i="3"/>
  <c r="R369" i="3"/>
  <c r="J436" i="3"/>
  <c r="X430" i="3"/>
  <c r="AG436" i="3"/>
  <c r="F25" i="6"/>
  <c r="Y478" i="3"/>
  <c r="Y500" i="3" s="1"/>
  <c r="E30" i="6"/>
  <c r="G30" i="6" s="1"/>
  <c r="H52" i="6"/>
  <c r="D30" i="6"/>
  <c r="H51" i="6"/>
  <c r="H50" i="6"/>
  <c r="BD481" i="3"/>
  <c r="BD503" i="3" s="1"/>
  <c r="K131" i="3"/>
  <c r="AD485" i="3"/>
  <c r="AD507" i="3" s="1"/>
  <c r="AJ484" i="3"/>
  <c r="AJ506" i="3" s="1"/>
  <c r="T484" i="3"/>
  <c r="T506" i="3" s="1"/>
  <c r="F17" i="6"/>
  <c r="Q478" i="3"/>
  <c r="Q500" i="3" s="1"/>
  <c r="H13" i="6"/>
  <c r="M481" i="3"/>
  <c r="M503" i="3" s="1"/>
  <c r="D37" i="6"/>
  <c r="AK472" i="3"/>
  <c r="AK494" i="3" s="1"/>
  <c r="E25" i="6"/>
  <c r="Y475" i="3"/>
  <c r="Y497" i="3" s="1"/>
  <c r="AB488" i="3"/>
  <c r="AB510" i="3" s="1"/>
  <c r="AB485" i="3"/>
  <c r="AB507" i="3" s="1"/>
  <c r="C47" i="6"/>
  <c r="BA469" i="3"/>
  <c r="BA491" i="3" s="1"/>
  <c r="H39" i="6"/>
  <c r="AM481" i="3"/>
  <c r="AM503" i="3" s="1"/>
  <c r="AZ488" i="3"/>
  <c r="AZ510" i="3" s="1"/>
  <c r="K487" i="3"/>
  <c r="K509" i="3" s="1"/>
  <c r="K484" i="3"/>
  <c r="K506" i="3" s="1"/>
  <c r="BC484" i="3"/>
  <c r="BC506" i="3" s="1"/>
  <c r="F430" i="3"/>
  <c r="F487" i="3"/>
  <c r="F509" i="3" s="1"/>
  <c r="AX487" i="3"/>
  <c r="AX509" i="3" s="1"/>
  <c r="C14" i="6"/>
  <c r="N469" i="3"/>
  <c r="N491" i="3" s="1"/>
  <c r="BF488" i="3"/>
  <c r="BF510" i="3" s="1"/>
  <c r="F8" i="6"/>
  <c r="H478" i="3"/>
  <c r="H500" i="3" s="1"/>
  <c r="AA485" i="3"/>
  <c r="AA507" i="3" s="1"/>
  <c r="AW375" i="3"/>
  <c r="D12" i="6"/>
  <c r="L472" i="3"/>
  <c r="L494" i="3" s="1"/>
  <c r="E19" i="6"/>
  <c r="S475" i="3"/>
  <c r="S497" i="3" s="1"/>
  <c r="W131" i="3"/>
  <c r="N30" i="6"/>
  <c r="AD482" i="3"/>
  <c r="AD504" i="3" s="1"/>
  <c r="BB485" i="3"/>
  <c r="BB507" i="3" s="1"/>
  <c r="H12" i="6"/>
  <c r="L481" i="3"/>
  <c r="L503" i="3" s="1"/>
  <c r="BA484" i="3"/>
  <c r="BA506" i="3" s="1"/>
  <c r="AI484" i="3"/>
  <c r="AI506" i="3" s="1"/>
  <c r="AD487" i="3"/>
  <c r="AD509" i="3" s="1"/>
  <c r="D16" i="6"/>
  <c r="P472" i="3"/>
  <c r="P494" i="3" s="1"/>
  <c r="H18" i="6"/>
  <c r="R481" i="3"/>
  <c r="R503" i="3" s="1"/>
  <c r="BF485" i="3"/>
  <c r="BF507" i="3" s="1"/>
  <c r="AA314" i="3"/>
  <c r="AO192" i="3"/>
  <c r="AA510" i="3"/>
  <c r="AA488" i="3"/>
  <c r="F41" i="6"/>
  <c r="AO478" i="3"/>
  <c r="AO500" i="3" s="1"/>
  <c r="BC488" i="3"/>
  <c r="BC510" i="3" s="1"/>
  <c r="L369" i="3"/>
  <c r="L484" i="3"/>
  <c r="L506" i="3" s="1"/>
  <c r="BE488" i="3"/>
  <c r="BE510" i="3" s="1"/>
  <c r="BB488" i="3"/>
  <c r="BB510" i="3" s="1"/>
  <c r="D46" i="6"/>
  <c r="AZ472" i="3"/>
  <c r="AZ494" i="3" s="1"/>
  <c r="BE1" i="3"/>
  <c r="BE469" i="3"/>
  <c r="BE491" i="3" s="1"/>
  <c r="D47" i="6"/>
  <c r="BA472" i="3"/>
  <c r="BA494" i="3" s="1"/>
  <c r="C17" i="6"/>
  <c r="Q469" i="3"/>
  <c r="Q491" i="3" s="1"/>
  <c r="AW485" i="3"/>
  <c r="AW507" i="3" s="1"/>
  <c r="AY488" i="3"/>
  <c r="AY510" i="3" s="1"/>
  <c r="E47" i="6"/>
  <c r="BA475" i="3"/>
  <c r="BA497" i="3" s="1"/>
  <c r="BE485" i="3"/>
  <c r="BE507" i="3" s="1"/>
  <c r="AZ507" i="3"/>
  <c r="AZ485" i="3"/>
  <c r="AW488" i="3"/>
  <c r="AW510" i="3" s="1"/>
  <c r="E13" i="6"/>
  <c r="C53" i="6"/>
  <c r="D51" i="6"/>
  <c r="H27" i="6"/>
  <c r="BH79" i="3"/>
  <c r="BD131" i="3"/>
  <c r="C8" i="6"/>
  <c r="H469" i="3"/>
  <c r="H491" i="3" s="1"/>
  <c r="I45" i="6"/>
  <c r="AY470" i="3"/>
  <c r="AY492" i="3" s="1"/>
  <c r="AI487" i="3"/>
  <c r="AI509" i="3" s="1"/>
  <c r="J253" i="3"/>
  <c r="J478" i="3"/>
  <c r="J500" i="3" s="1"/>
  <c r="F369" i="3"/>
  <c r="F484" i="3"/>
  <c r="F506" i="3" s="1"/>
  <c r="D43" i="6"/>
  <c r="AW472" i="3"/>
  <c r="AW494" i="3" s="1"/>
  <c r="D14" i="6"/>
  <c r="N472" i="3"/>
  <c r="N494" i="3" s="1"/>
  <c r="I38" i="6"/>
  <c r="AL470" i="3"/>
  <c r="AL492" i="3" s="1"/>
  <c r="E11" i="6"/>
  <c r="K475" i="3"/>
  <c r="K497" i="3" s="1"/>
  <c r="H43" i="6"/>
  <c r="AW481" i="3"/>
  <c r="AW503" i="3" s="1"/>
  <c r="BC485" i="3"/>
  <c r="BC507" i="3" s="1"/>
  <c r="V369" i="3"/>
  <c r="V484" i="3"/>
  <c r="V506" i="3" s="1"/>
  <c r="AW314" i="3"/>
  <c r="AH436" i="3"/>
  <c r="F10" i="6"/>
  <c r="V375" i="3"/>
  <c r="K192" i="3"/>
  <c r="AV352" i="3"/>
  <c r="AV375" i="3" s="1"/>
  <c r="U253" i="3"/>
  <c r="BA192" i="3"/>
  <c r="BC375" i="3"/>
  <c r="L51" i="6"/>
  <c r="L253" i="3"/>
  <c r="F7" i="6"/>
  <c r="F12" i="6"/>
  <c r="N45" i="6"/>
  <c r="BB430" i="3"/>
  <c r="E18" i="6"/>
  <c r="BB436" i="3"/>
  <c r="E20" i="6"/>
  <c r="D39" i="6"/>
  <c r="D42" i="6"/>
  <c r="AI369" i="3"/>
  <c r="AD436" i="3"/>
  <c r="AD192" i="3"/>
  <c r="D17" i="6"/>
  <c r="Q131" i="3"/>
  <c r="P131" i="3"/>
  <c r="M436" i="3"/>
  <c r="R314" i="3"/>
  <c r="U436" i="3"/>
  <c r="AD430" i="3"/>
  <c r="J45" i="6"/>
  <c r="H40" i="6"/>
  <c r="BE314" i="3"/>
  <c r="L314" i="3"/>
  <c r="U375" i="3"/>
  <c r="T192" i="3"/>
  <c r="BA375" i="3"/>
  <c r="AZ430" i="3"/>
  <c r="AM131" i="3"/>
  <c r="BA369" i="3"/>
  <c r="BG300" i="3"/>
  <c r="L53" i="2" s="1"/>
  <c r="L48" i="6"/>
  <c r="K430" i="3"/>
  <c r="F375" i="3"/>
  <c r="AW131" i="3"/>
  <c r="O375" i="3"/>
  <c r="K436" i="3"/>
  <c r="BC369" i="3"/>
  <c r="AX436" i="3"/>
  <c r="AE375" i="3"/>
  <c r="AX430" i="3"/>
  <c r="BD253" i="3"/>
  <c r="K369" i="3"/>
  <c r="U506" i="3"/>
  <c r="U369" i="3"/>
  <c r="AF375" i="3"/>
  <c r="F436" i="3"/>
  <c r="BG334" i="3"/>
  <c r="BG350" i="3" s="1"/>
  <c r="K375" i="3"/>
  <c r="AK314" i="3"/>
  <c r="AC506" i="3"/>
  <c r="AC369" i="3"/>
  <c r="N131" i="3"/>
  <c r="Z70" i="3"/>
  <c r="C26" i="6"/>
  <c r="BH36" i="3"/>
  <c r="D97" i="3" s="1"/>
  <c r="LN23" i="4"/>
  <c r="C47" i="2"/>
  <c r="D71" i="3" s="1"/>
  <c r="J32" i="6"/>
  <c r="BY62" i="5"/>
  <c r="F23" i="4"/>
  <c r="KW32" i="4"/>
  <c r="AE283" i="3"/>
  <c r="SW44" i="4"/>
  <c r="GI31" i="4"/>
  <c r="FA39" i="5"/>
  <c r="FA41" i="5" s="1"/>
  <c r="FA42" i="5" s="1"/>
  <c r="BC283" i="3"/>
  <c r="VK23" i="4"/>
  <c r="AN298" i="3"/>
  <c r="AN304" i="3" s="1"/>
  <c r="AN293" i="3" s="1"/>
  <c r="GW35" i="4"/>
  <c r="GW37" i="4" s="1"/>
  <c r="P192" i="3" s="1"/>
  <c r="CT24" i="5"/>
  <c r="CR26" i="5"/>
  <c r="CE62" i="5"/>
  <c r="CE64" i="5" s="1"/>
  <c r="AY226" i="3" s="1"/>
  <c r="FL33" i="5"/>
  <c r="SV49" i="4"/>
  <c r="SC30" i="4"/>
  <c r="ES39" i="5"/>
  <c r="BC39" i="3"/>
  <c r="BG39" i="3" s="1"/>
  <c r="D38" i="2" s="1"/>
  <c r="E38" i="2" s="1"/>
  <c r="QC18" i="4"/>
  <c r="AC224" i="3"/>
  <c r="GG30" i="4"/>
  <c r="O226" i="3" s="1"/>
  <c r="O228" i="3" s="1"/>
  <c r="O230" i="3" s="1"/>
  <c r="GC31" i="4"/>
  <c r="QA18" i="4"/>
  <c r="AC163" i="3"/>
  <c r="AC102" i="3"/>
  <c r="PY18" i="4"/>
  <c r="PY20" i="4" s="1"/>
  <c r="AC104" i="3" s="1"/>
  <c r="QE18" i="4"/>
  <c r="AC285" i="3"/>
  <c r="ST74" i="4"/>
  <c r="ST76" i="4" s="1"/>
  <c r="SX47" i="4"/>
  <c r="SZ47" i="4" s="1"/>
  <c r="SV16" i="4"/>
  <c r="SV20" i="4" s="1"/>
  <c r="SV22" i="4" s="1"/>
  <c r="AE161" i="3"/>
  <c r="PW18" i="4"/>
  <c r="AC41" i="3"/>
  <c r="SV89" i="4"/>
  <c r="SX89" i="4" s="1"/>
  <c r="SZ89" i="4" s="1"/>
  <c r="TB89" i="4" s="1"/>
  <c r="TD89" i="4" s="1"/>
  <c r="WM21" i="4"/>
  <c r="KE20" i="4"/>
  <c r="L36" i="6"/>
  <c r="G53" i="2"/>
  <c r="AV369" i="3"/>
  <c r="BH334" i="3"/>
  <c r="BH350" i="3" s="1"/>
  <c r="L28" i="2"/>
  <c r="BE131" i="3"/>
  <c r="I50" i="6"/>
  <c r="M50" i="6" s="1"/>
  <c r="I46" i="6"/>
  <c r="I43" i="6"/>
  <c r="M43" i="6" s="1"/>
  <c r="BG395" i="3"/>
  <c r="BG411" i="3" s="1"/>
  <c r="BH395" i="3"/>
  <c r="J51" i="6"/>
  <c r="J46" i="6"/>
  <c r="BB314" i="3"/>
  <c r="H48" i="6"/>
  <c r="J48" i="6"/>
  <c r="BH40" i="3"/>
  <c r="D101" i="3" s="1"/>
  <c r="D39" i="2"/>
  <c r="E39" i="2" s="1"/>
  <c r="AV413" i="3"/>
  <c r="AA430" i="3"/>
  <c r="AA436" i="3"/>
  <c r="N31" i="6"/>
  <c r="N32" i="6"/>
  <c r="N36" i="6"/>
  <c r="K30" i="6"/>
  <c r="N35" i="6"/>
  <c r="AD253" i="3"/>
  <c r="I23" i="6"/>
  <c r="M23" i="6" s="1"/>
  <c r="K33" i="6"/>
  <c r="L30" i="6"/>
  <c r="L34" i="6"/>
  <c r="J36" i="6"/>
  <c r="L31" i="6"/>
  <c r="BH33" i="3"/>
  <c r="D94" i="3" s="1"/>
  <c r="BH119" i="3"/>
  <c r="BH180" i="3" s="1"/>
  <c r="D241" i="3" s="1"/>
  <c r="BH241" i="3" s="1"/>
  <c r="D302" i="3" s="1"/>
  <c r="BH302" i="3" s="1"/>
  <c r="K35" i="6"/>
  <c r="J38" i="6"/>
  <c r="N33" i="6"/>
  <c r="J31" i="6"/>
  <c r="J30" i="6"/>
  <c r="O167" i="3"/>
  <c r="O169" i="3" s="1"/>
  <c r="O475" i="3" s="1"/>
  <c r="O497" i="3" s="1"/>
  <c r="I27" i="6"/>
  <c r="AB369" i="3"/>
  <c r="L35" i="6"/>
  <c r="AB375" i="3"/>
  <c r="J33" i="6"/>
  <c r="K31" i="6"/>
  <c r="BH120" i="3"/>
  <c r="D181" i="3" s="1"/>
  <c r="AD314" i="3"/>
  <c r="J8" i="6"/>
  <c r="M15" i="6"/>
  <c r="K36" i="6"/>
  <c r="L38" i="6"/>
  <c r="BG273" i="3"/>
  <c r="BH32" i="3"/>
  <c r="D31" i="2"/>
  <c r="E31" i="2" s="1"/>
  <c r="G31" i="2" s="1"/>
  <c r="I31" i="2" s="1"/>
  <c r="NV19" i="4" s="1"/>
  <c r="AB430" i="3"/>
  <c r="K34" i="6"/>
  <c r="K38" i="6"/>
  <c r="AB436" i="3"/>
  <c r="S192" i="3"/>
  <c r="J35" i="6"/>
  <c r="AD131" i="3"/>
  <c r="H36" i="6"/>
  <c r="BH56" i="3"/>
  <c r="BH117" i="3" s="1"/>
  <c r="D178" i="3" s="1"/>
  <c r="AJ314" i="3"/>
  <c r="M7" i="6"/>
  <c r="W70" i="3"/>
  <c r="G14" i="6"/>
  <c r="AM253" i="3"/>
  <c r="AA375" i="3"/>
  <c r="BH31" i="3"/>
  <c r="D92" i="3" s="1"/>
  <c r="D8" i="6"/>
  <c r="H8" i="6"/>
  <c r="E8" i="6"/>
  <c r="C10" i="6"/>
  <c r="AA369" i="3"/>
  <c r="I32" i="2"/>
  <c r="NV20" i="4" s="1"/>
  <c r="M6" i="6"/>
  <c r="AD375" i="3"/>
  <c r="H253" i="3"/>
  <c r="H192" i="3"/>
  <c r="AD369" i="3"/>
  <c r="BH324" i="3"/>
  <c r="BH325" i="3" s="1"/>
  <c r="BG325" i="3"/>
  <c r="H314" i="3"/>
  <c r="M53" i="6"/>
  <c r="J34" i="6"/>
  <c r="N34" i="6"/>
  <c r="BH105" i="3"/>
  <c r="D166" i="3" s="1"/>
  <c r="AO253" i="3"/>
  <c r="H70" i="3"/>
  <c r="L33" i="6"/>
  <c r="J70" i="3"/>
  <c r="H131" i="3"/>
  <c r="M22" i="6"/>
  <c r="CC64" i="5"/>
  <c r="AY165" i="3" s="1"/>
  <c r="AY163" i="3"/>
  <c r="C12" i="6"/>
  <c r="D32" i="6"/>
  <c r="D49" i="6"/>
  <c r="F19" i="6"/>
  <c r="J49" i="6"/>
  <c r="BH409" i="3"/>
  <c r="AM314" i="3"/>
  <c r="AU70" i="3"/>
  <c r="L40" i="6"/>
  <c r="D34" i="6"/>
  <c r="C39" i="6"/>
  <c r="F34" i="6"/>
  <c r="C22" i="6"/>
  <c r="G22" i="6" s="1"/>
  <c r="BB253" i="3"/>
  <c r="F48" i="6"/>
  <c r="BY64" i="5"/>
  <c r="AY43" i="3" s="1"/>
  <c r="AY41" i="3"/>
  <c r="E36" i="6"/>
  <c r="C18" i="6"/>
  <c r="H32" i="6"/>
  <c r="F40" i="6"/>
  <c r="H46" i="6"/>
  <c r="F51" i="6"/>
  <c r="G51" i="6" s="1"/>
  <c r="H69" i="4"/>
  <c r="F53" i="6"/>
  <c r="G53" i="6" s="1"/>
  <c r="F33" i="6"/>
  <c r="E32" i="6"/>
  <c r="C43" i="6"/>
  <c r="D19" i="6"/>
  <c r="H41" i="6"/>
  <c r="H53" i="6"/>
  <c r="C21" i="6"/>
  <c r="AZ70" i="3"/>
  <c r="C46" i="6"/>
  <c r="E46" i="6"/>
  <c r="D44" i="6"/>
  <c r="D21" i="6"/>
  <c r="C40" i="6"/>
  <c r="H15" i="6"/>
  <c r="D18" i="6"/>
  <c r="NV23" i="4"/>
  <c r="K35" i="2"/>
  <c r="FJ45" i="5"/>
  <c r="ED66" i="5"/>
  <c r="CG32" i="5"/>
  <c r="J25" i="5"/>
  <c r="J22" i="5"/>
  <c r="AB104" i="3"/>
  <c r="AB106" i="3" s="1"/>
  <c r="AB108" i="3" s="1"/>
  <c r="AB472" i="3" s="1"/>
  <c r="AB494" i="3" s="1"/>
  <c r="Z33" i="4"/>
  <c r="SV52" i="4"/>
  <c r="PL53" i="4"/>
  <c r="J44" i="4"/>
  <c r="GS35" i="4"/>
  <c r="P43" i="3" s="1"/>
  <c r="P37" i="3"/>
  <c r="AB116" i="3"/>
  <c r="BG116" i="3" s="1"/>
  <c r="RP34" i="4"/>
  <c r="RN36" i="4"/>
  <c r="W314" i="3"/>
  <c r="ED70" i="5"/>
  <c r="ED189" i="5"/>
  <c r="EF53" i="5"/>
  <c r="EF47" i="5"/>
  <c r="ED183" i="5"/>
  <c r="H23" i="5"/>
  <c r="EA75" i="5"/>
  <c r="EB58" i="5"/>
  <c r="BB16" i="3"/>
  <c r="BB20" i="3" s="1"/>
  <c r="BB47" i="3" s="1"/>
  <c r="BX64" i="5"/>
  <c r="BX66" i="5" s="1"/>
  <c r="FQ51" i="5"/>
  <c r="EW39" i="5"/>
  <c r="BC161" i="3"/>
  <c r="GH30" i="5"/>
  <c r="GJ28" i="5"/>
  <c r="CB39" i="5"/>
  <c r="J31" i="5"/>
  <c r="CK66" i="5"/>
  <c r="FM51" i="5"/>
  <c r="FL25" i="5"/>
  <c r="BH22" i="5"/>
  <c r="BH26" i="5" s="1"/>
  <c r="BJ17" i="5"/>
  <c r="ED18" i="5"/>
  <c r="EB21" i="5"/>
  <c r="FP29" i="5"/>
  <c r="BG30" i="5"/>
  <c r="AX70" i="3" s="1"/>
  <c r="BI30" i="5"/>
  <c r="AX131" i="3" s="1"/>
  <c r="F27" i="5"/>
  <c r="H18" i="5"/>
  <c r="ED156" i="5"/>
  <c r="EF20" i="5"/>
  <c r="L53" i="4"/>
  <c r="SV91" i="4"/>
  <c r="SX91" i="4" s="1"/>
  <c r="SZ91" i="4" s="1"/>
  <c r="TB91" i="4" s="1"/>
  <c r="TD91" i="4" s="1"/>
  <c r="J59" i="4"/>
  <c r="SS78" i="4"/>
  <c r="AJ104" i="3" s="1"/>
  <c r="AJ106" i="3" s="1"/>
  <c r="AJ108" i="3" s="1"/>
  <c r="AJ472" i="3" s="1"/>
  <c r="AJ494" i="3" s="1"/>
  <c r="E80" i="3"/>
  <c r="BG80" i="3" s="1"/>
  <c r="CE32" i="5"/>
  <c r="N57" i="4"/>
  <c r="X29" i="4"/>
  <c r="Z46" i="4"/>
  <c r="SS60" i="4"/>
  <c r="AI104" i="3" s="1"/>
  <c r="AI106" i="3" s="1"/>
  <c r="AI108" i="3" s="1"/>
  <c r="AI472" i="3" s="1"/>
  <c r="AI494" i="3" s="1"/>
  <c r="G46" i="4"/>
  <c r="Z73" i="4"/>
  <c r="AB54" i="4"/>
  <c r="X68" i="4"/>
  <c r="Z47" i="4"/>
  <c r="PA42" i="4"/>
  <c r="AB179" i="3"/>
  <c r="BG179" i="3" s="1"/>
  <c r="PI50" i="4"/>
  <c r="AB263" i="3"/>
  <c r="X44" i="4"/>
  <c r="SY42" i="4"/>
  <c r="AH287" i="3" s="1"/>
  <c r="AH289" i="3" s="1"/>
  <c r="AH291" i="3" s="1"/>
  <c r="AH481" i="3" s="1"/>
  <c r="AH503" i="3" s="1"/>
  <c r="AM192" i="3"/>
  <c r="AO131" i="3"/>
  <c r="M63" i="4"/>
  <c r="E260" i="3"/>
  <c r="SY92" i="4"/>
  <c r="SY94" i="4" s="1"/>
  <c r="VI31" i="4"/>
  <c r="TY27" i="4"/>
  <c r="TY26" i="4"/>
  <c r="AL41" i="3"/>
  <c r="SX49" i="4"/>
  <c r="SZ46" i="4"/>
  <c r="SZ49" i="4" s="1"/>
  <c r="X28" i="4"/>
  <c r="UO21" i="4"/>
  <c r="UQ18" i="4"/>
  <c r="DG25" i="4"/>
  <c r="K43" i="3" s="1"/>
  <c r="K37" i="3"/>
  <c r="MO36" i="4"/>
  <c r="MO35" i="4"/>
  <c r="F17" i="3"/>
  <c r="BG17" i="3" s="1"/>
  <c r="EB16" i="4"/>
  <c r="DZ18" i="4"/>
  <c r="SS24" i="4"/>
  <c r="AG104" i="3" s="1"/>
  <c r="AG106" i="3" s="1"/>
  <c r="AG108" i="3" s="1"/>
  <c r="AG472" i="3" s="1"/>
  <c r="AG494" i="3" s="1"/>
  <c r="G37" i="3"/>
  <c r="NY32" i="4"/>
  <c r="Z287" i="3" s="1"/>
  <c r="Z289" i="3" s="1"/>
  <c r="Z291" i="3" s="1"/>
  <c r="Z481" i="3" s="1"/>
  <c r="Z503" i="3" s="1"/>
  <c r="AE100" i="3"/>
  <c r="DJ23" i="4"/>
  <c r="DL18" i="4"/>
  <c r="SA30" i="4"/>
  <c r="AF131" i="3" s="1"/>
  <c r="PD19" i="4"/>
  <c r="VZ21" i="4"/>
  <c r="AO314" i="3" s="1"/>
  <c r="GA30" i="4"/>
  <c r="O43" i="3" s="1"/>
  <c r="O45" i="3" s="1"/>
  <c r="O47" i="3" s="1"/>
  <c r="O469" i="3" s="1"/>
  <c r="O491" i="3" s="1"/>
  <c r="SY24" i="4"/>
  <c r="AG287" i="3" s="1"/>
  <c r="AG289" i="3" s="1"/>
  <c r="AG291" i="3" s="1"/>
  <c r="AG481" i="3" s="1"/>
  <c r="AG503" i="3" s="1"/>
  <c r="FI23" i="4"/>
  <c r="N70" i="3" s="1"/>
  <c r="IE23" i="4"/>
  <c r="R131" i="3" s="1"/>
  <c r="SW26" i="4"/>
  <c r="AG253" i="3" s="1"/>
  <c r="Z509" i="3"/>
  <c r="Z436" i="3"/>
  <c r="Z430" i="3"/>
  <c r="BA509" i="3"/>
  <c r="BA436" i="3"/>
  <c r="BA430" i="3"/>
  <c r="AY506" i="3"/>
  <c r="AY369" i="3"/>
  <c r="D86" i="3"/>
  <c r="M9" i="6"/>
  <c r="M17" i="6"/>
  <c r="M25" i="6"/>
  <c r="M26" i="6"/>
  <c r="N51" i="6"/>
  <c r="Q509" i="3"/>
  <c r="Q436" i="3"/>
  <c r="Q430" i="3"/>
  <c r="BB375" i="3"/>
  <c r="BB506" i="3"/>
  <c r="BB369" i="3"/>
  <c r="BH97" i="3"/>
  <c r="BA131" i="3"/>
  <c r="Y37" i="4"/>
  <c r="W37" i="4"/>
  <c r="V37" i="4"/>
  <c r="AV286" i="3"/>
  <c r="I19" i="1"/>
  <c r="CA39" i="5"/>
  <c r="D35" i="5"/>
  <c r="SX74" i="4"/>
  <c r="SX76" i="4" s="1"/>
  <c r="SZ70" i="4"/>
  <c r="EQ21" i="4"/>
  <c r="EQ23" i="4" s="1"/>
  <c r="ER23" i="4"/>
  <c r="LJ31" i="4"/>
  <c r="LJ32" i="4" s="1"/>
  <c r="BF509" i="3"/>
  <c r="BF430" i="3"/>
  <c r="BF436" i="3"/>
  <c r="ED46" i="5"/>
  <c r="BC436" i="3"/>
  <c r="EX41" i="5"/>
  <c r="EX42" i="5" s="1"/>
  <c r="ED27" i="5"/>
  <c r="FN37" i="5"/>
  <c r="FL45" i="5"/>
  <c r="CA62" i="5"/>
  <c r="GF41" i="5"/>
  <c r="GF42" i="5" s="1"/>
  <c r="ED43" i="5"/>
  <c r="H30" i="5"/>
  <c r="M35" i="5"/>
  <c r="H26" i="5"/>
  <c r="FP42" i="5"/>
  <c r="AZ192" i="3"/>
  <c r="BM28" i="5"/>
  <c r="AX226" i="3" s="1"/>
  <c r="AX228" i="3" s="1"/>
  <c r="AX230" i="3" s="1"/>
  <c r="AX478" i="3" s="1"/>
  <c r="AX500" i="3" s="1"/>
  <c r="BF41" i="3"/>
  <c r="AO29" i="5"/>
  <c r="AW70" i="3" s="1"/>
  <c r="FJ47" i="5"/>
  <c r="SS100" i="4"/>
  <c r="Z52" i="4"/>
  <c r="SU100" i="4"/>
  <c r="H55" i="4"/>
  <c r="I63" i="4"/>
  <c r="E138" i="3"/>
  <c r="PE53" i="4"/>
  <c r="AA58" i="4"/>
  <c r="AA59" i="4"/>
  <c r="OK35" i="4"/>
  <c r="OK34" i="4"/>
  <c r="AA104" i="3" s="1"/>
  <c r="AA99" i="3"/>
  <c r="X27" i="4"/>
  <c r="OI30" i="4"/>
  <c r="OI32" i="4" s="1"/>
  <c r="AA38" i="3"/>
  <c r="VJ30" i="4"/>
  <c r="VJ31" i="4" s="1"/>
  <c r="AK253" i="3"/>
  <c r="AK41" i="3"/>
  <c r="X24" i="4"/>
  <c r="AL104" i="3"/>
  <c r="AL106" i="3" s="1"/>
  <c r="AL108" i="3" s="1"/>
  <c r="Z22" i="4"/>
  <c r="SU42" i="4"/>
  <c r="AH165" i="3" s="1"/>
  <c r="AH167" i="3" s="1"/>
  <c r="AH169" i="3" s="1"/>
  <c r="AH475" i="3" s="1"/>
  <c r="AH497" i="3" s="1"/>
  <c r="TX27" i="4"/>
  <c r="PB50" i="4"/>
  <c r="M314" i="3"/>
  <c r="J37" i="4"/>
  <c r="AB301" i="3"/>
  <c r="BG301" i="3" s="1"/>
  <c r="H25" i="4"/>
  <c r="S131" i="3"/>
  <c r="MM35" i="4"/>
  <c r="MM36" i="4" s="1"/>
  <c r="X253" i="3" s="1"/>
  <c r="ST24" i="4"/>
  <c r="ST26" i="4" s="1"/>
  <c r="PA35" i="4"/>
  <c r="AB54" i="3"/>
  <c r="PF20" i="4"/>
  <c r="QT19" i="4"/>
  <c r="QR21" i="4"/>
  <c r="MF29" i="4"/>
  <c r="MF31" i="4"/>
  <c r="MF34" i="4"/>
  <c r="AH253" i="3"/>
  <c r="ES19" i="4"/>
  <c r="VD28" i="4"/>
  <c r="VE19" i="4"/>
  <c r="VD23" i="4"/>
  <c r="IF20" i="4"/>
  <c r="IH16" i="4"/>
  <c r="W62" i="4"/>
  <c r="W38" i="4"/>
  <c r="W72" i="4" s="1"/>
  <c r="W34" i="4"/>
  <c r="X17" i="4"/>
  <c r="BH362" i="3"/>
  <c r="NB16" i="4"/>
  <c r="MZ17" i="4"/>
  <c r="AZ506" i="3"/>
  <c r="AZ369" i="3"/>
  <c r="AZ375" i="3"/>
  <c r="F39" i="6"/>
  <c r="M39" i="6"/>
  <c r="M37" i="6"/>
  <c r="E48" i="6"/>
  <c r="M11" i="6"/>
  <c r="M19" i="6"/>
  <c r="K49" i="6"/>
  <c r="BD314" i="3"/>
  <c r="Q506" i="3"/>
  <c r="Q369" i="3"/>
  <c r="Q375" i="3"/>
  <c r="J30" i="2"/>
  <c r="C4" i="6"/>
  <c r="D51" i="3"/>
  <c r="BH86" i="3"/>
  <c r="F37" i="5"/>
  <c r="A44" i="1"/>
  <c r="BD245" i="3"/>
  <c r="BD247" i="3" s="1"/>
  <c r="AV245" i="3"/>
  <c r="AN245" i="3"/>
  <c r="AN247" i="3" s="1"/>
  <c r="AF245" i="3"/>
  <c r="X245" i="3"/>
  <c r="X247" i="3" s="1"/>
  <c r="P245" i="3"/>
  <c r="P247" i="3" s="1"/>
  <c r="H245" i="3"/>
  <c r="H247" i="3" s="1"/>
  <c r="BH184" i="3"/>
  <c r="D245" i="3" s="1"/>
  <c r="AZ184" i="3"/>
  <c r="AZ186" i="3" s="1"/>
  <c r="AR184" i="3"/>
  <c r="AR186" i="3" s="1"/>
  <c r="AJ184" i="3"/>
  <c r="AJ186" i="3" s="1"/>
  <c r="AB184" i="3"/>
  <c r="T184" i="3"/>
  <c r="T186" i="3" s="1"/>
  <c r="L184" i="3"/>
  <c r="L186" i="3" s="1"/>
  <c r="D184" i="3"/>
  <c r="BC245" i="3"/>
  <c r="AU245" i="3"/>
  <c r="AU247" i="3" s="1"/>
  <c r="AM245" i="3"/>
  <c r="AM247" i="3" s="1"/>
  <c r="AE245" i="3"/>
  <c r="W245" i="3"/>
  <c r="W247" i="3" s="1"/>
  <c r="O245" i="3"/>
  <c r="G245" i="3"/>
  <c r="G247" i="3" s="1"/>
  <c r="BG184" i="3"/>
  <c r="AY184" i="3"/>
  <c r="AQ184" i="3"/>
  <c r="AI184" i="3"/>
  <c r="AA184" i="3"/>
  <c r="AA186" i="3" s="1"/>
  <c r="S184" i="3"/>
  <c r="S186" i="3" s="1"/>
  <c r="K184" i="3"/>
  <c r="K186" i="3" s="1"/>
  <c r="BB245" i="3"/>
  <c r="BB247" i="3" s="1"/>
  <c r="AT245" i="3"/>
  <c r="AT247" i="3" s="1"/>
  <c r="AL245" i="3"/>
  <c r="AD245" i="3"/>
  <c r="AD247" i="3" s="1"/>
  <c r="V245" i="3"/>
  <c r="V247" i="3" s="1"/>
  <c r="N245" i="3"/>
  <c r="N247" i="3" s="1"/>
  <c r="F245" i="3"/>
  <c r="F247" i="3" s="1"/>
  <c r="BF184" i="3"/>
  <c r="BF186" i="3" s="1"/>
  <c r="AX184" i="3"/>
  <c r="AX186" i="3" s="1"/>
  <c r="AP184" i="3"/>
  <c r="AP186" i="3" s="1"/>
  <c r="AH184" i="3"/>
  <c r="Z184" i="3"/>
  <c r="Z186" i="3" s="1"/>
  <c r="R184" i="3"/>
  <c r="R186" i="3" s="1"/>
  <c r="J184" i="3"/>
  <c r="J186" i="3" s="1"/>
  <c r="BA245" i="3"/>
  <c r="AS245" i="3"/>
  <c r="AS247" i="3" s="1"/>
  <c r="AK245" i="3"/>
  <c r="AK247" i="3" s="1"/>
  <c r="AC245" i="3"/>
  <c r="U245" i="3"/>
  <c r="U247" i="3" s="1"/>
  <c r="M245" i="3"/>
  <c r="M247" i="3" s="1"/>
  <c r="E245" i="3"/>
  <c r="BE184" i="3"/>
  <c r="BE186" i="3" s="1"/>
  <c r="AW184" i="3"/>
  <c r="AW186" i="3" s="1"/>
  <c r="AO184" i="3"/>
  <c r="AO186" i="3" s="1"/>
  <c r="AG184" i="3"/>
  <c r="Y184" i="3"/>
  <c r="Q184" i="3"/>
  <c r="Q186" i="3" s="1"/>
  <c r="I184" i="3"/>
  <c r="BH245" i="3"/>
  <c r="D306" i="3" s="1"/>
  <c r="AZ245" i="3"/>
  <c r="AZ247" i="3" s="1"/>
  <c r="AR245" i="3"/>
  <c r="AR247" i="3" s="1"/>
  <c r="AJ245" i="3"/>
  <c r="AJ247" i="3" s="1"/>
  <c r="AB245" i="3"/>
  <c r="T245" i="3"/>
  <c r="T247" i="3" s="1"/>
  <c r="L245" i="3"/>
  <c r="L247" i="3" s="1"/>
  <c r="BF245" i="3"/>
  <c r="AX245" i="3"/>
  <c r="AP245" i="3"/>
  <c r="AP247" i="3" s="1"/>
  <c r="AH245" i="3"/>
  <c r="AH247" i="3" s="1"/>
  <c r="Z245" i="3"/>
  <c r="R245" i="3"/>
  <c r="R247" i="3" s="1"/>
  <c r="J245" i="3"/>
  <c r="J247" i="3" s="1"/>
  <c r="AW245" i="3"/>
  <c r="Q245" i="3"/>
  <c r="BB184" i="3"/>
  <c r="BB186" i="3" s="1"/>
  <c r="AL184" i="3"/>
  <c r="V184" i="3"/>
  <c r="V186" i="3" s="1"/>
  <c r="F184" i="3"/>
  <c r="F186" i="3" s="1"/>
  <c r="BB123" i="3"/>
  <c r="BB125" i="3" s="1"/>
  <c r="AM123" i="3"/>
  <c r="AM125" i="3" s="1"/>
  <c r="AE123" i="3"/>
  <c r="W123" i="3"/>
  <c r="W125" i="3" s="1"/>
  <c r="O123" i="3"/>
  <c r="G123" i="3"/>
  <c r="BB62" i="3"/>
  <c r="AT62" i="3"/>
  <c r="AT64" i="3" s="1"/>
  <c r="AL62" i="3"/>
  <c r="AD62" i="3"/>
  <c r="AD64" i="3" s="1"/>
  <c r="V62" i="3"/>
  <c r="V64" i="3" s="1"/>
  <c r="N62" i="3"/>
  <c r="E62" i="3"/>
  <c r="AQ245" i="3"/>
  <c r="AQ247" i="3" s="1"/>
  <c r="K245" i="3"/>
  <c r="K247" i="3" s="1"/>
  <c r="BA184" i="3"/>
  <c r="BA186" i="3" s="1"/>
  <c r="AK184" i="3"/>
  <c r="AK186" i="3" s="1"/>
  <c r="U184" i="3"/>
  <c r="U186" i="3" s="1"/>
  <c r="E184" i="3"/>
  <c r="BA123" i="3"/>
  <c r="BA125" i="3" s="1"/>
  <c r="AL123" i="3"/>
  <c r="AD123" i="3"/>
  <c r="AD125" i="3" s="1"/>
  <c r="V123" i="3"/>
  <c r="V125" i="3" s="1"/>
  <c r="N123" i="3"/>
  <c r="N125" i="3" s="1"/>
  <c r="F123" i="3"/>
  <c r="BA62" i="3"/>
  <c r="AS62" i="3"/>
  <c r="AS64" i="3" s="1"/>
  <c r="AK62" i="3"/>
  <c r="AC62" i="3"/>
  <c r="U62" i="3"/>
  <c r="U64" i="3" s="1"/>
  <c r="M62" i="3"/>
  <c r="D62" i="3"/>
  <c r="D64" i="3" s="1"/>
  <c r="AO245" i="3"/>
  <c r="AO247" i="3" s="1"/>
  <c r="I245" i="3"/>
  <c r="AV184" i="3"/>
  <c r="AV186" i="3" s="1"/>
  <c r="AF184" i="3"/>
  <c r="P184" i="3"/>
  <c r="P186" i="3" s="1"/>
  <c r="BH123" i="3"/>
  <c r="AZ123" i="3"/>
  <c r="AZ125" i="3" s="1"/>
  <c r="AK123" i="3"/>
  <c r="AK125" i="3" s="1"/>
  <c r="AC123" i="3"/>
  <c r="U123" i="3"/>
  <c r="U125" i="3" s="1"/>
  <c r="M123" i="3"/>
  <c r="E123" i="3"/>
  <c r="BH62" i="3"/>
  <c r="AZ62" i="3"/>
  <c r="AZ64" i="3" s="1"/>
  <c r="AR62" i="3"/>
  <c r="AR64" i="3" s="1"/>
  <c r="AJ62" i="3"/>
  <c r="AJ64" i="3" s="1"/>
  <c r="AB62" i="3"/>
  <c r="T62" i="3"/>
  <c r="L62" i="3"/>
  <c r="L64" i="3" s="1"/>
  <c r="AI245" i="3"/>
  <c r="AU184" i="3"/>
  <c r="AU186" i="3" s="1"/>
  <c r="AE184" i="3"/>
  <c r="O184" i="3"/>
  <c r="BG123" i="3"/>
  <c r="AY123" i="3"/>
  <c r="AJ123" i="3"/>
  <c r="AB123" i="3"/>
  <c r="T123" i="3"/>
  <c r="L123" i="3"/>
  <c r="D123" i="3"/>
  <c r="BG62" i="3"/>
  <c r="AY62" i="3"/>
  <c r="AQ62" i="3"/>
  <c r="AQ64" i="3" s="1"/>
  <c r="AI62" i="3"/>
  <c r="AI64" i="3" s="1"/>
  <c r="AA62" i="3"/>
  <c r="S62" i="3"/>
  <c r="K62" i="3"/>
  <c r="AG245" i="3"/>
  <c r="AG247" i="3" s="1"/>
  <c r="AT184" i="3"/>
  <c r="AT186" i="3" s="1"/>
  <c r="AD184" i="3"/>
  <c r="AD186" i="3" s="1"/>
  <c r="N184" i="3"/>
  <c r="N186" i="3" s="1"/>
  <c r="BF123" i="3"/>
  <c r="BF125" i="3" s="1"/>
  <c r="AX123" i="3"/>
  <c r="AX125" i="3" s="1"/>
  <c r="AI123" i="3"/>
  <c r="AA123" i="3"/>
  <c r="S123" i="3"/>
  <c r="S125" i="3" s="1"/>
  <c r="K123" i="3"/>
  <c r="K125" i="3" s="1"/>
  <c r="BF62" i="3"/>
  <c r="AX62" i="3"/>
  <c r="AX64" i="3" s="1"/>
  <c r="AP62" i="3"/>
  <c r="AP64" i="3" s="1"/>
  <c r="AH62" i="3"/>
  <c r="AH64" i="3" s="1"/>
  <c r="Z62" i="3"/>
  <c r="Z64" i="3" s="1"/>
  <c r="R62" i="3"/>
  <c r="R64" i="3" s="1"/>
  <c r="J62" i="3"/>
  <c r="J64" i="3" s="1"/>
  <c r="BG245" i="3"/>
  <c r="AA245" i="3"/>
  <c r="AS184" i="3"/>
  <c r="AS186" i="3" s="1"/>
  <c r="AC184" i="3"/>
  <c r="M184" i="3"/>
  <c r="M186" i="3" s="1"/>
  <c r="BE123" i="3"/>
  <c r="BE125" i="3" s="1"/>
  <c r="AW123" i="3"/>
  <c r="AW125" i="3" s="1"/>
  <c r="AH123" i="3"/>
  <c r="AH125" i="3" s="1"/>
  <c r="Z123" i="3"/>
  <c r="Z125" i="3" s="1"/>
  <c r="R123" i="3"/>
  <c r="R125" i="3" s="1"/>
  <c r="J123" i="3"/>
  <c r="J125" i="3" s="1"/>
  <c r="BE62" i="3"/>
  <c r="BE64" i="3" s="1"/>
  <c r="AW62" i="3"/>
  <c r="AW64" i="3" s="1"/>
  <c r="AO62" i="3"/>
  <c r="AO64" i="3" s="1"/>
  <c r="AG62" i="3"/>
  <c r="AG64" i="3" s="1"/>
  <c r="Y62" i="3"/>
  <c r="Q62" i="3"/>
  <c r="Q64" i="3" s="1"/>
  <c r="I62" i="3"/>
  <c r="AY245" i="3"/>
  <c r="S245" i="3"/>
  <c r="S247" i="3" s="1"/>
  <c r="BC184" i="3"/>
  <c r="AM184" i="3"/>
  <c r="AM186" i="3" s="1"/>
  <c r="W184" i="3"/>
  <c r="W186" i="3" s="1"/>
  <c r="G184" i="3"/>
  <c r="G186" i="3" s="1"/>
  <c r="BC123" i="3"/>
  <c r="BC125" i="3" s="1"/>
  <c r="AN123" i="3"/>
  <c r="AF123" i="3"/>
  <c r="AF125" i="3" s="1"/>
  <c r="X123" i="3"/>
  <c r="X125" i="3" s="1"/>
  <c r="P123" i="3"/>
  <c r="P125" i="3" s="1"/>
  <c r="H123" i="3"/>
  <c r="H125" i="3" s="1"/>
  <c r="Y245" i="3"/>
  <c r="Y123" i="3"/>
  <c r="Y125" i="3" s="1"/>
  <c r="AE62" i="3"/>
  <c r="AE64" i="3" s="1"/>
  <c r="BD33" i="1"/>
  <c r="AV33" i="1"/>
  <c r="AN33" i="1"/>
  <c r="AF33" i="1"/>
  <c r="X33" i="1"/>
  <c r="Q123" i="3"/>
  <c r="Q125" i="3" s="1"/>
  <c r="BD62" i="3"/>
  <c r="BC33" i="1"/>
  <c r="AE33" i="1"/>
  <c r="BD184" i="3"/>
  <c r="BD186" i="3" s="1"/>
  <c r="X62" i="3"/>
  <c r="AM33" i="1"/>
  <c r="AN184" i="3"/>
  <c r="I123" i="3"/>
  <c r="BC62" i="3"/>
  <c r="W62" i="3"/>
  <c r="W64" i="3" s="1"/>
  <c r="BB33" i="1"/>
  <c r="AT33" i="1"/>
  <c r="AL33" i="1"/>
  <c r="AD33" i="1"/>
  <c r="AS33" i="1"/>
  <c r="AZ33" i="1"/>
  <c r="AJ33" i="1"/>
  <c r="AB33" i="1"/>
  <c r="AY33" i="1"/>
  <c r="F62" i="3"/>
  <c r="AH33" i="1"/>
  <c r="X184" i="3"/>
  <c r="X186" i="3" s="1"/>
  <c r="AV62" i="3"/>
  <c r="P62" i="3"/>
  <c r="BA33" i="1"/>
  <c r="AK33" i="1"/>
  <c r="AC33" i="1"/>
  <c r="AA33" i="1"/>
  <c r="AV123" i="3"/>
  <c r="AV125" i="3" s="1"/>
  <c r="AM62" i="3"/>
  <c r="AM64" i="3" s="1"/>
  <c r="H184" i="3"/>
  <c r="H186" i="3" s="1"/>
  <c r="AU62" i="3"/>
  <c r="O62" i="3"/>
  <c r="AR33" i="1"/>
  <c r="AP33" i="1"/>
  <c r="BD123" i="3"/>
  <c r="BD125" i="3" s="1"/>
  <c r="AN62" i="3"/>
  <c r="AN64" i="3" s="1"/>
  <c r="G62" i="3"/>
  <c r="AQ33" i="1"/>
  <c r="AI33" i="1"/>
  <c r="Z33" i="1"/>
  <c r="BE245" i="3"/>
  <c r="BE247" i="3" s="1"/>
  <c r="AG123" i="3"/>
  <c r="AF62" i="3"/>
  <c r="AF64" i="3" s="1"/>
  <c r="BE33" i="1"/>
  <c r="AW33" i="1"/>
  <c r="AO33" i="1"/>
  <c r="AG33" i="1"/>
  <c r="Y33" i="1"/>
  <c r="AU33" i="1"/>
  <c r="W33" i="1"/>
  <c r="AX33" i="1"/>
  <c r="ED33" i="5"/>
  <c r="FN38" i="5"/>
  <c r="GH37" i="5"/>
  <c r="GH39" i="5" s="1"/>
  <c r="GJ35" i="5"/>
  <c r="ED19" i="5"/>
  <c r="BO28" i="5"/>
  <c r="BO30" i="5" s="1"/>
  <c r="AX314" i="3" s="1"/>
  <c r="BF28" i="5"/>
  <c r="BF30" i="5" s="1"/>
  <c r="AW29" i="4"/>
  <c r="AW30" i="4"/>
  <c r="H34" i="4"/>
  <c r="X19" i="4"/>
  <c r="AB71" i="4"/>
  <c r="AD43" i="4"/>
  <c r="PG35" i="4"/>
  <c r="AB237" i="3"/>
  <c r="E16" i="3"/>
  <c r="BG365" i="3"/>
  <c r="BG354" i="3" s="1"/>
  <c r="BH359" i="3"/>
  <c r="CG16" i="4"/>
  <c r="AE506" i="3"/>
  <c r="AE369" i="3"/>
  <c r="AY411" i="3"/>
  <c r="AY413" i="3" s="1"/>
  <c r="AY487" i="3" s="1"/>
  <c r="I509" i="3"/>
  <c r="I430" i="3"/>
  <c r="ED73" i="5"/>
  <c r="ED52" i="5"/>
  <c r="ED44" i="5"/>
  <c r="HB36" i="5"/>
  <c r="J33" i="5"/>
  <c r="GV29" i="5"/>
  <c r="BZ64" i="5"/>
  <c r="BZ66" i="5" s="1"/>
  <c r="CY29" i="5"/>
  <c r="AZ314" i="3" s="1"/>
  <c r="GF26" i="5"/>
  <c r="GF32" i="5" s="1"/>
  <c r="GH24" i="5"/>
  <c r="EU42" i="5"/>
  <c r="BC131" i="3" s="1"/>
  <c r="I35" i="5"/>
  <c r="GI42" i="5"/>
  <c r="BE253" i="3" s="1"/>
  <c r="ED168" i="5"/>
  <c r="EF32" i="5"/>
  <c r="EU31" i="5"/>
  <c r="FN39" i="5"/>
  <c r="TC96" i="4"/>
  <c r="TC98" i="4" s="1"/>
  <c r="CG62" i="5"/>
  <c r="F70" i="4"/>
  <c r="F72" i="4" s="1"/>
  <c r="X51" i="4"/>
  <c r="SW80" i="4"/>
  <c r="AJ253" i="3" s="1"/>
  <c r="SV84" i="4"/>
  <c r="ST102" i="4"/>
  <c r="SS102" i="4" s="1"/>
  <c r="SW60" i="4"/>
  <c r="AI226" i="3" s="1"/>
  <c r="AI228" i="3" s="1"/>
  <c r="AI230" i="3" s="1"/>
  <c r="AI478" i="3" s="1"/>
  <c r="AI500" i="3" s="1"/>
  <c r="F43" i="4"/>
  <c r="AC66" i="4"/>
  <c r="Z45" i="4"/>
  <c r="AA66" i="4"/>
  <c r="UC27" i="4"/>
  <c r="AL165" i="3"/>
  <c r="AL167" i="3" s="1"/>
  <c r="AL169" i="3" s="1"/>
  <c r="AL475" i="3" s="1"/>
  <c r="AL497" i="3" s="1"/>
  <c r="AK131" i="3"/>
  <c r="PF26" i="4"/>
  <c r="AB48" i="4"/>
  <c r="O74" i="4"/>
  <c r="O75" i="4"/>
  <c r="AS30" i="4"/>
  <c r="AS29" i="4"/>
  <c r="PD25" i="4"/>
  <c r="X26" i="4"/>
  <c r="AE57" i="4"/>
  <c r="AB57" i="3"/>
  <c r="J26" i="4"/>
  <c r="AB55" i="3"/>
  <c r="RK21" i="4"/>
  <c r="RK25" i="4" s="1"/>
  <c r="RK27" i="4" s="1"/>
  <c r="AE160" i="3"/>
  <c r="PD24" i="4"/>
  <c r="PB27" i="4"/>
  <c r="PC35" i="4"/>
  <c r="AB115" i="3"/>
  <c r="GE31" i="4"/>
  <c r="SC35" i="4"/>
  <c r="AF177" i="3"/>
  <c r="AF182" i="3" s="1"/>
  <c r="AF171" i="3" s="1"/>
  <c r="AF476" i="3" s="1"/>
  <c r="AF498" i="3" s="1"/>
  <c r="SE28" i="4"/>
  <c r="AF226" i="3" s="1"/>
  <c r="AF228" i="3" s="1"/>
  <c r="AF230" i="3" s="1"/>
  <c r="AF478" i="3" s="1"/>
  <c r="AF500" i="3" s="1"/>
  <c r="RO21" i="4"/>
  <c r="RO25" i="4" s="1"/>
  <c r="RO27" i="4" s="1"/>
  <c r="AE282" i="3"/>
  <c r="IT21" i="4"/>
  <c r="IT22" i="4" s="1"/>
  <c r="KH17" i="4"/>
  <c r="KJ16" i="4"/>
  <c r="SG30" i="4"/>
  <c r="AF314" i="3" s="1"/>
  <c r="VI23" i="4"/>
  <c r="MJ16" i="4"/>
  <c r="MH20" i="4"/>
  <c r="MH25" i="4" s="1"/>
  <c r="MH27" i="4" s="1"/>
  <c r="EX17" i="4"/>
  <c r="EV19" i="4"/>
  <c r="AP314" i="3"/>
  <c r="FL20" i="4"/>
  <c r="VB30" i="4"/>
  <c r="VB31" i="4" s="1"/>
  <c r="ID22" i="4"/>
  <c r="ID23" i="4" s="1"/>
  <c r="Y314" i="3"/>
  <c r="BE509" i="3"/>
  <c r="BE430" i="3"/>
  <c r="BE436" i="3"/>
  <c r="AF506" i="3"/>
  <c r="AF369" i="3"/>
  <c r="BB192" i="3"/>
  <c r="BB171" i="3"/>
  <c r="BB476" i="3" s="1"/>
  <c r="BB498" i="3" s="1"/>
  <c r="M42" i="6"/>
  <c r="H7" i="6"/>
  <c r="H23" i="6"/>
  <c r="M16" i="6"/>
  <c r="M44" i="6"/>
  <c r="S506" i="3"/>
  <c r="S375" i="3"/>
  <c r="S369" i="3"/>
  <c r="I506" i="3"/>
  <c r="I369" i="3"/>
  <c r="I375" i="3"/>
  <c r="Y186" i="3"/>
  <c r="ST101" i="4"/>
  <c r="ST103" i="4" s="1"/>
  <c r="ST85" i="4"/>
  <c r="SY60" i="4"/>
  <c r="AI287" i="3" s="1"/>
  <c r="AI289" i="3" s="1"/>
  <c r="AI291" i="3" s="1"/>
  <c r="AI481" i="3" s="1"/>
  <c r="AI503" i="3" s="1"/>
  <c r="J29" i="4"/>
  <c r="PG52" i="4"/>
  <c r="PA41" i="4"/>
  <c r="PF31" i="4"/>
  <c r="SV24" i="4"/>
  <c r="SV26" i="4" s="1"/>
  <c r="NA20" i="4"/>
  <c r="PD18" i="4"/>
  <c r="PB21" i="4"/>
  <c r="MI34" i="4"/>
  <c r="MI29" i="4"/>
  <c r="MI31" i="4" s="1"/>
  <c r="G34" i="3"/>
  <c r="RI29" i="4"/>
  <c r="AE104" i="3" s="1"/>
  <c r="RI31" i="4"/>
  <c r="O314" i="3"/>
  <c r="V70" i="3"/>
  <c r="ED61" i="5"/>
  <c r="EB55" i="5"/>
  <c r="ED51" i="5"/>
  <c r="ED181" i="5"/>
  <c r="EF45" i="5"/>
  <c r="CF64" i="5"/>
  <c r="CF66" i="5" s="1"/>
  <c r="ED69" i="5"/>
  <c r="HA34" i="5"/>
  <c r="BF224" i="3"/>
  <c r="CC38" i="5"/>
  <c r="AY178" i="3"/>
  <c r="ED60" i="5"/>
  <c r="FN41" i="5"/>
  <c r="AW192" i="3"/>
  <c r="DL24" i="5"/>
  <c r="DJ26" i="5"/>
  <c r="HC36" i="5"/>
  <c r="HC37" i="5" s="1"/>
  <c r="BF314" i="3"/>
  <c r="H24" i="5"/>
  <c r="EB38" i="5"/>
  <c r="J60" i="4"/>
  <c r="SU92" i="4"/>
  <c r="SU94" i="4" s="1"/>
  <c r="CI64" i="5"/>
  <c r="CI66" i="5" s="1"/>
  <c r="AY375" i="3" s="1"/>
  <c r="AT24" i="5"/>
  <c r="AR26" i="5"/>
  <c r="J32" i="5"/>
  <c r="H50" i="4"/>
  <c r="L68" i="4"/>
  <c r="AC58" i="4"/>
  <c r="AC59" i="4" s="1"/>
  <c r="PH52" i="4"/>
  <c r="E56" i="4"/>
  <c r="F33" i="4"/>
  <c r="F46" i="4" s="1"/>
  <c r="F28" i="3"/>
  <c r="BG28" i="3" s="1"/>
  <c r="W64" i="4"/>
  <c r="H23" i="4"/>
  <c r="J45" i="4"/>
  <c r="AE66" i="4"/>
  <c r="AB177" i="3"/>
  <c r="AK192" i="3"/>
  <c r="H27" i="4"/>
  <c r="UB27" i="4"/>
  <c r="EP25" i="4"/>
  <c r="EP27" i="4" s="1"/>
  <c r="SE35" i="4"/>
  <c r="AF238" i="3"/>
  <c r="X21" i="4"/>
  <c r="J20" i="4"/>
  <c r="FZ30" i="4"/>
  <c r="FZ31" i="4"/>
  <c r="DY22" i="4"/>
  <c r="L70" i="3" s="1"/>
  <c r="RM21" i="4"/>
  <c r="RM25" i="4" s="1"/>
  <c r="RM27" i="4" s="1"/>
  <c r="AE221" i="3"/>
  <c r="MG29" i="4"/>
  <c r="X43" i="3" s="1"/>
  <c r="X45" i="3" s="1"/>
  <c r="X47" i="3" s="1"/>
  <c r="X469" i="3" s="1"/>
  <c r="X491" i="3" s="1"/>
  <c r="MG34" i="4"/>
  <c r="PY21" i="4"/>
  <c r="EV21" i="4"/>
  <c r="ES21" i="4"/>
  <c r="ES23" i="4" s="1"/>
  <c r="ET23" i="4"/>
  <c r="H18" i="4"/>
  <c r="FJ21" i="4"/>
  <c r="FL21" i="4" s="1"/>
  <c r="FN21" i="4" s="1"/>
  <c r="FP21" i="4" s="1"/>
  <c r="FR21" i="4" s="1"/>
  <c r="LR22" i="4"/>
  <c r="LT16" i="4"/>
  <c r="PI35" i="4"/>
  <c r="AB298" i="3"/>
  <c r="V72" i="4"/>
  <c r="X38" i="4"/>
  <c r="BH382" i="3"/>
  <c r="BH386" i="3" s="1"/>
  <c r="BG386" i="3"/>
  <c r="BG426" i="3"/>
  <c r="BG415" i="3" s="1"/>
  <c r="BH420" i="3"/>
  <c r="G30" i="2"/>
  <c r="AW509" i="3"/>
  <c r="AW430" i="3"/>
  <c r="AW436" i="3"/>
  <c r="W506" i="3"/>
  <c r="W369" i="3"/>
  <c r="W375" i="3"/>
  <c r="AQ186" i="3"/>
  <c r="M5" i="6"/>
  <c r="M13" i="6"/>
  <c r="M21" i="6"/>
  <c r="M52" i="6"/>
  <c r="G23" i="6"/>
  <c r="E43" i="6"/>
  <c r="AE509" i="3"/>
  <c r="AE430" i="3"/>
  <c r="AE436" i="3"/>
  <c r="FI24" i="5"/>
  <c r="GS23" i="5"/>
  <c r="C76" i="4"/>
  <c r="Q76" i="4" s="1"/>
  <c r="OY43" i="4"/>
  <c r="U39" i="4"/>
  <c r="TH23" i="4"/>
  <c r="AM24" i="4"/>
  <c r="T125" i="3"/>
  <c r="BD306" i="3"/>
  <c r="BD308" i="3" s="1"/>
  <c r="AV306" i="3"/>
  <c r="AN306" i="3"/>
  <c r="AF306" i="3"/>
  <c r="AF308" i="3" s="1"/>
  <c r="X306" i="3"/>
  <c r="X308" i="3" s="1"/>
  <c r="P306" i="3"/>
  <c r="P308" i="3" s="1"/>
  <c r="H306" i="3"/>
  <c r="H308" i="3" s="1"/>
  <c r="BC306" i="3"/>
  <c r="AU306" i="3"/>
  <c r="AU308" i="3" s="1"/>
  <c r="AM306" i="3"/>
  <c r="AM308" i="3" s="1"/>
  <c r="AE306" i="3"/>
  <c r="W306" i="3"/>
  <c r="W308" i="3" s="1"/>
  <c r="O306" i="3"/>
  <c r="O308" i="3" s="1"/>
  <c r="G306" i="3"/>
  <c r="G308" i="3" s="1"/>
  <c r="BB306" i="3"/>
  <c r="BB308" i="3" s="1"/>
  <c r="AT306" i="3"/>
  <c r="AT308" i="3" s="1"/>
  <c r="AL306" i="3"/>
  <c r="AD306" i="3"/>
  <c r="AD308" i="3" s="1"/>
  <c r="V306" i="3"/>
  <c r="V308" i="3" s="1"/>
  <c r="N306" i="3"/>
  <c r="N308" i="3" s="1"/>
  <c r="F306" i="3"/>
  <c r="F308" i="3" s="1"/>
  <c r="BA306" i="3"/>
  <c r="AS306" i="3"/>
  <c r="AS308" i="3" s="1"/>
  <c r="AK306" i="3"/>
  <c r="AK308" i="3" s="1"/>
  <c r="AC306" i="3"/>
  <c r="U306" i="3"/>
  <c r="U308" i="3" s="1"/>
  <c r="M306" i="3"/>
  <c r="M308" i="3" s="1"/>
  <c r="E306" i="3"/>
  <c r="BH306" i="3"/>
  <c r="AZ306" i="3"/>
  <c r="AZ308" i="3" s="1"/>
  <c r="AR306" i="3"/>
  <c r="AR308" i="3" s="1"/>
  <c r="AJ306" i="3"/>
  <c r="AJ308" i="3" s="1"/>
  <c r="AB306" i="3"/>
  <c r="T306" i="3"/>
  <c r="T308" i="3" s="1"/>
  <c r="L306" i="3"/>
  <c r="L308" i="3" s="1"/>
  <c r="BG306" i="3"/>
  <c r="AY306" i="3"/>
  <c r="AQ306" i="3"/>
  <c r="AQ308" i="3" s="1"/>
  <c r="AI306" i="3"/>
  <c r="AA306" i="3"/>
  <c r="AA308" i="3" s="1"/>
  <c r="S306" i="3"/>
  <c r="S308" i="3" s="1"/>
  <c r="K306" i="3"/>
  <c r="K308" i="3" s="1"/>
  <c r="BE306" i="3"/>
  <c r="BE308" i="3" s="1"/>
  <c r="AW306" i="3"/>
  <c r="AW308" i="3" s="1"/>
  <c r="AO306" i="3"/>
  <c r="AO308" i="3" s="1"/>
  <c r="AG306" i="3"/>
  <c r="Y306" i="3"/>
  <c r="Y308" i="3" s="1"/>
  <c r="Q306" i="3"/>
  <c r="Q308" i="3" s="1"/>
  <c r="I306" i="3"/>
  <c r="Z306" i="3"/>
  <c r="R306" i="3"/>
  <c r="R308" i="3" s="1"/>
  <c r="L60" i="2"/>
  <c r="J306" i="3"/>
  <c r="J308" i="3" s="1"/>
  <c r="BF306" i="3"/>
  <c r="BF308" i="3" s="1"/>
  <c r="AX306" i="3"/>
  <c r="AX308" i="3" s="1"/>
  <c r="AH306" i="3"/>
  <c r="AP306" i="3"/>
  <c r="AP308" i="3" s="1"/>
  <c r="O106" i="3"/>
  <c r="O108" i="3" s="1"/>
  <c r="O472" i="3" s="1"/>
  <c r="O494" i="3" s="1"/>
  <c r="H64" i="3"/>
  <c r="Q192" i="3"/>
  <c r="J131" i="3"/>
  <c r="BH140" i="3"/>
  <c r="D201" i="3" s="1"/>
  <c r="BH201" i="3" s="1"/>
  <c r="D262" i="3" s="1"/>
  <c r="BH262" i="3" s="1"/>
  <c r="D140" i="3"/>
  <c r="ED62" i="5"/>
  <c r="H21" i="5"/>
  <c r="BC287" i="3"/>
  <c r="BC289" i="3" s="1"/>
  <c r="BC291" i="3" s="1"/>
  <c r="BC226" i="3"/>
  <c r="BC228" i="3" s="1"/>
  <c r="BC230" i="3" s="1"/>
  <c r="BC478" i="3" s="1"/>
  <c r="BC500" i="3" s="1"/>
  <c r="G38" i="5"/>
  <c r="ST60" i="4"/>
  <c r="ST62" i="4"/>
  <c r="J42" i="4"/>
  <c r="SV38" i="4"/>
  <c r="SV40" i="4" s="1"/>
  <c r="SX34" i="4"/>
  <c r="AM70" i="3"/>
  <c r="UM23" i="4"/>
  <c r="UM25" i="4" s="1"/>
  <c r="X314" i="3"/>
  <c r="AN70" i="3"/>
  <c r="QJ20" i="4"/>
  <c r="QJ21" i="4" s="1"/>
  <c r="NW32" i="4"/>
  <c r="Z226" i="3" s="1"/>
  <c r="Z228" i="3" s="1"/>
  <c r="Z230" i="3" s="1"/>
  <c r="Z478" i="3" s="1"/>
  <c r="Z500" i="3" s="1"/>
  <c r="MX19" i="4"/>
  <c r="M14" i="6"/>
  <c r="Y506" i="3"/>
  <c r="Y369" i="3"/>
  <c r="M55" i="2"/>
  <c r="N64" i="3"/>
  <c r="EB48" i="5"/>
  <c r="ED41" i="5"/>
  <c r="FN31" i="5"/>
  <c r="ED54" i="5"/>
  <c r="ED172" i="5"/>
  <c r="EF36" i="5"/>
  <c r="EV41" i="5"/>
  <c r="EV42" i="5" s="1"/>
  <c r="FB41" i="5"/>
  <c r="FB42" i="5" s="1"/>
  <c r="J43" i="2"/>
  <c r="K43" i="2" s="1"/>
  <c r="BF131" i="3"/>
  <c r="GJ20" i="5"/>
  <c r="GH22" i="5"/>
  <c r="H19" i="5"/>
  <c r="GY37" i="5"/>
  <c r="ED25" i="5"/>
  <c r="FN18" i="5"/>
  <c r="FL19" i="5"/>
  <c r="H34" i="5"/>
  <c r="ED160" i="5"/>
  <c r="EF24" i="5"/>
  <c r="CC32" i="5"/>
  <c r="SV83" i="4"/>
  <c r="CH64" i="5"/>
  <c r="CH66" i="5"/>
  <c r="AP28" i="5"/>
  <c r="AP29" i="5" s="1"/>
  <c r="SW92" i="4"/>
  <c r="SW94" i="4" s="1"/>
  <c r="SV74" i="4"/>
  <c r="SV76" i="4" s="1"/>
  <c r="SV90" i="4"/>
  <c r="SX90" i="4" s="1"/>
  <c r="SZ90" i="4" s="1"/>
  <c r="TB90" i="4" s="1"/>
  <c r="TD90" i="4" s="1"/>
  <c r="H71" i="4"/>
  <c r="X49" i="4"/>
  <c r="PC53" i="4"/>
  <c r="L41" i="4"/>
  <c r="SU60" i="4"/>
  <c r="AI165" i="3" s="1"/>
  <c r="AI167" i="3" s="1"/>
  <c r="AI169" i="3" s="1"/>
  <c r="AI475" i="3" s="1"/>
  <c r="AI497" i="3" s="1"/>
  <c r="SU62" i="4"/>
  <c r="AB240" i="3"/>
  <c r="BG240" i="3" s="1"/>
  <c r="H31" i="4"/>
  <c r="SU80" i="4"/>
  <c r="AJ192" i="3" s="1"/>
  <c r="E202" i="3"/>
  <c r="BG202" i="3" s="1"/>
  <c r="K63" i="4"/>
  <c r="E199" i="3"/>
  <c r="UH22" i="4"/>
  <c r="UF24" i="4"/>
  <c r="W70" i="4"/>
  <c r="X50" i="4"/>
  <c r="N39" i="4"/>
  <c r="X63" i="4"/>
  <c r="Z20" i="4"/>
  <c r="PE35" i="4"/>
  <c r="AB176" i="3"/>
  <c r="NC20" i="4"/>
  <c r="N40" i="4"/>
  <c r="J28" i="4"/>
  <c r="GT27" i="4"/>
  <c r="GT29" i="4" s="1"/>
  <c r="GT31" i="4" s="1"/>
  <c r="GT33" i="4" s="1"/>
  <c r="GV24" i="4"/>
  <c r="WP20" i="4"/>
  <c r="WP21" i="4" s="1"/>
  <c r="H19" i="4"/>
  <c r="Z18" i="4"/>
  <c r="GR35" i="4"/>
  <c r="GR37" i="4" s="1"/>
  <c r="AL226" i="3"/>
  <c r="AL228" i="3" s="1"/>
  <c r="AL230" i="3" s="1"/>
  <c r="AE222" i="3"/>
  <c r="BG222" i="3" s="1"/>
  <c r="R70" i="3"/>
  <c r="CI36" i="4"/>
  <c r="I436" i="3"/>
  <c r="CR21" i="4"/>
  <c r="CT17" i="4"/>
  <c r="JA22" i="4"/>
  <c r="S253" i="3" s="1"/>
  <c r="SD28" i="4"/>
  <c r="SD30" i="4" s="1"/>
  <c r="V65" i="4"/>
  <c r="V66" i="4" s="1"/>
  <c r="Z506" i="3"/>
  <c r="Z369" i="3"/>
  <c r="Z375" i="3"/>
  <c r="AC509" i="3"/>
  <c r="AC436" i="3"/>
  <c r="AC430" i="3"/>
  <c r="O506" i="3"/>
  <c r="O369" i="3"/>
  <c r="L8" i="6"/>
  <c r="M41" i="6"/>
  <c r="M10" i="6"/>
  <c r="M18" i="6"/>
  <c r="L49" i="6"/>
  <c r="BG212" i="3"/>
  <c r="J24" i="2"/>
  <c r="W509" i="3"/>
  <c r="W430" i="3"/>
  <c r="W436" i="3"/>
  <c r="L125" i="3"/>
  <c r="BB131" i="3"/>
  <c r="I4" i="6"/>
  <c r="D149" i="3"/>
  <c r="BH149" i="3"/>
  <c r="D210" i="3" s="1"/>
  <c r="BH210" i="3" s="1"/>
  <c r="D271" i="3" s="1"/>
  <c r="BH271" i="3" s="1"/>
  <c r="ED34" i="5"/>
  <c r="CE38" i="5"/>
  <c r="AY239" i="3"/>
  <c r="AY243" i="3" s="1"/>
  <c r="AY232" i="3" s="1"/>
  <c r="AY479" i="3" s="1"/>
  <c r="AY501" i="3" s="1"/>
  <c r="FN30" i="5"/>
  <c r="FK45" i="5"/>
  <c r="K35" i="5"/>
  <c r="E72" i="4"/>
  <c r="F26" i="3"/>
  <c r="ST78" i="4"/>
  <c r="ST80" i="4" s="1"/>
  <c r="PM53" i="4"/>
  <c r="N58" i="4"/>
  <c r="L61" i="4"/>
  <c r="MR34" i="4"/>
  <c r="MR29" i="4"/>
  <c r="MR31" i="4" s="1"/>
  <c r="PD30" i="4"/>
  <c r="PB33" i="4"/>
  <c r="H24" i="4"/>
  <c r="OZ35" i="4"/>
  <c r="MY19" i="4"/>
  <c r="HL18" i="4"/>
  <c r="HN16" i="4"/>
  <c r="U131" i="3"/>
  <c r="AO18" i="4"/>
  <c r="DZ21" i="4"/>
  <c r="DZ22" i="4" s="1"/>
  <c r="EB20" i="4"/>
  <c r="BJ16" i="4"/>
  <c r="BH22" i="4"/>
  <c r="BH24" i="4" s="1"/>
  <c r="E430" i="3"/>
  <c r="E436" i="3"/>
  <c r="E509" i="3"/>
  <c r="U430" i="3"/>
  <c r="U509" i="3"/>
  <c r="Y247" i="3"/>
  <c r="AG509" i="3"/>
  <c r="AG430" i="3"/>
  <c r="O509" i="3"/>
  <c r="O430" i="3"/>
  <c r="AA247" i="3"/>
  <c r="AA253" i="3"/>
  <c r="G95" i="3"/>
  <c r="AZ131" i="3"/>
  <c r="AU64" i="3"/>
  <c r="EB71" i="5"/>
  <c r="ED37" i="5"/>
  <c r="GU22" i="5"/>
  <c r="GV22" i="5"/>
  <c r="ET41" i="5"/>
  <c r="ET42" i="5"/>
  <c r="L38" i="4"/>
  <c r="J36" i="4"/>
  <c r="Q77" i="4"/>
  <c r="Q79" i="4" s="1"/>
  <c r="AU29" i="4"/>
  <c r="AU30" i="4"/>
  <c r="TZ27" i="4"/>
  <c r="TZ26" i="4"/>
  <c r="Y253" i="3"/>
  <c r="SU24" i="4"/>
  <c r="AG165" i="3" s="1"/>
  <c r="AG167" i="3" s="1"/>
  <c r="AG169" i="3" s="1"/>
  <c r="AG475" i="3" s="1"/>
  <c r="AG497" i="3" s="1"/>
  <c r="TI22" i="4"/>
  <c r="TI21" i="4"/>
  <c r="MK36" i="4"/>
  <c r="X192" i="3" s="1"/>
  <c r="MK35" i="4"/>
  <c r="VG23" i="4"/>
  <c r="AN176" i="3"/>
  <c r="AN182" i="3" s="1"/>
  <c r="SF20" i="4"/>
  <c r="SF24" i="4" s="1"/>
  <c r="SF26" i="4" s="1"/>
  <c r="SH16" i="4"/>
  <c r="IV19" i="4"/>
  <c r="IX17" i="4"/>
  <c r="U70" i="3"/>
  <c r="G506" i="3"/>
  <c r="G369" i="3"/>
  <c r="BC509" i="3"/>
  <c r="BC430" i="3"/>
  <c r="F36" i="6"/>
  <c r="ED42" i="5"/>
  <c r="ED171" i="5"/>
  <c r="EF35" i="5"/>
  <c r="GU21" i="5"/>
  <c r="GV21" i="5" s="1"/>
  <c r="FN32" i="5"/>
  <c r="HD36" i="5"/>
  <c r="HD37" i="5" s="1"/>
  <c r="FS51" i="5"/>
  <c r="CT21" i="5"/>
  <c r="CV18" i="5"/>
  <c r="E35" i="5"/>
  <c r="AV26" i="3"/>
  <c r="AV29" i="3" s="1"/>
  <c r="ED28" i="5"/>
  <c r="AT18" i="5"/>
  <c r="AR21" i="5"/>
  <c r="L20" i="5"/>
  <c r="Z53" i="4"/>
  <c r="X67" i="4"/>
  <c r="ST88" i="4"/>
  <c r="ST92" i="4" s="1"/>
  <c r="ST94" i="4" s="1"/>
  <c r="SS92" i="4"/>
  <c r="SS94" i="4" s="1"/>
  <c r="J54" i="4"/>
  <c r="Y62" i="4"/>
  <c r="Y38" i="4"/>
  <c r="Y34" i="4"/>
  <c r="Z30" i="4"/>
  <c r="PF52" i="4"/>
  <c r="PK53" i="4"/>
  <c r="H30" i="4"/>
  <c r="AB239" i="3"/>
  <c r="AB299" i="3"/>
  <c r="BG299" i="3" s="1"/>
  <c r="ST42" i="4"/>
  <c r="ST44" i="4" s="1"/>
  <c r="SS44" i="4"/>
  <c r="AH131" i="3" s="1"/>
  <c r="SX28" i="4"/>
  <c r="SV31" i="4"/>
  <c r="KX25" i="4"/>
  <c r="KX28" i="4" s="1"/>
  <c r="KX30" i="4" s="1"/>
  <c r="KZ17" i="4"/>
  <c r="AB25" i="4"/>
  <c r="DH25" i="4"/>
  <c r="JN18" i="4"/>
  <c r="JP16" i="4"/>
  <c r="PL32" i="4"/>
  <c r="PN32" i="4" s="1"/>
  <c r="H35" i="4"/>
  <c r="AP253" i="3"/>
  <c r="AK19" i="3"/>
  <c r="AK20" i="3" s="1"/>
  <c r="SX16" i="4"/>
  <c r="FL18" i="4"/>
  <c r="FN16" i="4"/>
  <c r="MT34" i="4"/>
  <c r="MT29" i="4"/>
  <c r="MT31" i="4"/>
  <c r="H17" i="4"/>
  <c r="AR18" i="4"/>
  <c r="AT16" i="4"/>
  <c r="GB25" i="4"/>
  <c r="GB28" i="4" s="1"/>
  <c r="GD17" i="4"/>
  <c r="SB28" i="4"/>
  <c r="SB30" i="4" s="1"/>
  <c r="IU21" i="4"/>
  <c r="S43" i="3" s="1"/>
  <c r="S41" i="3"/>
  <c r="UG26" i="4"/>
  <c r="AL285" i="3"/>
  <c r="BH421" i="3"/>
  <c r="AG506" i="3"/>
  <c r="AG369" i="3"/>
  <c r="M509" i="3"/>
  <c r="M430" i="3"/>
  <c r="Q247" i="3"/>
  <c r="Q253" i="3"/>
  <c r="M47" i="6"/>
  <c r="J27" i="6"/>
  <c r="M12" i="6"/>
  <c r="M20" i="6"/>
  <c r="M29" i="6"/>
  <c r="C44" i="6"/>
  <c r="D48" i="6"/>
  <c r="Y509" i="3"/>
  <c r="Y430" i="3"/>
  <c r="G509" i="3"/>
  <c r="G430" i="3"/>
  <c r="AW228" i="3"/>
  <c r="AW230" i="3" s="1"/>
  <c r="Q70" i="3"/>
  <c r="F39" i="2"/>
  <c r="BA64" i="3"/>
  <c r="BA70" i="3"/>
  <c r="AV225" i="3"/>
  <c r="NW33" i="4" l="1"/>
  <c r="C62" i="2"/>
  <c r="G17" i="6"/>
  <c r="C49" i="2"/>
  <c r="G10" i="6"/>
  <c r="G12" i="6"/>
  <c r="M51" i="6"/>
  <c r="BG488" i="3"/>
  <c r="BG510" i="3" s="1"/>
  <c r="AL131" i="3"/>
  <c r="AL472" i="3"/>
  <c r="AL494" i="3" s="1"/>
  <c r="BH411" i="3"/>
  <c r="BH413" i="3" s="1"/>
  <c r="BH487" i="3" s="1"/>
  <c r="AW253" i="3"/>
  <c r="AW478" i="3"/>
  <c r="AW500" i="3" s="1"/>
  <c r="BG485" i="3"/>
  <c r="BG507" i="3" s="1"/>
  <c r="F15" i="6"/>
  <c r="O478" i="3"/>
  <c r="O500" i="3" s="1"/>
  <c r="AL253" i="3"/>
  <c r="AL478" i="3"/>
  <c r="AL500" i="3" s="1"/>
  <c r="BC314" i="3"/>
  <c r="BC481" i="3"/>
  <c r="BC503" i="3" s="1"/>
  <c r="BB1" i="3"/>
  <c r="BB469" i="3"/>
  <c r="BB491" i="3" s="1"/>
  <c r="N40" i="6"/>
  <c r="AN482" i="3"/>
  <c r="AN504" i="3" s="1"/>
  <c r="BG283" i="3"/>
  <c r="L38" i="2" s="1"/>
  <c r="BH352" i="3"/>
  <c r="BG352" i="3"/>
  <c r="BH39" i="3"/>
  <c r="D100" i="3" s="1"/>
  <c r="BH101" i="3"/>
  <c r="D162" i="3" s="1"/>
  <c r="D180" i="3"/>
  <c r="AN308" i="3"/>
  <c r="O247" i="3"/>
  <c r="BG161" i="3"/>
  <c r="H38" i="2" s="1"/>
  <c r="AN314" i="3"/>
  <c r="GS37" i="4"/>
  <c r="DG26" i="4"/>
  <c r="AY224" i="3"/>
  <c r="AC106" i="3"/>
  <c r="AC108" i="3" s="1"/>
  <c r="AC472" i="3" s="1"/>
  <c r="AC494" i="3" s="1"/>
  <c r="QC20" i="4"/>
  <c r="AC226" i="3" s="1"/>
  <c r="AC228" i="3" s="1"/>
  <c r="AC230" i="3" s="1"/>
  <c r="AC478" i="3" s="1"/>
  <c r="AC500" i="3" s="1"/>
  <c r="QC21" i="4"/>
  <c r="CR28" i="5"/>
  <c r="CR29" i="5" s="1"/>
  <c r="SY62" i="4"/>
  <c r="BB70" i="3"/>
  <c r="CE66" i="5"/>
  <c r="PW20" i="4"/>
  <c r="AC43" i="3" s="1"/>
  <c r="AC45" i="3" s="1"/>
  <c r="AC47" i="3" s="1"/>
  <c r="AC469" i="3" s="1"/>
  <c r="AC491" i="3" s="1"/>
  <c r="PW21" i="4"/>
  <c r="CT26" i="5"/>
  <c r="CT28" i="5" s="1"/>
  <c r="CT29" i="5" s="1"/>
  <c r="CV24" i="5"/>
  <c r="IU22" i="4"/>
  <c r="AN253" i="3"/>
  <c r="SY44" i="4"/>
  <c r="ES41" i="5"/>
  <c r="BC43" i="3" s="1"/>
  <c r="BC45" i="3" s="1"/>
  <c r="BC47" i="3" s="1"/>
  <c r="BC469" i="3" s="1"/>
  <c r="BC491" i="3" s="1"/>
  <c r="ES42" i="5"/>
  <c r="QE20" i="4"/>
  <c r="AC287" i="3" s="1"/>
  <c r="AC289" i="3" s="1"/>
  <c r="AC291" i="3" s="1"/>
  <c r="AC481" i="3" s="1"/>
  <c r="AC503" i="3" s="1"/>
  <c r="FJ23" i="4"/>
  <c r="O76" i="4"/>
  <c r="QA20" i="4"/>
  <c r="AC165" i="3" s="1"/>
  <c r="AC167" i="3" s="1"/>
  <c r="AC169" i="3" s="1"/>
  <c r="FN33" i="5"/>
  <c r="MG31" i="4"/>
  <c r="SS80" i="4"/>
  <c r="ED38" i="5"/>
  <c r="ED174" i="5" s="1"/>
  <c r="AY45" i="3"/>
  <c r="AY47" i="3" s="1"/>
  <c r="C45" i="6" s="1"/>
  <c r="GG31" i="4"/>
  <c r="O253" i="3" s="1"/>
  <c r="AC247" i="3"/>
  <c r="D117" i="3"/>
  <c r="M46" i="6"/>
  <c r="G39" i="2"/>
  <c r="I39" i="2" s="1"/>
  <c r="AV430" i="3"/>
  <c r="AV436" i="3"/>
  <c r="M34" i="6"/>
  <c r="M30" i="6"/>
  <c r="G40" i="6"/>
  <c r="M8" i="6"/>
  <c r="O192" i="3"/>
  <c r="M36" i="6"/>
  <c r="O186" i="3"/>
  <c r="E15" i="6"/>
  <c r="BH94" i="3"/>
  <c r="D155" i="3" s="1"/>
  <c r="M31" i="6"/>
  <c r="S45" i="3"/>
  <c r="S47" i="3" s="1"/>
  <c r="M38" i="6"/>
  <c r="BH181" i="3"/>
  <c r="D242" i="3" s="1"/>
  <c r="BH242" i="3" s="1"/>
  <c r="D303" i="3" s="1"/>
  <c r="BH303" i="3" s="1"/>
  <c r="K45" i="3"/>
  <c r="K47" i="3" s="1"/>
  <c r="BH92" i="3"/>
  <c r="BH153" i="3" s="1"/>
  <c r="D214" i="3" s="1"/>
  <c r="BH214" i="3" s="1"/>
  <c r="D275" i="3" s="1"/>
  <c r="BH275" i="3" s="1"/>
  <c r="M33" i="6"/>
  <c r="BH365" i="3"/>
  <c r="M27" i="6"/>
  <c r="G8" i="6"/>
  <c r="M35" i="6"/>
  <c r="D93" i="3"/>
  <c r="BH93" i="3"/>
  <c r="BG369" i="3"/>
  <c r="M49" i="6"/>
  <c r="BH166" i="3"/>
  <c r="D227" i="3" s="1"/>
  <c r="BH227" i="3" s="1"/>
  <c r="D288" i="3" s="1"/>
  <c r="BH288" i="3" s="1"/>
  <c r="K31" i="2"/>
  <c r="M31" i="2" s="1"/>
  <c r="AJ131" i="3"/>
  <c r="AI192" i="3"/>
  <c r="BG413" i="3"/>
  <c r="BG177" i="3"/>
  <c r="H52" i="2" s="1"/>
  <c r="AI314" i="3"/>
  <c r="G18" i="6"/>
  <c r="K32" i="2"/>
  <c r="M32" i="2" s="1"/>
  <c r="AH314" i="3"/>
  <c r="AF192" i="3"/>
  <c r="Z253" i="3"/>
  <c r="G46" i="6"/>
  <c r="L54" i="4"/>
  <c r="J28" i="2"/>
  <c r="AE58" i="4"/>
  <c r="F37" i="3"/>
  <c r="Z19" i="4"/>
  <c r="GH41" i="5"/>
  <c r="GH42" i="5" s="1"/>
  <c r="BH147" i="3"/>
  <c r="D147" i="3"/>
  <c r="IH20" i="4"/>
  <c r="IJ16" i="4"/>
  <c r="L37" i="4"/>
  <c r="AB22" i="4"/>
  <c r="BG99" i="3"/>
  <c r="AA106" i="3"/>
  <c r="AA108" i="3" s="1"/>
  <c r="AA472" i="3" s="1"/>
  <c r="AA494" i="3" s="1"/>
  <c r="SX78" i="4"/>
  <c r="SX80" i="4" s="1"/>
  <c r="V69" i="4"/>
  <c r="X37" i="4"/>
  <c r="D158" i="3"/>
  <c r="BH158" i="3"/>
  <c r="D219" i="3" s="1"/>
  <c r="BH219" i="3" s="1"/>
  <c r="D280" i="3" s="1"/>
  <c r="BH280" i="3" s="1"/>
  <c r="Z28" i="4"/>
  <c r="H54" i="2"/>
  <c r="H27" i="5"/>
  <c r="J18" i="5"/>
  <c r="BH28" i="5"/>
  <c r="BH30" i="5" s="1"/>
  <c r="L31" i="5"/>
  <c r="AB33" i="4"/>
  <c r="L25" i="5"/>
  <c r="NX23" i="4"/>
  <c r="BH162" i="3"/>
  <c r="D223" i="3" s="1"/>
  <c r="AT18" i="4"/>
  <c r="AV16" i="4"/>
  <c r="EF171" i="5"/>
  <c r="EH35" i="5"/>
  <c r="FP30" i="5"/>
  <c r="L42" i="4"/>
  <c r="F32" i="6"/>
  <c r="G32" i="6" s="1"/>
  <c r="PH26" i="4"/>
  <c r="G4" i="6"/>
  <c r="L54" i="2"/>
  <c r="L45" i="6"/>
  <c r="J38" i="2"/>
  <c r="UH24" i="4"/>
  <c r="ED198" i="5"/>
  <c r="EF62" i="5"/>
  <c r="PH53" i="4"/>
  <c r="BG239" i="3"/>
  <c r="MY20" i="4"/>
  <c r="MY21" i="4" s="1"/>
  <c r="Y37" i="3"/>
  <c r="AL247" i="3"/>
  <c r="F38" i="6"/>
  <c r="J31" i="4"/>
  <c r="SV78" i="4"/>
  <c r="SV80" i="4" s="1"/>
  <c r="FL47" i="5"/>
  <c r="ED177" i="5"/>
  <c r="ED48" i="5"/>
  <c r="ED184" i="5" s="1"/>
  <c r="EF41" i="5"/>
  <c r="Y39" i="4"/>
  <c r="W39" i="4"/>
  <c r="W40" i="4" s="1"/>
  <c r="W57" i="4" s="1"/>
  <c r="V39" i="4"/>
  <c r="V40" i="4" s="1"/>
  <c r="EV23" i="4"/>
  <c r="EX21" i="4"/>
  <c r="BH28" i="3"/>
  <c r="D27" i="2"/>
  <c r="E27" i="2" s="1"/>
  <c r="G27" i="2" s="1"/>
  <c r="I27" i="2" s="1"/>
  <c r="K27" i="2" s="1"/>
  <c r="J50" i="4"/>
  <c r="SU96" i="4"/>
  <c r="SU98" i="4" s="1"/>
  <c r="ED205" i="5"/>
  <c r="EF69" i="5"/>
  <c r="MI36" i="4"/>
  <c r="X131" i="3" s="1"/>
  <c r="MI35" i="4"/>
  <c r="RK29" i="4"/>
  <c r="AE165" i="3" s="1"/>
  <c r="AE167" i="3" s="1"/>
  <c r="AE169" i="3" s="1"/>
  <c r="AE475" i="3" s="1"/>
  <c r="AE497" i="3" s="1"/>
  <c r="Z26" i="4"/>
  <c r="H43" i="4"/>
  <c r="Z51" i="4"/>
  <c r="X72" i="4"/>
  <c r="I38" i="5"/>
  <c r="ED180" i="5"/>
  <c r="EF44" i="5"/>
  <c r="BG237" i="3"/>
  <c r="AB243" i="3"/>
  <c r="AB232" i="3" s="1"/>
  <c r="AB479" i="3" s="1"/>
  <c r="AB501" i="3" s="1"/>
  <c r="FP38" i="5"/>
  <c r="IF22" i="4"/>
  <c r="IF23" i="4" s="1"/>
  <c r="AB60" i="3"/>
  <c r="AB49" i="3" s="1"/>
  <c r="AB470" i="3" s="1"/>
  <c r="AB492" i="3" s="1"/>
  <c r="BG54" i="3"/>
  <c r="I74" i="4"/>
  <c r="I76" i="4"/>
  <c r="I75" i="4"/>
  <c r="M38" i="5"/>
  <c r="CA64" i="5"/>
  <c r="AY104" i="3" s="1"/>
  <c r="CA66" i="5"/>
  <c r="AY102" i="3"/>
  <c r="D38" i="5"/>
  <c r="W69" i="4"/>
  <c r="SS26" i="4"/>
  <c r="AG131" i="3" s="1"/>
  <c r="SY96" i="4"/>
  <c r="SY98" i="4" s="1"/>
  <c r="AH308" i="3"/>
  <c r="H34" i="6"/>
  <c r="P57" i="4"/>
  <c r="R57" i="4" s="1"/>
  <c r="F35" i="5"/>
  <c r="P45" i="3"/>
  <c r="P47" i="3" s="1"/>
  <c r="J35" i="4"/>
  <c r="E38" i="5"/>
  <c r="J24" i="4"/>
  <c r="BF192" i="3"/>
  <c r="PF24" i="4"/>
  <c r="PD27" i="4"/>
  <c r="H37" i="5"/>
  <c r="AH186" i="3"/>
  <c r="E34" i="6"/>
  <c r="G34" i="6" s="1"/>
  <c r="AN171" i="3"/>
  <c r="AN476" i="3" s="1"/>
  <c r="AN498" i="3" s="1"/>
  <c r="AN186" i="3"/>
  <c r="E41" i="3"/>
  <c r="BG41" i="3" s="1"/>
  <c r="K48" i="6"/>
  <c r="M48" i="6" s="1"/>
  <c r="PF30" i="4"/>
  <c r="PD33" i="4"/>
  <c r="NX20" i="4"/>
  <c r="JR16" i="4"/>
  <c r="JP18" i="4"/>
  <c r="JP20" i="4" s="1"/>
  <c r="SS96" i="4"/>
  <c r="SS98" i="4" s="1"/>
  <c r="AV18" i="5"/>
  <c r="AT21" i="5"/>
  <c r="ED178" i="5"/>
  <c r="EF42" i="5"/>
  <c r="SU26" i="4"/>
  <c r="AG192" i="3" s="1"/>
  <c r="EB21" i="4"/>
  <c r="EB22" i="4" s="1"/>
  <c r="ED20" i="4"/>
  <c r="K38" i="5"/>
  <c r="ED170" i="5"/>
  <c r="EF34" i="5"/>
  <c r="CV17" i="4"/>
  <c r="CT21" i="4"/>
  <c r="NC21" i="4"/>
  <c r="P39" i="4"/>
  <c r="R39" i="4" s="1"/>
  <c r="BG199" i="3"/>
  <c r="E203" i="3"/>
  <c r="SV101" i="4"/>
  <c r="SX83" i="4"/>
  <c r="SV85" i="4"/>
  <c r="FP18" i="5"/>
  <c r="FN19" i="5"/>
  <c r="GL20" i="5"/>
  <c r="GL22" i="5" s="1"/>
  <c r="GJ22" i="5"/>
  <c r="Z247" i="3"/>
  <c r="F26" i="6"/>
  <c r="G26" i="6" s="1"/>
  <c r="G40" i="5"/>
  <c r="OZ43" i="4"/>
  <c r="LT22" i="4"/>
  <c r="LV16" i="4"/>
  <c r="SV88" i="4"/>
  <c r="ED196" i="5"/>
  <c r="EF60" i="5"/>
  <c r="ED197" i="5"/>
  <c r="EF61" i="5"/>
  <c r="AB226" i="3"/>
  <c r="AB228" i="3" s="1"/>
  <c r="AB230" i="3" s="1"/>
  <c r="AB478" i="3" s="1"/>
  <c r="AB500" i="3" s="1"/>
  <c r="EX19" i="4"/>
  <c r="EZ17" i="4"/>
  <c r="EZ19" i="4" s="1"/>
  <c r="AB121" i="3"/>
  <c r="AB110" i="3" s="1"/>
  <c r="O77" i="4"/>
  <c r="O79" i="4" s="1"/>
  <c r="AL186" i="3"/>
  <c r="E38" i="6"/>
  <c r="SW62" i="4"/>
  <c r="AI253" i="3" s="1"/>
  <c r="H70" i="4"/>
  <c r="H72" i="4" s="1"/>
  <c r="FP39" i="5"/>
  <c r="J34" i="4"/>
  <c r="MF35" i="4"/>
  <c r="MF36" i="4" s="1"/>
  <c r="AL125" i="3"/>
  <c r="D38" i="6"/>
  <c r="BM30" i="5"/>
  <c r="AX253" i="3" s="1"/>
  <c r="ED182" i="5"/>
  <c r="EF46" i="5"/>
  <c r="Y69" i="4"/>
  <c r="Y40" i="4"/>
  <c r="Y57" i="4" s="1"/>
  <c r="F95" i="3"/>
  <c r="SY26" i="4"/>
  <c r="AG314" i="3" s="1"/>
  <c r="DN18" i="4"/>
  <c r="DL23" i="4"/>
  <c r="AG125" i="3"/>
  <c r="D33" i="6"/>
  <c r="AB37" i="3"/>
  <c r="G63" i="4"/>
  <c r="E77" i="3"/>
  <c r="L59" i="4"/>
  <c r="EF183" i="5"/>
  <c r="EH47" i="5"/>
  <c r="CG39" i="5"/>
  <c r="MT35" i="4"/>
  <c r="MT36" i="4" s="1"/>
  <c r="O125" i="3"/>
  <c r="D15" i="6"/>
  <c r="BG221" i="3"/>
  <c r="AV24" i="5"/>
  <c r="AT26" i="5"/>
  <c r="N41" i="4"/>
  <c r="BG160" i="3"/>
  <c r="SX20" i="4"/>
  <c r="SX22" i="4" s="1"/>
  <c r="SZ16" i="4"/>
  <c r="CV21" i="5"/>
  <c r="CX18" i="5"/>
  <c r="ST96" i="4"/>
  <c r="ST98" i="4" s="1"/>
  <c r="Q81" i="4"/>
  <c r="Q82" i="4" s="1"/>
  <c r="GX24" i="4"/>
  <c r="GV27" i="4"/>
  <c r="GV29" i="4" s="1"/>
  <c r="GV31" i="4" s="1"/>
  <c r="GV33" i="4" s="1"/>
  <c r="CC39" i="5"/>
  <c r="EF172" i="5"/>
  <c r="EH36" i="5"/>
  <c r="MG35" i="4"/>
  <c r="X57" i="3" s="1"/>
  <c r="BG57" i="3" s="1"/>
  <c r="X55" i="3"/>
  <c r="L20" i="4"/>
  <c r="L45" i="4"/>
  <c r="H33" i="4"/>
  <c r="AC75" i="4"/>
  <c r="L32" i="5"/>
  <c r="L60" i="4"/>
  <c r="PB35" i="4"/>
  <c r="PH31" i="4"/>
  <c r="M43" i="2"/>
  <c r="MH29" i="4"/>
  <c r="MH31" i="4" s="1"/>
  <c r="MH34" i="4"/>
  <c r="BG282" i="3"/>
  <c r="PF25" i="4"/>
  <c r="AL192" i="3"/>
  <c r="AI247" i="3"/>
  <c r="F35" i="6"/>
  <c r="L33" i="5"/>
  <c r="ED169" i="5"/>
  <c r="EF33" i="5"/>
  <c r="X62" i="4"/>
  <c r="X34" i="4"/>
  <c r="Z17" i="4"/>
  <c r="PB52" i="4"/>
  <c r="J55" i="4"/>
  <c r="SS103" i="4"/>
  <c r="AX247" i="3"/>
  <c r="F44" i="6"/>
  <c r="G44" i="6" s="1"/>
  <c r="J30" i="5"/>
  <c r="FN45" i="5"/>
  <c r="FP37" i="5"/>
  <c r="ER25" i="4"/>
  <c r="ER27" i="4" s="1"/>
  <c r="AG308" i="3"/>
  <c r="H33" i="6"/>
  <c r="RJ29" i="4"/>
  <c r="BG260" i="3"/>
  <c r="E264" i="3"/>
  <c r="Z44" i="4"/>
  <c r="X55" i="4"/>
  <c r="AI125" i="3"/>
  <c r="D35" i="6"/>
  <c r="CE39" i="5"/>
  <c r="ED154" i="5"/>
  <c r="EF18" i="5"/>
  <c r="ED21" i="5"/>
  <c r="ED157" i="5" s="1"/>
  <c r="GL28" i="5"/>
  <c r="GL30" i="5" s="1"/>
  <c r="GJ30" i="5"/>
  <c r="BB64" i="3"/>
  <c r="C48" i="6"/>
  <c r="G48" i="6" s="1"/>
  <c r="EF189" i="5"/>
  <c r="EH53" i="5"/>
  <c r="ED202" i="5"/>
  <c r="EF66" i="5"/>
  <c r="J18" i="2"/>
  <c r="J21" i="5"/>
  <c r="VD31" i="4"/>
  <c r="VD30" i="4"/>
  <c r="FP32" i="5"/>
  <c r="EB75" i="5"/>
  <c r="ES25" i="4"/>
  <c r="M104" i="3" s="1"/>
  <c r="M98" i="3"/>
  <c r="F19" i="3"/>
  <c r="KH19" i="4"/>
  <c r="KH20" i="4" s="1"/>
  <c r="J17" i="4"/>
  <c r="AG186" i="3"/>
  <c r="E33" i="6"/>
  <c r="JM18" i="4"/>
  <c r="JM20" i="4" s="1"/>
  <c r="JN20" i="4"/>
  <c r="SX31" i="4"/>
  <c r="SX100" i="4"/>
  <c r="SZ28" i="4"/>
  <c r="J30" i="4"/>
  <c r="ED164" i="5"/>
  <c r="EF28" i="5"/>
  <c r="GF17" i="4"/>
  <c r="GD25" i="4"/>
  <c r="GD28" i="4" s="1"/>
  <c r="DJ25" i="4"/>
  <c r="DL25" i="4" s="1"/>
  <c r="DN25" i="4" s="1"/>
  <c r="DP25" i="4" s="1"/>
  <c r="DR25" i="4" s="1"/>
  <c r="DT25" i="4" s="1"/>
  <c r="DH26" i="4"/>
  <c r="BF34" i="3"/>
  <c r="IX19" i="4"/>
  <c r="IZ17" i="4"/>
  <c r="TJ21" i="4"/>
  <c r="BF37" i="3"/>
  <c r="AN18" i="4"/>
  <c r="MR35" i="4"/>
  <c r="MR36" i="4" s="1"/>
  <c r="GT35" i="4"/>
  <c r="GT37" i="4" s="1"/>
  <c r="AB182" i="3"/>
  <c r="BG176" i="3"/>
  <c r="X70" i="4"/>
  <c r="Z50" i="4"/>
  <c r="K76" i="4"/>
  <c r="K75" i="4"/>
  <c r="K74" i="4"/>
  <c r="J54" i="2"/>
  <c r="Z49" i="4"/>
  <c r="EF160" i="5"/>
  <c r="EH24" i="5"/>
  <c r="ED161" i="5"/>
  <c r="EF25" i="5"/>
  <c r="SX38" i="4"/>
  <c r="SX40" i="4" s="1"/>
  <c r="SZ34" i="4"/>
  <c r="BC247" i="3"/>
  <c r="F49" i="6"/>
  <c r="GT23" i="5"/>
  <c r="J27" i="4"/>
  <c r="D56" i="4"/>
  <c r="E62" i="4"/>
  <c r="DJ28" i="5"/>
  <c r="DJ30" i="5"/>
  <c r="AY182" i="3"/>
  <c r="AY171" i="3" s="1"/>
  <c r="AY476" i="3" s="1"/>
  <c r="AY498" i="3" s="1"/>
  <c r="BG178" i="3"/>
  <c r="PF18" i="4"/>
  <c r="PD21" i="4"/>
  <c r="PG53" i="4"/>
  <c r="MJ20" i="4"/>
  <c r="MJ25" i="4" s="1"/>
  <c r="MJ27" i="4" s="1"/>
  <c r="ML16" i="4"/>
  <c r="RO29" i="4"/>
  <c r="AE287" i="3" s="1"/>
  <c r="AE289" i="3" s="1"/>
  <c r="AE291" i="3" s="1"/>
  <c r="AE481" i="3" s="1"/>
  <c r="AE503" i="3" s="1"/>
  <c r="L26" i="4"/>
  <c r="AD48" i="4"/>
  <c r="GH26" i="5"/>
  <c r="GH32" i="5" s="1"/>
  <c r="GJ24" i="5"/>
  <c r="AD71" i="4"/>
  <c r="AF43" i="4"/>
  <c r="J25" i="4"/>
  <c r="Z24" i="4"/>
  <c r="BG38" i="3"/>
  <c r="AA75" i="4"/>
  <c r="EQ25" i="4"/>
  <c r="M43" i="3" s="1"/>
  <c r="EQ27" i="4"/>
  <c r="M37" i="3"/>
  <c r="O64" i="3"/>
  <c r="C15" i="6"/>
  <c r="BG100" i="3"/>
  <c r="AE106" i="3"/>
  <c r="AE108" i="3" s="1"/>
  <c r="AE472" i="3" s="1"/>
  <c r="AE494" i="3" s="1"/>
  <c r="Z68" i="4"/>
  <c r="AB47" i="4"/>
  <c r="SS62" i="4"/>
  <c r="AI131" i="3" s="1"/>
  <c r="F18" i="2"/>
  <c r="N53" i="4"/>
  <c r="FK47" i="5"/>
  <c r="L44" i="4"/>
  <c r="D28" i="6"/>
  <c r="G39" i="6"/>
  <c r="AY167" i="3"/>
  <c r="AY169" i="3" s="1"/>
  <c r="AY475" i="3" s="1"/>
  <c r="AY497" i="3" s="1"/>
  <c r="BG163" i="3"/>
  <c r="ED173" i="5"/>
  <c r="EF37" i="5"/>
  <c r="N61" i="4"/>
  <c r="J71" i="4"/>
  <c r="L22" i="5"/>
  <c r="KZ25" i="4"/>
  <c r="KZ28" i="4" s="1"/>
  <c r="KZ30" i="4" s="1"/>
  <c r="LB17" i="4"/>
  <c r="BJ22" i="4"/>
  <c r="BJ24" i="4" s="1"/>
  <c r="BL16" i="4"/>
  <c r="P58" i="4"/>
  <c r="R58" i="4" s="1"/>
  <c r="I30" i="2"/>
  <c r="KX31" i="4"/>
  <c r="KX32" i="4" s="1"/>
  <c r="Y72" i="4"/>
  <c r="F98" i="3"/>
  <c r="M4" i="6"/>
  <c r="AL287" i="3"/>
  <c r="AL289" i="3" s="1"/>
  <c r="AL291" i="3" s="1"/>
  <c r="AL481" i="3" s="1"/>
  <c r="AL503" i="3" s="1"/>
  <c r="UG27" i="4"/>
  <c r="GB30" i="4"/>
  <c r="GB31" i="4" s="1"/>
  <c r="AD25" i="4"/>
  <c r="Y65" i="4"/>
  <c r="F77" i="3"/>
  <c r="F81" i="3" s="1"/>
  <c r="Z67" i="4"/>
  <c r="AB53" i="4"/>
  <c r="AV45" i="3"/>
  <c r="AV47" i="3" s="1"/>
  <c r="AV469" i="3" s="1"/>
  <c r="AV491" i="3" s="1"/>
  <c r="IV21" i="4"/>
  <c r="IV22" i="4" s="1"/>
  <c r="TI23" i="4"/>
  <c r="L36" i="4"/>
  <c r="O131" i="3"/>
  <c r="BG26" i="3"/>
  <c r="F29" i="3"/>
  <c r="AB18" i="4"/>
  <c r="L28" i="4"/>
  <c r="F35" i="3"/>
  <c r="BG35" i="3" s="1"/>
  <c r="SW96" i="4"/>
  <c r="SW98" i="4" s="1"/>
  <c r="ED29" i="5"/>
  <c r="ED165" i="5" s="1"/>
  <c r="ED190" i="5"/>
  <c r="EF54" i="5"/>
  <c r="SV42" i="4"/>
  <c r="SV44" i="4" s="1"/>
  <c r="BC308" i="3"/>
  <c r="H49" i="6"/>
  <c r="M60" i="2"/>
  <c r="J18" i="4"/>
  <c r="C24" i="6"/>
  <c r="G24" i="6" s="1"/>
  <c r="Z21" i="4"/>
  <c r="J23" i="4"/>
  <c r="N68" i="4"/>
  <c r="AR28" i="5"/>
  <c r="AR29" i="5" s="1"/>
  <c r="DL26" i="5"/>
  <c r="DN24" i="5"/>
  <c r="EF181" i="5"/>
  <c r="EH45" i="5"/>
  <c r="L29" i="4"/>
  <c r="SE30" i="4"/>
  <c r="SV102" i="4"/>
  <c r="SU102" i="4" s="1"/>
  <c r="SU103" i="4" s="1"/>
  <c r="SX84" i="4"/>
  <c r="CG64" i="5"/>
  <c r="AY287" i="3" s="1"/>
  <c r="AY285" i="3"/>
  <c r="BG285" i="3" s="1"/>
  <c r="EF38" i="5"/>
  <c r="EF174" i="5" s="1"/>
  <c r="EF168" i="5"/>
  <c r="EH32" i="5"/>
  <c r="HB37" i="5"/>
  <c r="ED188" i="5"/>
  <c r="EF52" i="5"/>
  <c r="AY509" i="3"/>
  <c r="AY430" i="3"/>
  <c r="BG430" i="3" s="1"/>
  <c r="ED155" i="5"/>
  <c r="EF19" i="5"/>
  <c r="VE23" i="4"/>
  <c r="AN115" i="3"/>
  <c r="AN121" i="3" s="1"/>
  <c r="OI34" i="4"/>
  <c r="AA43" i="3" s="1"/>
  <c r="AA45" i="3" s="1"/>
  <c r="AA47" i="3" s="1"/>
  <c r="AA469" i="3" s="1"/>
  <c r="AA491" i="3" s="1"/>
  <c r="OI35" i="4"/>
  <c r="FJ49" i="5"/>
  <c r="FR42" i="5"/>
  <c r="ED179" i="5"/>
  <c r="EF43" i="5"/>
  <c r="ED163" i="5"/>
  <c r="EF27" i="5"/>
  <c r="GA31" i="4"/>
  <c r="O70" i="3" s="1"/>
  <c r="NY33" i="4"/>
  <c r="Z314" i="3" s="1"/>
  <c r="ED16" i="4"/>
  <c r="EB18" i="4"/>
  <c r="AL43" i="3"/>
  <c r="AL45" i="3" s="1"/>
  <c r="AL47" i="3" s="1"/>
  <c r="AL469" i="3" s="1"/>
  <c r="AL491" i="3" s="1"/>
  <c r="M76" i="4"/>
  <c r="M75" i="4"/>
  <c r="M74" i="4"/>
  <c r="AB264" i="3"/>
  <c r="BG263" i="3"/>
  <c r="AB46" i="4"/>
  <c r="ED206" i="5"/>
  <c r="EF70" i="5"/>
  <c r="G21" i="6"/>
  <c r="BY66" i="5"/>
  <c r="BG224" i="3"/>
  <c r="AY228" i="3"/>
  <c r="AY230" i="3" s="1"/>
  <c r="CC66" i="5"/>
  <c r="SH20" i="4"/>
  <c r="SH24" i="4" s="1"/>
  <c r="SH26" i="4" s="1"/>
  <c r="SJ16" i="4"/>
  <c r="J24" i="5"/>
  <c r="AB45" i="4"/>
  <c r="W65" i="4"/>
  <c r="F16" i="3"/>
  <c r="QV19" i="4"/>
  <c r="QT21" i="4"/>
  <c r="Z27" i="4"/>
  <c r="X64" i="4"/>
  <c r="Z308" i="3"/>
  <c r="H26" i="6"/>
  <c r="US18" i="4"/>
  <c r="UQ21" i="4"/>
  <c r="PI52" i="4"/>
  <c r="EF156" i="5"/>
  <c r="EH20" i="5"/>
  <c r="EW41" i="5"/>
  <c r="BC165" i="3" s="1"/>
  <c r="BC167" i="3" s="1"/>
  <c r="BC169" i="3" s="1"/>
  <c r="BC475" i="3" s="1"/>
  <c r="BC497" i="3" s="1"/>
  <c r="RP36" i="4"/>
  <c r="RR34" i="4"/>
  <c r="AN192" i="3"/>
  <c r="AW247" i="3"/>
  <c r="F43" i="6"/>
  <c r="G43" i="6" s="1"/>
  <c r="FN18" i="4"/>
  <c r="FP16" i="4"/>
  <c r="L52" i="2"/>
  <c r="PF53" i="4"/>
  <c r="N20" i="5"/>
  <c r="SF28" i="4"/>
  <c r="SF30" i="4" s="1"/>
  <c r="TJ22" i="4"/>
  <c r="N38" i="4"/>
  <c r="HN18" i="4"/>
  <c r="HP16" i="4"/>
  <c r="J19" i="4"/>
  <c r="P40" i="4"/>
  <c r="R40" i="4" s="1"/>
  <c r="Z63" i="4"/>
  <c r="AB20" i="4"/>
  <c r="UF26" i="4"/>
  <c r="UF27" i="4" s="1"/>
  <c r="AI186" i="3"/>
  <c r="E35" i="6"/>
  <c r="J34" i="5"/>
  <c r="J19" i="5"/>
  <c r="FP31" i="5"/>
  <c r="MX20" i="4"/>
  <c r="MZ19" i="4"/>
  <c r="AQ24" i="4"/>
  <c r="AO24" i="4"/>
  <c r="BH426" i="3"/>
  <c r="AB304" i="3"/>
  <c r="AB293" i="3" s="1"/>
  <c r="AB482" i="3" s="1"/>
  <c r="AB504" i="3" s="1"/>
  <c r="BG298" i="3"/>
  <c r="ET25" i="4"/>
  <c r="ET27" i="4" s="1"/>
  <c r="RM29" i="4"/>
  <c r="AE226" i="3" s="1"/>
  <c r="AE228" i="3" s="1"/>
  <c r="AE230" i="3" s="1"/>
  <c r="AE478" i="3" s="1"/>
  <c r="AE500" i="3" s="1"/>
  <c r="AF243" i="3"/>
  <c r="AF232" i="3" s="1"/>
  <c r="AF479" i="3" s="1"/>
  <c r="AF501" i="3" s="1"/>
  <c r="BG238" i="3"/>
  <c r="FP41" i="5"/>
  <c r="HA36" i="5"/>
  <c r="HA37" i="5" s="1"/>
  <c r="ED187" i="5"/>
  <c r="ED55" i="5"/>
  <c r="ED191" i="5" s="1"/>
  <c r="EF51" i="5"/>
  <c r="NA21" i="4"/>
  <c r="AB34" i="3"/>
  <c r="AI308" i="3"/>
  <c r="H35" i="6"/>
  <c r="K24" i="2"/>
  <c r="FN20" i="4"/>
  <c r="FL23" i="4"/>
  <c r="KJ17" i="4"/>
  <c r="KL16" i="4"/>
  <c r="K32" i="6"/>
  <c r="ED209" i="5"/>
  <c r="ED75" i="5"/>
  <c r="ED211" i="5" s="1"/>
  <c r="EF73" i="5"/>
  <c r="GL35" i="5"/>
  <c r="GL37" i="5" s="1"/>
  <c r="GL39" i="5" s="1"/>
  <c r="GJ37" i="5"/>
  <c r="GJ39" i="5" s="1"/>
  <c r="NB17" i="4"/>
  <c r="ND16" i="4"/>
  <c r="PH20" i="4"/>
  <c r="SU44" i="4"/>
  <c r="AH192" i="3" s="1"/>
  <c r="BG138" i="3"/>
  <c r="E142" i="3"/>
  <c r="AB52" i="4"/>
  <c r="J26" i="5"/>
  <c r="SZ74" i="4"/>
  <c r="SZ76" i="4" s="1"/>
  <c r="TB70" i="4"/>
  <c r="PF19" i="4"/>
  <c r="BH17" i="3"/>
  <c r="D16" i="2"/>
  <c r="E16" i="2" s="1"/>
  <c r="G16" i="2" s="1"/>
  <c r="I16" i="2" s="1"/>
  <c r="K16" i="2" s="1"/>
  <c r="UO23" i="4"/>
  <c r="UO25" i="4" s="1"/>
  <c r="AB73" i="4"/>
  <c r="AD54" i="4"/>
  <c r="Z29" i="4"/>
  <c r="AJ125" i="3"/>
  <c r="D36" i="6"/>
  <c r="G36" i="6" s="1"/>
  <c r="FR29" i="5"/>
  <c r="BJ22" i="5"/>
  <c r="BJ26" i="5" s="1"/>
  <c r="BL17" i="5"/>
  <c r="AY436" i="3"/>
  <c r="J23" i="5"/>
  <c r="F52" i="2"/>
  <c r="SV56" i="4"/>
  <c r="SV58" i="4" s="1"/>
  <c r="SX52" i="4"/>
  <c r="M35" i="2"/>
  <c r="AF186" i="3"/>
  <c r="J69" i="4"/>
  <c r="NX19" i="4"/>
  <c r="BC253" i="3"/>
  <c r="AB131" i="3" l="1"/>
  <c r="AB473" i="3"/>
  <c r="AB495" i="3" s="1"/>
  <c r="P70" i="3"/>
  <c r="P469" i="3"/>
  <c r="P491" i="3" s="1"/>
  <c r="AY64" i="3"/>
  <c r="AY469" i="3"/>
  <c r="AY491" i="3" s="1"/>
  <c r="K70" i="3"/>
  <c r="K469" i="3"/>
  <c r="K491" i="3" s="1"/>
  <c r="BG484" i="3"/>
  <c r="BG506" i="3" s="1"/>
  <c r="BG487" i="3"/>
  <c r="BG509" i="3" s="1"/>
  <c r="BH506" i="3"/>
  <c r="BH484" i="3"/>
  <c r="AC186" i="3"/>
  <c r="AC475" i="3"/>
  <c r="AC497" i="3" s="1"/>
  <c r="AY253" i="3"/>
  <c r="AY478" i="3"/>
  <c r="AY500" i="3" s="1"/>
  <c r="C19" i="6"/>
  <c r="G19" i="6" s="1"/>
  <c r="S469" i="3"/>
  <c r="S491" i="3" s="1"/>
  <c r="BH369" i="3"/>
  <c r="AC253" i="3"/>
  <c r="AY70" i="3"/>
  <c r="C11" i="6"/>
  <c r="G11" i="6" s="1"/>
  <c r="C29" i="6"/>
  <c r="AC64" i="3"/>
  <c r="QE21" i="4"/>
  <c r="AC314" i="3" s="1"/>
  <c r="MG36" i="4"/>
  <c r="H29" i="6"/>
  <c r="CX24" i="5"/>
  <c r="CV26" i="5"/>
  <c r="CV28" i="5" s="1"/>
  <c r="CV29" i="5" s="1"/>
  <c r="AC308" i="3"/>
  <c r="BC1" i="3"/>
  <c r="BC70" i="3"/>
  <c r="C49" i="6"/>
  <c r="AC70" i="3"/>
  <c r="F29" i="6"/>
  <c r="E29" i="6"/>
  <c r="D29" i="6"/>
  <c r="QA21" i="4"/>
  <c r="AC192" i="3" s="1"/>
  <c r="BC64" i="3"/>
  <c r="AC125" i="3"/>
  <c r="AC131" i="3"/>
  <c r="S64" i="3"/>
  <c r="BH155" i="3"/>
  <c r="D216" i="3" s="1"/>
  <c r="BH216" i="3" s="1"/>
  <c r="D277" i="3" s="1"/>
  <c r="BH277" i="3" s="1"/>
  <c r="K64" i="3"/>
  <c r="S70" i="3"/>
  <c r="D153" i="3"/>
  <c r="BH377" i="3"/>
  <c r="BH354" i="3"/>
  <c r="M106" i="3"/>
  <c r="M108" i="3" s="1"/>
  <c r="G15" i="6"/>
  <c r="D154" i="3"/>
  <c r="BH154" i="3"/>
  <c r="D215" i="3" s="1"/>
  <c r="BH215" i="3" s="1"/>
  <c r="D276" i="3" s="1"/>
  <c r="BH276" i="3" s="1"/>
  <c r="F20" i="3"/>
  <c r="G33" i="6"/>
  <c r="AB125" i="3"/>
  <c r="M45" i="3"/>
  <c r="M47" i="3" s="1"/>
  <c r="M469" i="3" s="1"/>
  <c r="M491" i="3" s="1"/>
  <c r="AV64" i="3"/>
  <c r="C42" i="6"/>
  <c r="AL308" i="3"/>
  <c r="H38" i="6"/>
  <c r="BC186" i="3"/>
  <c r="E49" i="6"/>
  <c r="AE247" i="3"/>
  <c r="F31" i="6"/>
  <c r="AA64" i="3"/>
  <c r="C27" i="6"/>
  <c r="AL64" i="3"/>
  <c r="C38" i="6"/>
  <c r="G38" i="6" s="1"/>
  <c r="AL70" i="3"/>
  <c r="AE308" i="3"/>
  <c r="H31" i="6"/>
  <c r="PH19" i="4"/>
  <c r="BH415" i="3"/>
  <c r="EF163" i="5"/>
  <c r="EH27" i="5"/>
  <c r="DN26" i="5"/>
  <c r="DP24" i="5"/>
  <c r="BH35" i="3"/>
  <c r="D34" i="2"/>
  <c r="E34" i="2" s="1"/>
  <c r="G34" i="2" s="1"/>
  <c r="I34" i="2" s="1"/>
  <c r="D25" i="2"/>
  <c r="BH26" i="3"/>
  <c r="BG29" i="3"/>
  <c r="AF25" i="4"/>
  <c r="KZ31" i="4"/>
  <c r="KZ32" i="4" s="1"/>
  <c r="L71" i="4"/>
  <c r="BH38" i="3"/>
  <c r="D99" i="3" s="1"/>
  <c r="D37" i="2"/>
  <c r="E37" i="2" s="1"/>
  <c r="N26" i="4"/>
  <c r="AB253" i="3"/>
  <c r="E19" i="3"/>
  <c r="E63" i="4"/>
  <c r="SX42" i="4"/>
  <c r="SX44" i="4" s="1"/>
  <c r="Z70" i="4"/>
  <c r="AB50" i="4"/>
  <c r="FR32" i="5"/>
  <c r="L21" i="5"/>
  <c r="FN49" i="5"/>
  <c r="L55" i="4"/>
  <c r="X65" i="4"/>
  <c r="X66" i="4" s="1"/>
  <c r="N45" i="4"/>
  <c r="GV35" i="4"/>
  <c r="GV37" i="4" s="1"/>
  <c r="N59" i="4"/>
  <c r="LV22" i="4"/>
  <c r="LX16" i="4"/>
  <c r="LX22" i="4" s="1"/>
  <c r="SV103" i="4"/>
  <c r="ED22" i="4"/>
  <c r="ED21" i="4"/>
  <c r="EF20" i="4"/>
  <c r="AX18" i="5"/>
  <c r="AV21" i="5"/>
  <c r="PF27" i="4"/>
  <c r="PH24" i="4"/>
  <c r="AY106" i="3"/>
  <c r="AY108" i="3" s="1"/>
  <c r="BG102" i="3"/>
  <c r="L28" i="6"/>
  <c r="L50" i="4"/>
  <c r="EF177" i="5"/>
  <c r="EF48" i="5"/>
  <c r="EF184" i="5" s="1"/>
  <c r="EH41" i="5"/>
  <c r="L31" i="4"/>
  <c r="BH438" i="3"/>
  <c r="AD33" i="4"/>
  <c r="V57" i="4"/>
  <c r="AA125" i="3"/>
  <c r="D27" i="6"/>
  <c r="AA131" i="3"/>
  <c r="SX56" i="4"/>
  <c r="SX58" i="4" s="1"/>
  <c r="SZ52" i="4"/>
  <c r="GJ41" i="5"/>
  <c r="GJ42" i="5" s="1"/>
  <c r="L32" i="6"/>
  <c r="M32" i="6" s="1"/>
  <c r="CV21" i="4"/>
  <c r="CX17" i="4"/>
  <c r="CX21" i="4" s="1"/>
  <c r="BG243" i="3"/>
  <c r="BG232" i="3" s="1"/>
  <c r="BG479" i="3" s="1"/>
  <c r="BG501" i="3" s="1"/>
  <c r="J51" i="2"/>
  <c r="KJ19" i="4"/>
  <c r="KJ20" i="4" s="1"/>
  <c r="AD53" i="4"/>
  <c r="BG16" i="3"/>
  <c r="PF21" i="4"/>
  <c r="PH18" i="4"/>
  <c r="EF161" i="5"/>
  <c r="EH25" i="5"/>
  <c r="IX21" i="4"/>
  <c r="IX22" i="4" s="1"/>
  <c r="GD31" i="4"/>
  <c r="GD30" i="4"/>
  <c r="SW100" i="4"/>
  <c r="L17" i="4"/>
  <c r="BG264" i="3"/>
  <c r="L15" i="2"/>
  <c r="N33" i="5"/>
  <c r="PJ31" i="4"/>
  <c r="N20" i="4"/>
  <c r="AE186" i="3"/>
  <c r="E31" i="6"/>
  <c r="AX24" i="5"/>
  <c r="AV26" i="5"/>
  <c r="E81" i="3"/>
  <c r="BG77" i="3"/>
  <c r="FR39" i="5"/>
  <c r="O81" i="4"/>
  <c r="O82" i="4" s="1"/>
  <c r="D51" i="2"/>
  <c r="BH54" i="3"/>
  <c r="EF180" i="5"/>
  <c r="EH44" i="5"/>
  <c r="X39" i="4"/>
  <c r="X40" i="4" s="1"/>
  <c r="X57" i="4" s="1"/>
  <c r="V74" i="4"/>
  <c r="EH171" i="5"/>
  <c r="EJ35" i="5"/>
  <c r="EJ171" i="5" s="1"/>
  <c r="N31" i="5"/>
  <c r="AD22" i="4"/>
  <c r="D208" i="3"/>
  <c r="AE75" i="4"/>
  <c r="N54" i="4"/>
  <c r="AD52" i="4"/>
  <c r="EF55" i="5"/>
  <c r="EF191" i="5" s="1"/>
  <c r="EF187" i="5"/>
  <c r="EH51" i="5"/>
  <c r="L24" i="5"/>
  <c r="AB24" i="4"/>
  <c r="PD35" i="4"/>
  <c r="N32" i="5"/>
  <c r="L35" i="4"/>
  <c r="J43" i="4"/>
  <c r="GL41" i="5"/>
  <c r="GL42" i="5"/>
  <c r="G42" i="3"/>
  <c r="AO25" i="4"/>
  <c r="AK37" i="3"/>
  <c r="N28" i="4"/>
  <c r="P61" i="4"/>
  <c r="R61" i="4" s="1"/>
  <c r="TB74" i="4"/>
  <c r="TB76" i="4" s="1"/>
  <c r="TD70" i="4"/>
  <c r="TD74" i="4" s="1"/>
  <c r="TD76" i="4" s="1"/>
  <c r="G103" i="3"/>
  <c r="AQ25" i="4"/>
  <c r="ED18" i="4"/>
  <c r="EF16" i="4"/>
  <c r="EF190" i="5"/>
  <c r="EH54" i="5"/>
  <c r="N36" i="4"/>
  <c r="AE125" i="3"/>
  <c r="D31" i="6"/>
  <c r="L25" i="4"/>
  <c r="RO31" i="4"/>
  <c r="AE314" i="3" s="1"/>
  <c r="L27" i="4"/>
  <c r="BG182" i="3"/>
  <c r="BG171" i="3" s="1"/>
  <c r="BG476" i="3" s="1"/>
  <c r="BG498" i="3" s="1"/>
  <c r="H51" i="2"/>
  <c r="GF25" i="4"/>
  <c r="GF28" i="4" s="1"/>
  <c r="GH17" i="4"/>
  <c r="H46" i="4"/>
  <c r="G35" i="6"/>
  <c r="L30" i="5"/>
  <c r="PB53" i="4"/>
  <c r="AC76" i="4"/>
  <c r="CX21" i="5"/>
  <c r="CZ18" i="5"/>
  <c r="H37" i="2"/>
  <c r="J37" i="2"/>
  <c r="DL26" i="4"/>
  <c r="EF182" i="5"/>
  <c r="EH46" i="5"/>
  <c r="EF197" i="5"/>
  <c r="EH61" i="5"/>
  <c r="PA43" i="4"/>
  <c r="OZ44" i="4"/>
  <c r="FN47" i="5"/>
  <c r="Y58" i="4"/>
  <c r="NZ20" i="4"/>
  <c r="D40" i="2"/>
  <c r="E40" i="2" s="1"/>
  <c r="BH41" i="3"/>
  <c r="D102" i="3" s="1"/>
  <c r="M40" i="5"/>
  <c r="I28" i="6"/>
  <c r="M27" i="2"/>
  <c r="W74" i="4"/>
  <c r="J53" i="2"/>
  <c r="PJ26" i="4"/>
  <c r="AB28" i="4"/>
  <c r="AE59" i="4"/>
  <c r="J52" i="2"/>
  <c r="SV60" i="4"/>
  <c r="SV62" i="4" s="1"/>
  <c r="AB287" i="3"/>
  <c r="AB289" i="3" s="1"/>
  <c r="AB291" i="3" s="1"/>
  <c r="AB481" i="3" s="1"/>
  <c r="AB503" i="3" s="1"/>
  <c r="L18" i="2"/>
  <c r="AF253" i="3"/>
  <c r="L40" i="2"/>
  <c r="F56" i="4"/>
  <c r="D62" i="4"/>
  <c r="F37" i="2"/>
  <c r="ND17" i="4"/>
  <c r="NF16" i="4"/>
  <c r="EF155" i="5"/>
  <c r="EH19" i="5"/>
  <c r="L69" i="4"/>
  <c r="SJ20" i="4"/>
  <c r="SJ24" i="4" s="1"/>
  <c r="SJ26" i="4" s="1"/>
  <c r="SL16" i="4"/>
  <c r="SL20" i="4" s="1"/>
  <c r="SL24" i="4" s="1"/>
  <c r="SL26" i="4" s="1"/>
  <c r="AN110" i="3"/>
  <c r="AN473" i="3" s="1"/>
  <c r="AN495" i="3" s="1"/>
  <c r="AN125" i="3"/>
  <c r="N29" i="4"/>
  <c r="L23" i="5"/>
  <c r="SZ80" i="4"/>
  <c r="SZ78" i="4"/>
  <c r="BG142" i="3"/>
  <c r="H15" i="2"/>
  <c r="H19" i="2" s="1"/>
  <c r="EF209" i="5"/>
  <c r="EF75" i="5"/>
  <c r="EF211" i="5" s="1"/>
  <c r="EH73" i="5"/>
  <c r="FN23" i="4"/>
  <c r="FP20" i="4"/>
  <c r="BF226" i="3"/>
  <c r="BF228" i="3" s="1"/>
  <c r="BF230" i="3" s="1"/>
  <c r="L19" i="4"/>
  <c r="FR16" i="4"/>
  <c r="FR18" i="4" s="1"/>
  <c r="FP18" i="4"/>
  <c r="AB27" i="4"/>
  <c r="Z64" i="4"/>
  <c r="SH28" i="4"/>
  <c r="SH30" i="4" s="1"/>
  <c r="FT42" i="5"/>
  <c r="AY289" i="3"/>
  <c r="AY291" i="3" s="1"/>
  <c r="AY481" i="3" s="1"/>
  <c r="AY503" i="3" s="1"/>
  <c r="AD18" i="4"/>
  <c r="BL22" i="4"/>
  <c r="BL24" i="4" s="1"/>
  <c r="BN16" i="4"/>
  <c r="EF173" i="5"/>
  <c r="EH37" i="5"/>
  <c r="N44" i="4"/>
  <c r="BH100" i="3"/>
  <c r="F38" i="2"/>
  <c r="G38" i="2" s="1"/>
  <c r="I38" i="2" s="1"/>
  <c r="K38" i="2" s="1"/>
  <c r="AA76" i="4"/>
  <c r="GJ26" i="5"/>
  <c r="GJ32" i="5" s="1"/>
  <c r="GL24" i="5"/>
  <c r="GL26" i="5" s="1"/>
  <c r="GL32" i="5" s="1"/>
  <c r="MN16" i="4"/>
  <c r="ML20" i="4"/>
  <c r="ML25" i="4" s="1"/>
  <c r="ML27" i="4" s="1"/>
  <c r="BH178" i="3"/>
  <c r="D239" i="3" s="1"/>
  <c r="BH239" i="3" s="1"/>
  <c r="D300" i="3" s="1"/>
  <c r="BH300" i="3" s="1"/>
  <c r="H53" i="2"/>
  <c r="I53" i="2" s="1"/>
  <c r="EH160" i="5"/>
  <c r="EJ24" i="5"/>
  <c r="K77" i="4"/>
  <c r="E217" i="3"/>
  <c r="AB171" i="3"/>
  <c r="AB476" i="3" s="1"/>
  <c r="AB498" i="3" s="1"/>
  <c r="AB186" i="3"/>
  <c r="JN22" i="4"/>
  <c r="JN23" i="4" s="1"/>
  <c r="ES27" i="4"/>
  <c r="EF202" i="5"/>
  <c r="EH66" i="5"/>
  <c r="L37" i="2"/>
  <c r="X60" i="3"/>
  <c r="BG55" i="3"/>
  <c r="BG60" i="3" s="1"/>
  <c r="BG49" i="3" s="1"/>
  <c r="BG470" i="3" s="1"/>
  <c r="BG492" i="3" s="1"/>
  <c r="EH172" i="5"/>
  <c r="EJ36" i="5"/>
  <c r="EJ172" i="5" s="1"/>
  <c r="P41" i="4"/>
  <c r="R41" i="4" s="1"/>
  <c r="G74" i="4"/>
  <c r="G75" i="4"/>
  <c r="G76" i="4"/>
  <c r="DN23" i="4"/>
  <c r="DN26" i="4" s="1"/>
  <c r="DP18" i="4"/>
  <c r="J70" i="4"/>
  <c r="BG115" i="3"/>
  <c r="G41" i="5"/>
  <c r="FR18" i="5"/>
  <c r="FP19" i="5"/>
  <c r="BG203" i="3"/>
  <c r="J15" i="2"/>
  <c r="EF170" i="5"/>
  <c r="EH34" i="5"/>
  <c r="Y66" i="4"/>
  <c r="F34" i="3"/>
  <c r="AB26" i="4"/>
  <c r="EH69" i="5"/>
  <c r="EF205" i="5"/>
  <c r="D89" i="3"/>
  <c r="BH89" i="3"/>
  <c r="Y74" i="4"/>
  <c r="F103" i="3"/>
  <c r="FL49" i="5"/>
  <c r="FL51" i="5" s="1"/>
  <c r="N42" i="4"/>
  <c r="AX16" i="4"/>
  <c r="AV18" i="4"/>
  <c r="NZ23" i="4"/>
  <c r="N37" i="4"/>
  <c r="MZ20" i="4"/>
  <c r="P38" i="4"/>
  <c r="R38" i="4" s="1"/>
  <c r="FT29" i="5"/>
  <c r="N22" i="5"/>
  <c r="AN20" i="4"/>
  <c r="SZ31" i="4"/>
  <c r="SZ100" i="4"/>
  <c r="PH25" i="4"/>
  <c r="AT28" i="5"/>
  <c r="AT29" i="5" s="1"/>
  <c r="FP33" i="5"/>
  <c r="EF179" i="5"/>
  <c r="EH43" i="5"/>
  <c r="FR31" i="5"/>
  <c r="RR36" i="4"/>
  <c r="RT34" i="4"/>
  <c r="RT36" i="4" s="1"/>
  <c r="M77" i="4"/>
  <c r="E278" i="3"/>
  <c r="L19" i="5"/>
  <c r="E281" i="3"/>
  <c r="BG281" i="3" s="1"/>
  <c r="P68" i="4"/>
  <c r="TJ23" i="4"/>
  <c r="AL314" i="3"/>
  <c r="W58" i="4"/>
  <c r="W59" i="4" s="1"/>
  <c r="MJ34" i="4"/>
  <c r="MJ29" i="4"/>
  <c r="MJ31" i="4" s="1"/>
  <c r="K45" i="6"/>
  <c r="M45" i="6" s="1"/>
  <c r="EF29" i="5"/>
  <c r="EF165" i="5" s="1"/>
  <c r="E220" i="3"/>
  <c r="BG220" i="3" s="1"/>
  <c r="EF164" i="5"/>
  <c r="EH28" i="5"/>
  <c r="JM22" i="4"/>
  <c r="T43" i="3" s="1"/>
  <c r="T37" i="3"/>
  <c r="MH35" i="4"/>
  <c r="MH36" i="4" s="1"/>
  <c r="BH57" i="3"/>
  <c r="D54" i="2"/>
  <c r="E54" i="2" s="1"/>
  <c r="G54" i="2" s="1"/>
  <c r="I54" i="2" s="1"/>
  <c r="K54" i="2" s="1"/>
  <c r="SZ20" i="4"/>
  <c r="SZ22" i="4" s="1"/>
  <c r="TB16" i="4"/>
  <c r="L34" i="4"/>
  <c r="J28" i="6"/>
  <c r="EF196" i="5"/>
  <c r="EH60" i="5"/>
  <c r="EF178" i="5"/>
  <c r="EH42" i="5"/>
  <c r="J37" i="5"/>
  <c r="L24" i="4"/>
  <c r="E159" i="3"/>
  <c r="BG159" i="3" s="1"/>
  <c r="I40" i="5"/>
  <c r="EZ21" i="4"/>
  <c r="EZ23" i="4" s="1"/>
  <c r="EX23" i="4"/>
  <c r="EF198" i="5"/>
  <c r="EH62" i="5"/>
  <c r="AS18" i="4"/>
  <c r="BJ28" i="5"/>
  <c r="BJ30" i="5" s="1"/>
  <c r="DL28" i="5"/>
  <c r="DL30" i="5" s="1"/>
  <c r="GX27" i="4"/>
  <c r="GX29" i="4" s="1"/>
  <c r="GX31" i="4" s="1"/>
  <c r="GX33" i="4" s="1"/>
  <c r="GZ24" i="4"/>
  <c r="AB247" i="3"/>
  <c r="F28" i="6"/>
  <c r="PI53" i="4"/>
  <c r="RM31" i="4"/>
  <c r="AE253" i="3" s="1"/>
  <c r="L26" i="5"/>
  <c r="Y131" i="3"/>
  <c r="L51" i="2"/>
  <c r="BG304" i="3"/>
  <c r="BG293" i="3" s="1"/>
  <c r="BG482" i="3" s="1"/>
  <c r="BG504" i="3" s="1"/>
  <c r="HP18" i="4"/>
  <c r="HR16" i="4"/>
  <c r="EW42" i="5"/>
  <c r="BC192" i="3" s="1"/>
  <c r="UQ23" i="4"/>
  <c r="UQ25" i="4" s="1"/>
  <c r="AY247" i="3"/>
  <c r="F45" i="6"/>
  <c r="E286" i="3"/>
  <c r="BG286" i="3" s="1"/>
  <c r="EF188" i="5"/>
  <c r="EH52" i="5"/>
  <c r="CG66" i="5"/>
  <c r="EH181" i="5"/>
  <c r="EJ45" i="5"/>
  <c r="EJ181" i="5" s="1"/>
  <c r="L18" i="4"/>
  <c r="NV18" i="4"/>
  <c r="K30" i="2"/>
  <c r="H40" i="2"/>
  <c r="FK49" i="5"/>
  <c r="AB68" i="4"/>
  <c r="AD47" i="4"/>
  <c r="W66" i="4"/>
  <c r="AF71" i="4"/>
  <c r="AF48" i="4"/>
  <c r="GV23" i="5"/>
  <c r="GU23" i="5"/>
  <c r="GT24" i="5"/>
  <c r="E225" i="3"/>
  <c r="BG225" i="3" s="1"/>
  <c r="AK34" i="3"/>
  <c r="RL29" i="4"/>
  <c r="RJ31" i="4"/>
  <c r="Z62" i="4"/>
  <c r="Z39" i="4"/>
  <c r="Z38" i="4"/>
  <c r="Z72" i="4" s="1"/>
  <c r="Z37" i="4"/>
  <c r="Z34" i="4"/>
  <c r="AB17" i="4"/>
  <c r="AE131" i="3"/>
  <c r="AY192" i="3"/>
  <c r="SX24" i="4"/>
  <c r="SX26" i="4" s="1"/>
  <c r="EH183" i="5"/>
  <c r="EJ47" i="5"/>
  <c r="EJ183" i="5" s="1"/>
  <c r="K40" i="5"/>
  <c r="JP22" i="4"/>
  <c r="JP23" i="4" s="1"/>
  <c r="PF33" i="4"/>
  <c r="PH30" i="4"/>
  <c r="P64" i="3"/>
  <c r="C16" i="6"/>
  <c r="G16" i="6" s="1"/>
  <c r="E164" i="3"/>
  <c r="BG164" i="3" s="1"/>
  <c r="FR38" i="5"/>
  <c r="EV25" i="4"/>
  <c r="EV27" i="4"/>
  <c r="AF247" i="3"/>
  <c r="FR30" i="5"/>
  <c r="FR33" i="5" s="1"/>
  <c r="N25" i="5"/>
  <c r="L18" i="5"/>
  <c r="J27" i="5"/>
  <c r="IJ20" i="4"/>
  <c r="IL16" i="4"/>
  <c r="AB19" i="4"/>
  <c r="AF54" i="4"/>
  <c r="AD73" i="4"/>
  <c r="KL17" i="4"/>
  <c r="KN16" i="4"/>
  <c r="KN17" i="4" s="1"/>
  <c r="MX21" i="4"/>
  <c r="AA70" i="3"/>
  <c r="EH168" i="5"/>
  <c r="EJ32" i="5"/>
  <c r="AB21" i="4"/>
  <c r="P53" i="4"/>
  <c r="R53" i="4" s="1"/>
  <c r="JB17" i="4"/>
  <c r="IZ19" i="4"/>
  <c r="EH70" i="5"/>
  <c r="EF206" i="5"/>
  <c r="NZ19" i="4"/>
  <c r="M16" i="2"/>
  <c r="PJ20" i="4"/>
  <c r="FR41" i="5"/>
  <c r="BL22" i="5"/>
  <c r="BL26" i="5" s="1"/>
  <c r="BN17" i="5"/>
  <c r="AB29" i="4"/>
  <c r="D78" i="3"/>
  <c r="BH78" i="3"/>
  <c r="M24" i="2"/>
  <c r="N28" i="6"/>
  <c r="NB19" i="4"/>
  <c r="L34" i="5"/>
  <c r="AB63" i="4"/>
  <c r="AD20" i="4"/>
  <c r="EH156" i="5"/>
  <c r="EJ20" i="5"/>
  <c r="EJ156" i="5" s="1"/>
  <c r="US21" i="4"/>
  <c r="UU18" i="4"/>
  <c r="QV21" i="4"/>
  <c r="QX19" i="4"/>
  <c r="QX21" i="4" s="1"/>
  <c r="AD45" i="4"/>
  <c r="J40" i="2"/>
  <c r="AD46" i="4"/>
  <c r="FJ51" i="5"/>
  <c r="SX102" i="4"/>
  <c r="SW102" i="4" s="1"/>
  <c r="SZ84" i="4"/>
  <c r="SZ102" i="4" s="1"/>
  <c r="SY102" i="4" s="1"/>
  <c r="L23" i="4"/>
  <c r="LD17" i="4"/>
  <c r="LB25" i="4"/>
  <c r="LB28" i="4" s="1"/>
  <c r="LB30" i="4" s="1"/>
  <c r="AY186" i="3"/>
  <c r="E45" i="6"/>
  <c r="TB34" i="4"/>
  <c r="SZ38" i="4"/>
  <c r="SZ40" i="4" s="1"/>
  <c r="AB49" i="4"/>
  <c r="TI24" i="4"/>
  <c r="L30" i="4"/>
  <c r="EH189" i="5"/>
  <c r="EJ53" i="5"/>
  <c r="EJ189" i="5" s="1"/>
  <c r="EF154" i="5"/>
  <c r="EF21" i="5"/>
  <c r="EF157" i="5" s="1"/>
  <c r="EH18" i="5"/>
  <c r="AB44" i="4"/>
  <c r="Z55" i="4"/>
  <c r="DJ26" i="4"/>
  <c r="FP45" i="5"/>
  <c r="FR37" i="5"/>
  <c r="EF169" i="5"/>
  <c r="EH33" i="5"/>
  <c r="N60" i="4"/>
  <c r="J33" i="4"/>
  <c r="J46" i="4" s="1"/>
  <c r="BH509" i="3"/>
  <c r="BH430" i="3"/>
  <c r="SV92" i="4"/>
  <c r="SV94" i="4" s="1"/>
  <c r="SX88" i="4"/>
  <c r="SX101" i="4"/>
  <c r="SX85" i="4"/>
  <c r="SZ83" i="4"/>
  <c r="Y192" i="3"/>
  <c r="JR18" i="4"/>
  <c r="JR20" i="4" s="1"/>
  <c r="JT16" i="4"/>
  <c r="K40" i="6"/>
  <c r="E40" i="5"/>
  <c r="E41" i="5" s="1"/>
  <c r="F38" i="5"/>
  <c r="D40" i="5"/>
  <c r="D41" i="5" s="1"/>
  <c r="I77" i="4"/>
  <c r="E156" i="3"/>
  <c r="AB51" i="4"/>
  <c r="RK31" i="4"/>
  <c r="AE192" i="3" s="1"/>
  <c r="Y43" i="3"/>
  <c r="Y45" i="3" s="1"/>
  <c r="Y47" i="3" s="1"/>
  <c r="Y469" i="3" s="1"/>
  <c r="Y491" i="3" s="1"/>
  <c r="UH27" i="4"/>
  <c r="UH26" i="4"/>
  <c r="H35" i="5"/>
  <c r="X69" i="4"/>
  <c r="IH22" i="4"/>
  <c r="IH23" i="4" s="1"/>
  <c r="BF253" i="3" l="1"/>
  <c r="BF478" i="3"/>
  <c r="BF500" i="3" s="1"/>
  <c r="AY131" i="3"/>
  <c r="AY472" i="3"/>
  <c r="AY494" i="3" s="1"/>
  <c r="BH488" i="3"/>
  <c r="BH510" i="3" s="1"/>
  <c r="M125" i="3"/>
  <c r="M472" i="3"/>
  <c r="M494" i="3" s="1"/>
  <c r="BH485" i="3"/>
  <c r="BH507" i="3" s="1"/>
  <c r="G49" i="6"/>
  <c r="CX26" i="5"/>
  <c r="CZ24" i="5"/>
  <c r="SX103" i="4"/>
  <c r="G29" i="6"/>
  <c r="BH356" i="3"/>
  <c r="M131" i="3"/>
  <c r="D13" i="6"/>
  <c r="C13" i="6"/>
  <c r="M70" i="3"/>
  <c r="M64" i="3"/>
  <c r="BH417" i="3"/>
  <c r="H58" i="2"/>
  <c r="CA16" i="4" s="1"/>
  <c r="BH99" i="3"/>
  <c r="T45" i="3"/>
  <c r="T47" i="3" s="1"/>
  <c r="G27" i="6"/>
  <c r="EH169" i="5"/>
  <c r="EJ33" i="5"/>
  <c r="EJ169" i="5" s="1"/>
  <c r="Y64" i="3"/>
  <c r="C25" i="6"/>
  <c r="G25" i="6" s="1"/>
  <c r="EH178" i="5"/>
  <c r="EJ42" i="5"/>
  <c r="EJ178" i="5" s="1"/>
  <c r="FP47" i="5"/>
  <c r="SV96" i="4"/>
  <c r="SV98" i="4" s="1"/>
  <c r="FR45" i="5"/>
  <c r="FT37" i="5"/>
  <c r="LB31" i="4"/>
  <c r="LB32" i="4" s="1"/>
  <c r="UU21" i="4"/>
  <c r="UW18" i="4"/>
  <c r="UW21" i="4" s="1"/>
  <c r="MJ35" i="4"/>
  <c r="MJ36" i="4" s="1"/>
  <c r="J19" i="2"/>
  <c r="L70" i="4"/>
  <c r="N35" i="4"/>
  <c r="AF22" i="4"/>
  <c r="I79" i="4"/>
  <c r="FP49" i="5"/>
  <c r="ND19" i="4"/>
  <c r="D139" i="3"/>
  <c r="BH139" i="3"/>
  <c r="D200" i="3" s="1"/>
  <c r="BH200" i="3" s="1"/>
  <c r="D261" i="3" s="1"/>
  <c r="BH261" i="3" s="1"/>
  <c r="PL20" i="4"/>
  <c r="PN20" i="4" s="1"/>
  <c r="AD21" i="4"/>
  <c r="KN19" i="4"/>
  <c r="KN20" i="4"/>
  <c r="IJ22" i="4"/>
  <c r="IJ23" i="4" s="1"/>
  <c r="EH188" i="5"/>
  <c r="EJ52" i="5"/>
  <c r="EJ188" i="5" s="1"/>
  <c r="L58" i="2"/>
  <c r="AB314" i="3"/>
  <c r="GX35" i="4"/>
  <c r="GX37" i="4" s="1"/>
  <c r="W75" i="4"/>
  <c r="N19" i="5"/>
  <c r="AX18" i="4"/>
  <c r="DR18" i="4"/>
  <c r="DP23" i="4"/>
  <c r="DP26" i="4" s="1"/>
  <c r="BG217" i="3"/>
  <c r="D161" i="3"/>
  <c r="BH161" i="3"/>
  <c r="D222" i="3" s="1"/>
  <c r="BH222" i="3" s="1"/>
  <c r="D283" i="3" s="1"/>
  <c r="BH283" i="3" s="1"/>
  <c r="AD27" i="4"/>
  <c r="AB64" i="4"/>
  <c r="FP23" i="4"/>
  <c r="FR20" i="4"/>
  <c r="FR23" i="4" s="1"/>
  <c r="SL28" i="4"/>
  <c r="SL30" i="4"/>
  <c r="D63" i="4"/>
  <c r="AV287" i="3"/>
  <c r="AV289" i="3" s="1"/>
  <c r="AV291" i="3" s="1"/>
  <c r="AV481" i="3" s="1"/>
  <c r="AV503" i="3" s="1"/>
  <c r="DB18" i="5"/>
  <c r="CZ21" i="5"/>
  <c r="AQ27" i="4"/>
  <c r="FT39" i="5"/>
  <c r="EH161" i="5"/>
  <c r="EJ25" i="5"/>
  <c r="EJ161" i="5" s="1"/>
  <c r="SX60" i="4"/>
  <c r="SX62" i="4" s="1"/>
  <c r="AY125" i="3"/>
  <c r="D45" i="6"/>
  <c r="G45" i="6" s="1"/>
  <c r="AB70" i="4"/>
  <c r="AD50" i="4"/>
  <c r="NV22" i="4"/>
  <c r="K34" i="2"/>
  <c r="PJ19" i="4"/>
  <c r="J41" i="2"/>
  <c r="AY308" i="3"/>
  <c r="H45" i="6"/>
  <c r="SJ28" i="4"/>
  <c r="SJ30" i="4" s="1"/>
  <c r="H56" i="4"/>
  <c r="F62" i="4"/>
  <c r="EH182" i="5"/>
  <c r="EJ46" i="5"/>
  <c r="EJ182" i="5" s="1"/>
  <c r="AD29" i="4"/>
  <c r="EJ168" i="5"/>
  <c r="N18" i="5"/>
  <c r="L27" i="5"/>
  <c r="Z65" i="4"/>
  <c r="BD43" i="3"/>
  <c r="BD45" i="3" s="1"/>
  <c r="BD47" i="3" s="1"/>
  <c r="BD469" i="3" s="1"/>
  <c r="BD491" i="3" s="1"/>
  <c r="L41" i="2"/>
  <c r="SZ24" i="4"/>
  <c r="SZ26" i="4" s="1"/>
  <c r="PJ25" i="4"/>
  <c r="P42" i="4"/>
  <c r="R42" i="4" s="1"/>
  <c r="D150" i="3"/>
  <c r="BH150" i="3"/>
  <c r="D211" i="3" s="1"/>
  <c r="BH211" i="3" s="1"/>
  <c r="D272" i="3" s="1"/>
  <c r="BH272" i="3" s="1"/>
  <c r="FR19" i="5"/>
  <c r="FT18" i="5"/>
  <c r="E103" i="3"/>
  <c r="BG103" i="3" s="1"/>
  <c r="K79" i="4"/>
  <c r="MN20" i="4"/>
  <c r="MN25" i="4" s="1"/>
  <c r="MN27" i="4" s="1"/>
  <c r="MP16" i="4"/>
  <c r="MP20" i="4" s="1"/>
  <c r="MP25" i="4" s="1"/>
  <c r="MP27" i="4" s="1"/>
  <c r="EH209" i="5"/>
  <c r="EJ73" i="5"/>
  <c r="EH75" i="5"/>
  <c r="EH211" i="5" s="1"/>
  <c r="N23" i="5"/>
  <c r="NH16" i="4"/>
  <c r="NF17" i="4"/>
  <c r="AD28" i="4"/>
  <c r="FN51" i="5"/>
  <c r="F253" i="3"/>
  <c r="AC77" i="4"/>
  <c r="GF30" i="4"/>
  <c r="GF31" i="4"/>
  <c r="N25" i="4"/>
  <c r="P36" i="4"/>
  <c r="R36" i="4" s="1"/>
  <c r="AE76" i="4"/>
  <c r="BG81" i="3"/>
  <c r="F15" i="2"/>
  <c r="F19" i="2" s="1"/>
  <c r="SW103" i="4"/>
  <c r="PH21" i="4"/>
  <c r="PJ18" i="4"/>
  <c r="Y70" i="3"/>
  <c r="N50" i="4"/>
  <c r="P26" i="4"/>
  <c r="R26" i="4" s="1"/>
  <c r="DP26" i="5"/>
  <c r="DR24" i="5"/>
  <c r="DR26" i="5" s="1"/>
  <c r="AV70" i="3"/>
  <c r="AD63" i="4"/>
  <c r="AF20" i="4"/>
  <c r="EH206" i="5"/>
  <c r="EJ70" i="5"/>
  <c r="EJ206" i="5" s="1"/>
  <c r="EH38" i="5"/>
  <c r="EH174" i="5" s="1"/>
  <c r="AF73" i="4"/>
  <c r="AV226" i="3"/>
  <c r="AV228" i="3" s="1"/>
  <c r="AV230" i="3" s="1"/>
  <c r="AV478" i="3" s="1"/>
  <c r="AV500" i="3" s="1"/>
  <c r="FK51" i="5"/>
  <c r="N18" i="4"/>
  <c r="EH196" i="5"/>
  <c r="EJ60" i="5"/>
  <c r="EJ196" i="5" s="1"/>
  <c r="M54" i="2"/>
  <c r="JM23" i="4"/>
  <c r="L36" i="2"/>
  <c r="BG278" i="3"/>
  <c r="EJ43" i="5"/>
  <c r="EJ179" i="5" s="1"/>
  <c r="EH179" i="5"/>
  <c r="P37" i="4"/>
  <c r="R37" i="4" s="1"/>
  <c r="E98" i="3"/>
  <c r="BG98" i="3" s="1"/>
  <c r="BH55" i="3"/>
  <c r="D52" i="2"/>
  <c r="E52" i="2" s="1"/>
  <c r="G52" i="2" s="1"/>
  <c r="I52" i="2" s="1"/>
  <c r="K52" i="2" s="1"/>
  <c r="EH173" i="5"/>
  <c r="EJ37" i="5"/>
  <c r="EJ173" i="5" s="1"/>
  <c r="J72" i="4"/>
  <c r="TD78" i="4"/>
  <c r="TD80" i="4" s="1"/>
  <c r="AO27" i="4"/>
  <c r="E51" i="2"/>
  <c r="PL31" i="4"/>
  <c r="PN31" i="4" s="1"/>
  <c r="PF35" i="4"/>
  <c r="P45" i="4"/>
  <c r="R45" i="4" s="1"/>
  <c r="N21" i="5"/>
  <c r="DN28" i="5"/>
  <c r="DN30" i="5" s="1"/>
  <c r="KL19" i="4"/>
  <c r="KL20" i="4" s="1"/>
  <c r="ML34" i="4"/>
  <c r="ML29" i="4"/>
  <c r="ML31" i="4"/>
  <c r="P20" i="4"/>
  <c r="R20" i="4" s="1"/>
  <c r="AF45" i="4"/>
  <c r="X58" i="4"/>
  <c r="AD44" i="4"/>
  <c r="AB55" i="4"/>
  <c r="N30" i="4"/>
  <c r="BN22" i="5"/>
  <c r="BN26" i="5" s="1"/>
  <c r="BP17" i="5"/>
  <c r="BP22" i="5" s="1"/>
  <c r="BP26" i="5" s="1"/>
  <c r="IZ22" i="4"/>
  <c r="IZ21" i="4"/>
  <c r="K41" i="5"/>
  <c r="GT34" i="5"/>
  <c r="N26" i="5"/>
  <c r="EX25" i="4"/>
  <c r="EX27" i="4" s="1"/>
  <c r="D118" i="3"/>
  <c r="BH118" i="3"/>
  <c r="EH164" i="5"/>
  <c r="EJ28" i="5"/>
  <c r="EJ164" i="5" s="1"/>
  <c r="M79" i="4"/>
  <c r="EH170" i="5"/>
  <c r="EJ34" i="5"/>
  <c r="EJ170" i="5" s="1"/>
  <c r="AV131" i="3"/>
  <c r="G77" i="4"/>
  <c r="E95" i="3"/>
  <c r="X49" i="3"/>
  <c r="X470" i="3" s="1"/>
  <c r="X492" i="3" s="1"/>
  <c r="X64" i="3"/>
  <c r="EJ160" i="5"/>
  <c r="N19" i="4"/>
  <c r="P29" i="4"/>
  <c r="R29" i="4" s="1"/>
  <c r="N69" i="4"/>
  <c r="PL26" i="4"/>
  <c r="PN26" i="4" s="1"/>
  <c r="OZ50" i="4"/>
  <c r="G31" i="6"/>
  <c r="EH190" i="5"/>
  <c r="EJ54" i="5"/>
  <c r="EJ190" i="5" s="1"/>
  <c r="TB78" i="4"/>
  <c r="TB80" i="4" s="1"/>
  <c r="L43" i="4"/>
  <c r="AF52" i="4"/>
  <c r="AV28" i="5"/>
  <c r="AV29" i="5" s="1"/>
  <c r="N31" i="4"/>
  <c r="G37" i="2"/>
  <c r="I37" i="2" s="1"/>
  <c r="K37" i="2" s="1"/>
  <c r="EH163" i="5"/>
  <c r="EJ27" i="5"/>
  <c r="EJ163" i="5" s="1"/>
  <c r="Z74" i="4"/>
  <c r="NX18" i="4"/>
  <c r="EH198" i="5"/>
  <c r="EJ62" i="5"/>
  <c r="EJ198" i="5" s="1"/>
  <c r="TB20" i="4"/>
  <c r="TB22" i="4" s="1"/>
  <c r="TD16" i="4"/>
  <c r="TD20" i="4" s="1"/>
  <c r="TD22" i="4" s="1"/>
  <c r="R68" i="4"/>
  <c r="FT31" i="5"/>
  <c r="EH202" i="5"/>
  <c r="EJ66" i="5"/>
  <c r="EJ202" i="5" s="1"/>
  <c r="P44" i="4"/>
  <c r="R44" i="4" s="1"/>
  <c r="F42" i="3"/>
  <c r="GH25" i="4"/>
  <c r="GH28" i="4" s="1"/>
  <c r="GJ17" i="4"/>
  <c r="EH187" i="5"/>
  <c r="EH55" i="5"/>
  <c r="EH191" i="5" s="1"/>
  <c r="EJ51" i="5"/>
  <c r="D115" i="3"/>
  <c r="AB308" i="3"/>
  <c r="H28" i="6"/>
  <c r="PJ24" i="4"/>
  <c r="PH27" i="4"/>
  <c r="D96" i="3"/>
  <c r="BH96" i="3"/>
  <c r="H38" i="5"/>
  <c r="BD429" i="3"/>
  <c r="BD431" i="3" s="1"/>
  <c r="AV429" i="3"/>
  <c r="AV431" i="3" s="1"/>
  <c r="AC429" i="3"/>
  <c r="AC431" i="3" s="1"/>
  <c r="U429" i="3"/>
  <c r="U431" i="3" s="1"/>
  <c r="M429" i="3"/>
  <c r="M431" i="3" s="1"/>
  <c r="E429" i="3"/>
  <c r="E431" i="3" s="1"/>
  <c r="BC429" i="3"/>
  <c r="BC431" i="3" s="1"/>
  <c r="AJ429" i="3"/>
  <c r="AJ431" i="3" s="1"/>
  <c r="AB429" i="3"/>
  <c r="AB431" i="3" s="1"/>
  <c r="T429" i="3"/>
  <c r="T431" i="3" s="1"/>
  <c r="L429" i="3"/>
  <c r="L431" i="3" s="1"/>
  <c r="BB429" i="3"/>
  <c r="BB431" i="3" s="1"/>
  <c r="AI429" i="3"/>
  <c r="AI431" i="3" s="1"/>
  <c r="AA429" i="3"/>
  <c r="AA431" i="3" s="1"/>
  <c r="S429" i="3"/>
  <c r="S431" i="3" s="1"/>
  <c r="K429" i="3"/>
  <c r="K431" i="3" s="1"/>
  <c r="BE429" i="3"/>
  <c r="BE431" i="3" s="1"/>
  <c r="AW429" i="3"/>
  <c r="AW431" i="3" s="1"/>
  <c r="AD429" i="3"/>
  <c r="AD431" i="3" s="1"/>
  <c r="V429" i="3"/>
  <c r="V431" i="3" s="1"/>
  <c r="N429" i="3"/>
  <c r="N431" i="3" s="1"/>
  <c r="F429" i="3"/>
  <c r="F431" i="3" s="1"/>
  <c r="AY429" i="3"/>
  <c r="AY431" i="3" s="1"/>
  <c r="X429" i="3"/>
  <c r="X431" i="3" s="1"/>
  <c r="H429" i="3"/>
  <c r="H431" i="3" s="1"/>
  <c r="BF368" i="3"/>
  <c r="BF370" i="3" s="1"/>
  <c r="AX368" i="3"/>
  <c r="AX370" i="3" s="1"/>
  <c r="AE368" i="3"/>
  <c r="AE370" i="3" s="1"/>
  <c r="W368" i="3"/>
  <c r="W370" i="3" s="1"/>
  <c r="O368" i="3"/>
  <c r="O370" i="3" s="1"/>
  <c r="G368" i="3"/>
  <c r="G370" i="3" s="1"/>
  <c r="BC307" i="3"/>
  <c r="BC309" i="3" s="1"/>
  <c r="BC483" i="3" s="1"/>
  <c r="BC505" i="3" s="1"/>
  <c r="AU307" i="3"/>
  <c r="AU309" i="3" s="1"/>
  <c r="AU483" i="3" s="1"/>
  <c r="AU505" i="3" s="1"/>
  <c r="AM307" i="3"/>
  <c r="AM309" i="3" s="1"/>
  <c r="AM483" i="3" s="1"/>
  <c r="AM505" i="3" s="1"/>
  <c r="AE307" i="3"/>
  <c r="AE309" i="3" s="1"/>
  <c r="AE483" i="3" s="1"/>
  <c r="AE505" i="3" s="1"/>
  <c r="W307" i="3"/>
  <c r="W309" i="3" s="1"/>
  <c r="W483" i="3" s="1"/>
  <c r="W505" i="3" s="1"/>
  <c r="O307" i="3"/>
  <c r="O309" i="3" s="1"/>
  <c r="O483" i="3" s="1"/>
  <c r="O505" i="3" s="1"/>
  <c r="G307" i="3"/>
  <c r="G309" i="3" s="1"/>
  <c r="G483" i="3" s="1"/>
  <c r="G505" i="3" s="1"/>
  <c r="AX429" i="3"/>
  <c r="AX431" i="3" s="1"/>
  <c r="W429" i="3"/>
  <c r="W431" i="3" s="1"/>
  <c r="G429" i="3"/>
  <c r="G431" i="3" s="1"/>
  <c r="BE368" i="3"/>
  <c r="BE370" i="3" s="1"/>
  <c r="AW368" i="3"/>
  <c r="AW370" i="3" s="1"/>
  <c r="AD368" i="3"/>
  <c r="AD370" i="3" s="1"/>
  <c r="V368" i="3"/>
  <c r="V370" i="3" s="1"/>
  <c r="N368" i="3"/>
  <c r="N370" i="3" s="1"/>
  <c r="F368" i="3"/>
  <c r="F370" i="3" s="1"/>
  <c r="BB307" i="3"/>
  <c r="BB309" i="3" s="1"/>
  <c r="BB483" i="3" s="1"/>
  <c r="BB505" i="3" s="1"/>
  <c r="AT307" i="3"/>
  <c r="AT309" i="3" s="1"/>
  <c r="AT483" i="3" s="1"/>
  <c r="AT505" i="3" s="1"/>
  <c r="AL307" i="3"/>
  <c r="AL309" i="3" s="1"/>
  <c r="AL483" i="3" s="1"/>
  <c r="AL505" i="3" s="1"/>
  <c r="AD307" i="3"/>
  <c r="AD309" i="3" s="1"/>
  <c r="AD483" i="3" s="1"/>
  <c r="AD505" i="3" s="1"/>
  <c r="V307" i="3"/>
  <c r="V309" i="3" s="1"/>
  <c r="V483" i="3" s="1"/>
  <c r="V505" i="3" s="1"/>
  <c r="N307" i="3"/>
  <c r="N309" i="3" s="1"/>
  <c r="N483" i="3" s="1"/>
  <c r="N505" i="3" s="1"/>
  <c r="F307" i="3"/>
  <c r="F309" i="3" s="1"/>
  <c r="F483" i="3" s="1"/>
  <c r="F505" i="3" s="1"/>
  <c r="BB246" i="3"/>
  <c r="BB248" i="3" s="1"/>
  <c r="BB480" i="3" s="1"/>
  <c r="BB502" i="3" s="1"/>
  <c r="AT246" i="3"/>
  <c r="AT248" i="3" s="1"/>
  <c r="AT480" i="3" s="1"/>
  <c r="AT502" i="3" s="1"/>
  <c r="AL246" i="3"/>
  <c r="AL248" i="3" s="1"/>
  <c r="AL480" i="3" s="1"/>
  <c r="AL502" i="3" s="1"/>
  <c r="AD246" i="3"/>
  <c r="AD248" i="3" s="1"/>
  <c r="AD480" i="3" s="1"/>
  <c r="AD502" i="3" s="1"/>
  <c r="V246" i="3"/>
  <c r="V248" i="3" s="1"/>
  <c r="V480" i="3" s="1"/>
  <c r="V502" i="3" s="1"/>
  <c r="N246" i="3"/>
  <c r="N248" i="3" s="1"/>
  <c r="N480" i="3" s="1"/>
  <c r="N502" i="3" s="1"/>
  <c r="F246" i="3"/>
  <c r="F248" i="3" s="1"/>
  <c r="F480" i="3" s="1"/>
  <c r="F502" i="3" s="1"/>
  <c r="BF185" i="3"/>
  <c r="BF187" i="3" s="1"/>
  <c r="BF477" i="3" s="1"/>
  <c r="BF499" i="3" s="1"/>
  <c r="AX185" i="3"/>
  <c r="AX187" i="3" s="1"/>
  <c r="AX477" i="3" s="1"/>
  <c r="AX499" i="3" s="1"/>
  <c r="AP185" i="3"/>
  <c r="AP187" i="3" s="1"/>
  <c r="AP477" i="3" s="1"/>
  <c r="AP499" i="3" s="1"/>
  <c r="AH185" i="3"/>
  <c r="AH187" i="3" s="1"/>
  <c r="AH477" i="3" s="1"/>
  <c r="AH499" i="3" s="1"/>
  <c r="Z185" i="3"/>
  <c r="Z187" i="3" s="1"/>
  <c r="Z477" i="3" s="1"/>
  <c r="Z499" i="3" s="1"/>
  <c r="R185" i="3"/>
  <c r="R187" i="3" s="1"/>
  <c r="R477" i="3" s="1"/>
  <c r="R499" i="3" s="1"/>
  <c r="J185" i="3"/>
  <c r="J187" i="3" s="1"/>
  <c r="J477" i="3" s="1"/>
  <c r="J499" i="3" s="1"/>
  <c r="AH429" i="3"/>
  <c r="AH431" i="3" s="1"/>
  <c r="R429" i="3"/>
  <c r="R431" i="3" s="1"/>
  <c r="BD368" i="3"/>
  <c r="BD370" i="3" s="1"/>
  <c r="AV368" i="3"/>
  <c r="AV370" i="3" s="1"/>
  <c r="AC368" i="3"/>
  <c r="AC370" i="3" s="1"/>
  <c r="U368" i="3"/>
  <c r="U370" i="3" s="1"/>
  <c r="M368" i="3"/>
  <c r="M370" i="3" s="1"/>
  <c r="E368" i="3"/>
  <c r="E370" i="3" s="1"/>
  <c r="BA307" i="3"/>
  <c r="AS307" i="3"/>
  <c r="AS309" i="3" s="1"/>
  <c r="AS483" i="3" s="1"/>
  <c r="AS505" i="3" s="1"/>
  <c r="AK307" i="3"/>
  <c r="AK309" i="3" s="1"/>
  <c r="AK483" i="3" s="1"/>
  <c r="AK505" i="3" s="1"/>
  <c r="AC307" i="3"/>
  <c r="AC309" i="3" s="1"/>
  <c r="AC483" i="3" s="1"/>
  <c r="AC505" i="3" s="1"/>
  <c r="U307" i="3"/>
  <c r="U309" i="3" s="1"/>
  <c r="U483" i="3" s="1"/>
  <c r="U505" i="3" s="1"/>
  <c r="M307" i="3"/>
  <c r="M309" i="3" s="1"/>
  <c r="M483" i="3" s="1"/>
  <c r="M505" i="3" s="1"/>
  <c r="E307" i="3"/>
  <c r="BA246" i="3"/>
  <c r="AS246" i="3"/>
  <c r="AS248" i="3" s="1"/>
  <c r="AS480" i="3" s="1"/>
  <c r="AS502" i="3" s="1"/>
  <c r="AK246" i="3"/>
  <c r="AK248" i="3" s="1"/>
  <c r="AK480" i="3" s="1"/>
  <c r="AK502" i="3" s="1"/>
  <c r="AC246" i="3"/>
  <c r="AC248" i="3" s="1"/>
  <c r="AC480" i="3" s="1"/>
  <c r="AC502" i="3" s="1"/>
  <c r="U246" i="3"/>
  <c r="U248" i="3" s="1"/>
  <c r="U480" i="3" s="1"/>
  <c r="U502" i="3" s="1"/>
  <c r="M246" i="3"/>
  <c r="M248" i="3" s="1"/>
  <c r="M480" i="3" s="1"/>
  <c r="M502" i="3" s="1"/>
  <c r="E246" i="3"/>
  <c r="BE185" i="3"/>
  <c r="BE187" i="3" s="1"/>
  <c r="BE477" i="3" s="1"/>
  <c r="BE499" i="3" s="1"/>
  <c r="AW185" i="3"/>
  <c r="AW187" i="3" s="1"/>
  <c r="AW477" i="3" s="1"/>
  <c r="AW499" i="3" s="1"/>
  <c r="AO185" i="3"/>
  <c r="AO187" i="3" s="1"/>
  <c r="AO477" i="3" s="1"/>
  <c r="AO499" i="3" s="1"/>
  <c r="AG185" i="3"/>
  <c r="AG187" i="3" s="1"/>
  <c r="AG477" i="3" s="1"/>
  <c r="AG499" i="3" s="1"/>
  <c r="Y185" i="3"/>
  <c r="Y187" i="3" s="1"/>
  <c r="Y477" i="3" s="1"/>
  <c r="Y499" i="3" s="1"/>
  <c r="Q185" i="3"/>
  <c r="Q187" i="3" s="1"/>
  <c r="Q477" i="3" s="1"/>
  <c r="Q499" i="3" s="1"/>
  <c r="I185" i="3"/>
  <c r="BH429" i="3"/>
  <c r="BH431" i="3" s="1"/>
  <c r="BH489" i="3" s="1"/>
  <c r="AG429" i="3"/>
  <c r="AG431" i="3" s="1"/>
  <c r="Q429" i="3"/>
  <c r="Q431" i="3" s="1"/>
  <c r="BC368" i="3"/>
  <c r="BC370" i="3" s="1"/>
  <c r="AJ368" i="3"/>
  <c r="AJ370" i="3" s="1"/>
  <c r="AB368" i="3"/>
  <c r="AB370" i="3" s="1"/>
  <c r="T368" i="3"/>
  <c r="T370" i="3" s="1"/>
  <c r="L368" i="3"/>
  <c r="L370" i="3" s="1"/>
  <c r="BH307" i="3"/>
  <c r="AZ307" i="3"/>
  <c r="AZ309" i="3" s="1"/>
  <c r="AZ483" i="3" s="1"/>
  <c r="AZ505" i="3" s="1"/>
  <c r="AR307" i="3"/>
  <c r="AR309" i="3" s="1"/>
  <c r="AR483" i="3" s="1"/>
  <c r="AR505" i="3" s="1"/>
  <c r="AJ307" i="3"/>
  <c r="AJ309" i="3" s="1"/>
  <c r="AJ483" i="3" s="1"/>
  <c r="AJ505" i="3" s="1"/>
  <c r="AB307" i="3"/>
  <c r="T307" i="3"/>
  <c r="T309" i="3" s="1"/>
  <c r="T483" i="3" s="1"/>
  <c r="T505" i="3" s="1"/>
  <c r="L307" i="3"/>
  <c r="L309" i="3" s="1"/>
  <c r="L483" i="3" s="1"/>
  <c r="L505" i="3" s="1"/>
  <c r="D307" i="3"/>
  <c r="BH246" i="3"/>
  <c r="AZ246" i="3"/>
  <c r="AZ248" i="3" s="1"/>
  <c r="AZ480" i="3" s="1"/>
  <c r="AZ502" i="3" s="1"/>
  <c r="AR246" i="3"/>
  <c r="AR248" i="3" s="1"/>
  <c r="AR480" i="3" s="1"/>
  <c r="AR502" i="3" s="1"/>
  <c r="AJ246" i="3"/>
  <c r="AJ248" i="3" s="1"/>
  <c r="AJ480" i="3" s="1"/>
  <c r="AJ502" i="3" s="1"/>
  <c r="AB246" i="3"/>
  <c r="AB248" i="3" s="1"/>
  <c r="AB480" i="3" s="1"/>
  <c r="AB502" i="3" s="1"/>
  <c r="T246" i="3"/>
  <c r="T248" i="3" s="1"/>
  <c r="T480" i="3" s="1"/>
  <c r="T502" i="3" s="1"/>
  <c r="L246" i="3"/>
  <c r="L248" i="3" s="1"/>
  <c r="L480" i="3" s="1"/>
  <c r="L502" i="3" s="1"/>
  <c r="D246" i="3"/>
  <c r="BD185" i="3"/>
  <c r="BD187" i="3" s="1"/>
  <c r="BD477" i="3" s="1"/>
  <c r="BD499" i="3" s="1"/>
  <c r="AV185" i="3"/>
  <c r="AV187" i="3" s="1"/>
  <c r="AV477" i="3" s="1"/>
  <c r="AV499" i="3" s="1"/>
  <c r="AN185" i="3"/>
  <c r="AN187" i="3" s="1"/>
  <c r="AN477" i="3" s="1"/>
  <c r="AN499" i="3" s="1"/>
  <c r="AF185" i="3"/>
  <c r="AF187" i="3" s="1"/>
  <c r="AF477" i="3" s="1"/>
  <c r="AF499" i="3" s="1"/>
  <c r="X185" i="3"/>
  <c r="X187" i="3" s="1"/>
  <c r="X477" i="3" s="1"/>
  <c r="X499" i="3" s="1"/>
  <c r="P185" i="3"/>
  <c r="P187" i="3" s="1"/>
  <c r="P477" i="3" s="1"/>
  <c r="P499" i="3" s="1"/>
  <c r="H185" i="3"/>
  <c r="H187" i="3" s="1"/>
  <c r="H477" i="3" s="1"/>
  <c r="H499" i="3" s="1"/>
  <c r="BG429" i="3"/>
  <c r="BG431" i="3" s="1"/>
  <c r="AF429" i="3"/>
  <c r="AF431" i="3" s="1"/>
  <c r="P429" i="3"/>
  <c r="P431" i="3" s="1"/>
  <c r="BB368" i="3"/>
  <c r="BB370" i="3" s="1"/>
  <c r="AI368" i="3"/>
  <c r="AI370" i="3" s="1"/>
  <c r="AA368" i="3"/>
  <c r="AA370" i="3" s="1"/>
  <c r="S368" i="3"/>
  <c r="S370" i="3" s="1"/>
  <c r="K368" i="3"/>
  <c r="K370" i="3" s="1"/>
  <c r="BG307" i="3"/>
  <c r="AY307" i="3"/>
  <c r="AQ307" i="3"/>
  <c r="AQ309" i="3" s="1"/>
  <c r="AQ483" i="3" s="1"/>
  <c r="AQ505" i="3" s="1"/>
  <c r="AI307" i="3"/>
  <c r="AI309" i="3" s="1"/>
  <c r="AI483" i="3" s="1"/>
  <c r="AI505" i="3" s="1"/>
  <c r="AA307" i="3"/>
  <c r="AA309" i="3" s="1"/>
  <c r="AA483" i="3" s="1"/>
  <c r="AA505" i="3" s="1"/>
  <c r="S307" i="3"/>
  <c r="S309" i="3" s="1"/>
  <c r="S483" i="3" s="1"/>
  <c r="S505" i="3" s="1"/>
  <c r="K307" i="3"/>
  <c r="K309" i="3" s="1"/>
  <c r="K483" i="3" s="1"/>
  <c r="K505" i="3" s="1"/>
  <c r="BG246" i="3"/>
  <c r="AY246" i="3"/>
  <c r="AY248" i="3" s="1"/>
  <c r="AY480" i="3" s="1"/>
  <c r="AY502" i="3" s="1"/>
  <c r="AQ246" i="3"/>
  <c r="AQ248" i="3" s="1"/>
  <c r="AQ480" i="3" s="1"/>
  <c r="AQ502" i="3" s="1"/>
  <c r="AI246" i="3"/>
  <c r="AI248" i="3" s="1"/>
  <c r="AI480" i="3" s="1"/>
  <c r="AI502" i="3" s="1"/>
  <c r="AA246" i="3"/>
  <c r="AA248" i="3" s="1"/>
  <c r="AA480" i="3" s="1"/>
  <c r="AA502" i="3" s="1"/>
  <c r="S246" i="3"/>
  <c r="S248" i="3" s="1"/>
  <c r="S480" i="3" s="1"/>
  <c r="S502" i="3" s="1"/>
  <c r="K246" i="3"/>
  <c r="K248" i="3" s="1"/>
  <c r="K480" i="3" s="1"/>
  <c r="K502" i="3" s="1"/>
  <c r="BC185" i="3"/>
  <c r="BC187" i="3" s="1"/>
  <c r="BC477" i="3" s="1"/>
  <c r="BC499" i="3" s="1"/>
  <c r="AU185" i="3"/>
  <c r="AU187" i="3" s="1"/>
  <c r="AU477" i="3" s="1"/>
  <c r="AU499" i="3" s="1"/>
  <c r="AM185" i="3"/>
  <c r="AM187" i="3" s="1"/>
  <c r="AM477" i="3" s="1"/>
  <c r="AM499" i="3" s="1"/>
  <c r="AE185" i="3"/>
  <c r="AE187" i="3" s="1"/>
  <c r="AE477" i="3" s="1"/>
  <c r="AE499" i="3" s="1"/>
  <c r="W185" i="3"/>
  <c r="W187" i="3" s="1"/>
  <c r="W477" i="3" s="1"/>
  <c r="W499" i="3" s="1"/>
  <c r="O185" i="3"/>
  <c r="O187" i="3" s="1"/>
  <c r="O477" i="3" s="1"/>
  <c r="O499" i="3" s="1"/>
  <c r="G185" i="3"/>
  <c r="G187" i="3" s="1"/>
  <c r="G477" i="3" s="1"/>
  <c r="G499" i="3" s="1"/>
  <c r="BF429" i="3"/>
  <c r="BF431" i="3" s="1"/>
  <c r="AE429" i="3"/>
  <c r="AE431" i="3" s="1"/>
  <c r="O429" i="3"/>
  <c r="O431" i="3" s="1"/>
  <c r="BA368" i="3"/>
  <c r="BA370" i="3" s="1"/>
  <c r="AH368" i="3"/>
  <c r="AH370" i="3" s="1"/>
  <c r="Z368" i="3"/>
  <c r="Z370" i="3" s="1"/>
  <c r="R368" i="3"/>
  <c r="R370" i="3" s="1"/>
  <c r="J368" i="3"/>
  <c r="J370" i="3" s="1"/>
  <c r="BF307" i="3"/>
  <c r="BF309" i="3" s="1"/>
  <c r="BF483" i="3" s="1"/>
  <c r="BF505" i="3" s="1"/>
  <c r="AX307" i="3"/>
  <c r="AX309" i="3" s="1"/>
  <c r="AX483" i="3" s="1"/>
  <c r="AX505" i="3" s="1"/>
  <c r="AP307" i="3"/>
  <c r="AP309" i="3" s="1"/>
  <c r="AP483" i="3" s="1"/>
  <c r="AP505" i="3" s="1"/>
  <c r="AH307" i="3"/>
  <c r="AH309" i="3" s="1"/>
  <c r="AH483" i="3" s="1"/>
  <c r="AH505" i="3" s="1"/>
  <c r="Z307" i="3"/>
  <c r="Z309" i="3" s="1"/>
  <c r="Z483" i="3" s="1"/>
  <c r="Z505" i="3" s="1"/>
  <c r="R307" i="3"/>
  <c r="R309" i="3" s="1"/>
  <c r="R483" i="3" s="1"/>
  <c r="R505" i="3" s="1"/>
  <c r="J307" i="3"/>
  <c r="J309" i="3" s="1"/>
  <c r="J483" i="3" s="1"/>
  <c r="J505" i="3" s="1"/>
  <c r="BF246" i="3"/>
  <c r="AX246" i="3"/>
  <c r="AX248" i="3" s="1"/>
  <c r="AX480" i="3" s="1"/>
  <c r="AX502" i="3" s="1"/>
  <c r="AP246" i="3"/>
  <c r="AP248" i="3" s="1"/>
  <c r="AP480" i="3" s="1"/>
  <c r="AP502" i="3" s="1"/>
  <c r="AH246" i="3"/>
  <c r="AH248" i="3" s="1"/>
  <c r="AH480" i="3" s="1"/>
  <c r="AH502" i="3" s="1"/>
  <c r="Z246" i="3"/>
  <c r="Z248" i="3" s="1"/>
  <c r="Z480" i="3" s="1"/>
  <c r="Z502" i="3" s="1"/>
  <c r="R246" i="3"/>
  <c r="R248" i="3" s="1"/>
  <c r="R480" i="3" s="1"/>
  <c r="R502" i="3" s="1"/>
  <c r="J246" i="3"/>
  <c r="J248" i="3" s="1"/>
  <c r="J480" i="3" s="1"/>
  <c r="J502" i="3" s="1"/>
  <c r="AZ429" i="3"/>
  <c r="AZ431" i="3" s="1"/>
  <c r="Y429" i="3"/>
  <c r="Y431" i="3" s="1"/>
  <c r="I429" i="3"/>
  <c r="I431" i="3" s="1"/>
  <c r="BG368" i="3"/>
  <c r="BG370" i="3" s="1"/>
  <c r="AY368" i="3"/>
  <c r="AY370" i="3" s="1"/>
  <c r="AF368" i="3"/>
  <c r="AF370" i="3" s="1"/>
  <c r="X368" i="3"/>
  <c r="X370" i="3" s="1"/>
  <c r="P368" i="3"/>
  <c r="P370" i="3" s="1"/>
  <c r="H368" i="3"/>
  <c r="H370" i="3" s="1"/>
  <c r="BD307" i="3"/>
  <c r="BD309" i="3" s="1"/>
  <c r="BD483" i="3" s="1"/>
  <c r="BD505" i="3" s="1"/>
  <c r="AV307" i="3"/>
  <c r="AN307" i="3"/>
  <c r="AN309" i="3" s="1"/>
  <c r="AN483" i="3" s="1"/>
  <c r="AN505" i="3" s="1"/>
  <c r="AF307" i="3"/>
  <c r="AF309" i="3" s="1"/>
  <c r="AF483" i="3" s="1"/>
  <c r="AF505" i="3" s="1"/>
  <c r="X307" i="3"/>
  <c r="X309" i="3" s="1"/>
  <c r="X483" i="3" s="1"/>
  <c r="X505" i="3" s="1"/>
  <c r="P307" i="3"/>
  <c r="P309" i="3" s="1"/>
  <c r="P483" i="3" s="1"/>
  <c r="P505" i="3" s="1"/>
  <c r="H307" i="3"/>
  <c r="H309" i="3" s="1"/>
  <c r="H483" i="3" s="1"/>
  <c r="H505" i="3" s="1"/>
  <c r="BD246" i="3"/>
  <c r="BD248" i="3" s="1"/>
  <c r="BD480" i="3" s="1"/>
  <c r="BD502" i="3" s="1"/>
  <c r="AV246" i="3"/>
  <c r="AN246" i="3"/>
  <c r="AN248" i="3" s="1"/>
  <c r="AN480" i="3" s="1"/>
  <c r="AN502" i="3" s="1"/>
  <c r="AF246" i="3"/>
  <c r="AF248" i="3" s="1"/>
  <c r="AF480" i="3" s="1"/>
  <c r="AF502" i="3" s="1"/>
  <c r="X246" i="3"/>
  <c r="X248" i="3" s="1"/>
  <c r="X480" i="3" s="1"/>
  <c r="X502" i="3" s="1"/>
  <c r="P246" i="3"/>
  <c r="P248" i="3" s="1"/>
  <c r="P480" i="3" s="1"/>
  <c r="P502" i="3" s="1"/>
  <c r="H246" i="3"/>
  <c r="H248" i="3" s="1"/>
  <c r="H480" i="3" s="1"/>
  <c r="H502" i="3" s="1"/>
  <c r="AG368" i="3"/>
  <c r="AG370" i="3" s="1"/>
  <c r="AG307" i="3"/>
  <c r="AG309" i="3" s="1"/>
  <c r="AG483" i="3" s="1"/>
  <c r="AG505" i="3" s="1"/>
  <c r="AW246" i="3"/>
  <c r="AW248" i="3" s="1"/>
  <c r="AW480" i="3" s="1"/>
  <c r="AW502" i="3" s="1"/>
  <c r="Q246" i="3"/>
  <c r="Q248" i="3" s="1"/>
  <c r="Q480" i="3" s="1"/>
  <c r="Q502" i="3" s="1"/>
  <c r="BH185" i="3"/>
  <c r="AR185" i="3"/>
  <c r="AR187" i="3" s="1"/>
  <c r="AR477" i="3" s="1"/>
  <c r="AR499" i="3" s="1"/>
  <c r="AB185" i="3"/>
  <c r="L185" i="3"/>
  <c r="L187" i="3" s="1"/>
  <c r="L477" i="3" s="1"/>
  <c r="L499" i="3" s="1"/>
  <c r="BG124" i="3"/>
  <c r="AY124" i="3"/>
  <c r="AJ124" i="3"/>
  <c r="AJ126" i="3" s="1"/>
  <c r="AJ474" i="3" s="1"/>
  <c r="AJ496" i="3" s="1"/>
  <c r="AB124" i="3"/>
  <c r="AB126" i="3" s="1"/>
  <c r="AB474" i="3" s="1"/>
  <c r="AB496" i="3" s="1"/>
  <c r="T124" i="3"/>
  <c r="T126" i="3" s="1"/>
  <c r="T474" i="3" s="1"/>
  <c r="T496" i="3" s="1"/>
  <c r="L124" i="3"/>
  <c r="L126" i="3" s="1"/>
  <c r="L474" i="3" s="1"/>
  <c r="L496" i="3" s="1"/>
  <c r="D124" i="3"/>
  <c r="BH63" i="3"/>
  <c r="AZ63" i="3"/>
  <c r="AZ65" i="3" s="1"/>
  <c r="AZ471" i="3" s="1"/>
  <c r="AZ493" i="3" s="1"/>
  <c r="AR63" i="3"/>
  <c r="AR65" i="3" s="1"/>
  <c r="AR471" i="3" s="1"/>
  <c r="AR493" i="3" s="1"/>
  <c r="AJ63" i="3"/>
  <c r="AJ65" i="3" s="1"/>
  <c r="AJ471" i="3" s="1"/>
  <c r="AJ493" i="3" s="1"/>
  <c r="AB63" i="3"/>
  <c r="T63" i="3"/>
  <c r="L63" i="3"/>
  <c r="L65" i="3" s="1"/>
  <c r="L471" i="3" s="1"/>
  <c r="L493" i="3" s="1"/>
  <c r="D63" i="3"/>
  <c r="D65" i="3" s="1"/>
  <c r="D471" i="3" s="1"/>
  <c r="D493" i="3" s="1"/>
  <c r="Y368" i="3"/>
  <c r="Y370" i="3" s="1"/>
  <c r="Y307" i="3"/>
  <c r="Y309" i="3" s="1"/>
  <c r="Y483" i="3" s="1"/>
  <c r="Y505" i="3" s="1"/>
  <c r="AU246" i="3"/>
  <c r="AU248" i="3" s="1"/>
  <c r="AU480" i="3" s="1"/>
  <c r="AU502" i="3" s="1"/>
  <c r="O246" i="3"/>
  <c r="O248" i="3" s="1"/>
  <c r="O480" i="3" s="1"/>
  <c r="O502" i="3" s="1"/>
  <c r="BG185" i="3"/>
  <c r="AQ185" i="3"/>
  <c r="AQ187" i="3" s="1"/>
  <c r="AQ477" i="3" s="1"/>
  <c r="AQ499" i="3" s="1"/>
  <c r="AA185" i="3"/>
  <c r="AA187" i="3" s="1"/>
  <c r="AA477" i="3" s="1"/>
  <c r="AA499" i="3" s="1"/>
  <c r="K185" i="3"/>
  <c r="K187" i="3" s="1"/>
  <c r="K477" i="3" s="1"/>
  <c r="K499" i="3" s="1"/>
  <c r="BF124" i="3"/>
  <c r="BF126" i="3" s="1"/>
  <c r="BF474" i="3" s="1"/>
  <c r="BF496" i="3" s="1"/>
  <c r="AX124" i="3"/>
  <c r="AX126" i="3" s="1"/>
  <c r="AX474" i="3" s="1"/>
  <c r="AX496" i="3" s="1"/>
  <c r="AI124" i="3"/>
  <c r="AI126" i="3" s="1"/>
  <c r="AI474" i="3" s="1"/>
  <c r="AI496" i="3" s="1"/>
  <c r="AA124" i="3"/>
  <c r="AA126" i="3" s="1"/>
  <c r="AA474" i="3" s="1"/>
  <c r="AA496" i="3" s="1"/>
  <c r="S124" i="3"/>
  <c r="S126" i="3" s="1"/>
  <c r="S474" i="3" s="1"/>
  <c r="S496" i="3" s="1"/>
  <c r="K124" i="3"/>
  <c r="K126" i="3" s="1"/>
  <c r="K474" i="3" s="1"/>
  <c r="K496" i="3" s="1"/>
  <c r="BG63" i="3"/>
  <c r="AY63" i="3"/>
  <c r="AY65" i="3" s="1"/>
  <c r="AY471" i="3" s="1"/>
  <c r="AY493" i="3" s="1"/>
  <c r="AQ63" i="3"/>
  <c r="AQ65" i="3" s="1"/>
  <c r="AQ471" i="3" s="1"/>
  <c r="AQ493" i="3" s="1"/>
  <c r="AI63" i="3"/>
  <c r="AI65" i="3" s="1"/>
  <c r="AI471" i="3" s="1"/>
  <c r="AI493" i="3" s="1"/>
  <c r="AA63" i="3"/>
  <c r="AA65" i="3" s="1"/>
  <c r="AA471" i="3" s="1"/>
  <c r="AA493" i="3" s="1"/>
  <c r="S63" i="3"/>
  <c r="S65" i="3" s="1"/>
  <c r="S471" i="3" s="1"/>
  <c r="S493" i="3" s="1"/>
  <c r="K63" i="3"/>
  <c r="K65" i="3" s="1"/>
  <c r="K471" i="3" s="1"/>
  <c r="K493" i="3" s="1"/>
  <c r="Q368" i="3"/>
  <c r="Q370" i="3" s="1"/>
  <c r="Q307" i="3"/>
  <c r="Q309" i="3" s="1"/>
  <c r="Q483" i="3" s="1"/>
  <c r="Q505" i="3" s="1"/>
  <c r="AO246" i="3"/>
  <c r="AO248" i="3" s="1"/>
  <c r="AO480" i="3" s="1"/>
  <c r="AO502" i="3" s="1"/>
  <c r="I246" i="3"/>
  <c r="BB185" i="3"/>
  <c r="BB187" i="3" s="1"/>
  <c r="BB477" i="3" s="1"/>
  <c r="BB499" i="3" s="1"/>
  <c r="AL185" i="3"/>
  <c r="AL187" i="3" s="1"/>
  <c r="AL477" i="3" s="1"/>
  <c r="AL499" i="3" s="1"/>
  <c r="V185" i="3"/>
  <c r="V187" i="3" s="1"/>
  <c r="V477" i="3" s="1"/>
  <c r="V499" i="3" s="1"/>
  <c r="F185" i="3"/>
  <c r="F187" i="3" s="1"/>
  <c r="F477" i="3" s="1"/>
  <c r="F499" i="3" s="1"/>
  <c r="BE124" i="3"/>
  <c r="BE126" i="3" s="1"/>
  <c r="BE474" i="3" s="1"/>
  <c r="BE496" i="3" s="1"/>
  <c r="AW124" i="3"/>
  <c r="AW126" i="3" s="1"/>
  <c r="AW474" i="3" s="1"/>
  <c r="AW496" i="3" s="1"/>
  <c r="AH124" i="3"/>
  <c r="AH126" i="3" s="1"/>
  <c r="AH474" i="3" s="1"/>
  <c r="AH496" i="3" s="1"/>
  <c r="Z124" i="3"/>
  <c r="Z126" i="3" s="1"/>
  <c r="Z474" i="3" s="1"/>
  <c r="Z496" i="3" s="1"/>
  <c r="R124" i="3"/>
  <c r="R126" i="3" s="1"/>
  <c r="R474" i="3" s="1"/>
  <c r="R496" i="3" s="1"/>
  <c r="J124" i="3"/>
  <c r="J126" i="3" s="1"/>
  <c r="J474" i="3" s="1"/>
  <c r="J496" i="3" s="1"/>
  <c r="BF63" i="3"/>
  <c r="AX63" i="3"/>
  <c r="AX65" i="3" s="1"/>
  <c r="AX471" i="3" s="1"/>
  <c r="AX493" i="3" s="1"/>
  <c r="AP63" i="3"/>
  <c r="AP65" i="3" s="1"/>
  <c r="AP471" i="3" s="1"/>
  <c r="AP493" i="3" s="1"/>
  <c r="AH63" i="3"/>
  <c r="AH65" i="3" s="1"/>
  <c r="AH471" i="3" s="1"/>
  <c r="AH493" i="3" s="1"/>
  <c r="Z63" i="3"/>
  <c r="Z65" i="3" s="1"/>
  <c r="Z471" i="3" s="1"/>
  <c r="Z493" i="3" s="1"/>
  <c r="R63" i="3"/>
  <c r="R65" i="3" s="1"/>
  <c r="R471" i="3" s="1"/>
  <c r="R493" i="3" s="1"/>
  <c r="J63" i="3"/>
  <c r="J65" i="3" s="1"/>
  <c r="J471" i="3" s="1"/>
  <c r="J493" i="3" s="1"/>
  <c r="BA429" i="3"/>
  <c r="BA431" i="3" s="1"/>
  <c r="I368" i="3"/>
  <c r="I370" i="3" s="1"/>
  <c r="I307" i="3"/>
  <c r="AM246" i="3"/>
  <c r="AM248" i="3" s="1"/>
  <c r="AM480" i="3" s="1"/>
  <c r="AM502" i="3" s="1"/>
  <c r="G246" i="3"/>
  <c r="G248" i="3" s="1"/>
  <c r="G480" i="3" s="1"/>
  <c r="G502" i="3" s="1"/>
  <c r="BA185" i="3"/>
  <c r="BA187" i="3" s="1"/>
  <c r="BA477" i="3" s="1"/>
  <c r="BA499" i="3" s="1"/>
  <c r="AK185" i="3"/>
  <c r="AK187" i="3" s="1"/>
  <c r="AK477" i="3" s="1"/>
  <c r="AK499" i="3" s="1"/>
  <c r="U185" i="3"/>
  <c r="U187" i="3" s="1"/>
  <c r="U477" i="3" s="1"/>
  <c r="U499" i="3" s="1"/>
  <c r="E185" i="3"/>
  <c r="BD124" i="3"/>
  <c r="BD126" i="3" s="1"/>
  <c r="BD474" i="3" s="1"/>
  <c r="BD496" i="3" s="1"/>
  <c r="AV124" i="3"/>
  <c r="AV126" i="3" s="1"/>
  <c r="AV474" i="3" s="1"/>
  <c r="AV496" i="3" s="1"/>
  <c r="AG124" i="3"/>
  <c r="AG126" i="3" s="1"/>
  <c r="AG474" i="3" s="1"/>
  <c r="AG496" i="3" s="1"/>
  <c r="Y124" i="3"/>
  <c r="Y126" i="3" s="1"/>
  <c r="Y474" i="3" s="1"/>
  <c r="Y496" i="3" s="1"/>
  <c r="Q124" i="3"/>
  <c r="Q126" i="3" s="1"/>
  <c r="Q474" i="3" s="1"/>
  <c r="Q496" i="3" s="1"/>
  <c r="I124" i="3"/>
  <c r="BE63" i="3"/>
  <c r="BE65" i="3" s="1"/>
  <c r="BE471" i="3" s="1"/>
  <c r="BE493" i="3" s="1"/>
  <c r="AW63" i="3"/>
  <c r="AW65" i="3" s="1"/>
  <c r="AW471" i="3" s="1"/>
  <c r="AW493" i="3" s="1"/>
  <c r="AO63" i="3"/>
  <c r="AO65" i="3" s="1"/>
  <c r="AO471" i="3" s="1"/>
  <c r="AO493" i="3" s="1"/>
  <c r="AG63" i="3"/>
  <c r="AG65" i="3" s="1"/>
  <c r="AG471" i="3" s="1"/>
  <c r="AG493" i="3" s="1"/>
  <c r="Y63" i="3"/>
  <c r="Q63" i="3"/>
  <c r="Q65" i="3" s="1"/>
  <c r="Q471" i="3" s="1"/>
  <c r="Q493" i="3" s="1"/>
  <c r="I63" i="3"/>
  <c r="Z429" i="3"/>
  <c r="Z431" i="3" s="1"/>
  <c r="AG246" i="3"/>
  <c r="AG248" i="3" s="1"/>
  <c r="AG480" i="3" s="1"/>
  <c r="AG502" i="3" s="1"/>
  <c r="AZ185" i="3"/>
  <c r="AZ187" i="3" s="1"/>
  <c r="AZ477" i="3" s="1"/>
  <c r="AZ499" i="3" s="1"/>
  <c r="AJ185" i="3"/>
  <c r="AJ187" i="3" s="1"/>
  <c r="AJ477" i="3" s="1"/>
  <c r="AJ499" i="3" s="1"/>
  <c r="T185" i="3"/>
  <c r="T187" i="3" s="1"/>
  <c r="T477" i="3" s="1"/>
  <c r="T499" i="3" s="1"/>
  <c r="D185" i="3"/>
  <c r="BC124" i="3"/>
  <c r="BC126" i="3" s="1"/>
  <c r="BC474" i="3" s="1"/>
  <c r="BC496" i="3" s="1"/>
  <c r="AN124" i="3"/>
  <c r="AN126" i="3" s="1"/>
  <c r="AN474" i="3" s="1"/>
  <c r="AN496" i="3" s="1"/>
  <c r="AF124" i="3"/>
  <c r="AF126" i="3" s="1"/>
  <c r="AF474" i="3" s="1"/>
  <c r="AF496" i="3" s="1"/>
  <c r="X124" i="3"/>
  <c r="X126" i="3" s="1"/>
  <c r="X474" i="3" s="1"/>
  <c r="X496" i="3" s="1"/>
  <c r="P124" i="3"/>
  <c r="P126" i="3" s="1"/>
  <c r="P474" i="3" s="1"/>
  <c r="P496" i="3" s="1"/>
  <c r="H124" i="3"/>
  <c r="H126" i="3" s="1"/>
  <c r="H474" i="3" s="1"/>
  <c r="H496" i="3" s="1"/>
  <c r="BD63" i="3"/>
  <c r="AV63" i="3"/>
  <c r="AV65" i="3" s="1"/>
  <c r="AV471" i="3" s="1"/>
  <c r="AV493" i="3" s="1"/>
  <c r="AN63" i="3"/>
  <c r="AN65" i="3" s="1"/>
  <c r="AN471" i="3" s="1"/>
  <c r="AN493" i="3" s="1"/>
  <c r="AF63" i="3"/>
  <c r="AF65" i="3" s="1"/>
  <c r="AF471" i="3" s="1"/>
  <c r="AF493" i="3" s="1"/>
  <c r="X63" i="3"/>
  <c r="P63" i="3"/>
  <c r="P65" i="3" s="1"/>
  <c r="P471" i="3" s="1"/>
  <c r="P493" i="3" s="1"/>
  <c r="H63" i="3"/>
  <c r="H65" i="3" s="1"/>
  <c r="H471" i="3" s="1"/>
  <c r="H493" i="3" s="1"/>
  <c r="J429" i="3"/>
  <c r="J431" i="3" s="1"/>
  <c r="BE307" i="3"/>
  <c r="BE309" i="3" s="1"/>
  <c r="BE483" i="3" s="1"/>
  <c r="BE505" i="3" s="1"/>
  <c r="AE246" i="3"/>
  <c r="AE248" i="3" s="1"/>
  <c r="AE480" i="3" s="1"/>
  <c r="AE502" i="3" s="1"/>
  <c r="AY185" i="3"/>
  <c r="AY187" i="3" s="1"/>
  <c r="AY477" i="3" s="1"/>
  <c r="AY499" i="3" s="1"/>
  <c r="AI185" i="3"/>
  <c r="AI187" i="3" s="1"/>
  <c r="AI477" i="3" s="1"/>
  <c r="AI499" i="3" s="1"/>
  <c r="S185" i="3"/>
  <c r="S187" i="3" s="1"/>
  <c r="S477" i="3" s="1"/>
  <c r="S499" i="3" s="1"/>
  <c r="BB124" i="3"/>
  <c r="BB126" i="3" s="1"/>
  <c r="BB474" i="3" s="1"/>
  <c r="BB496" i="3" s="1"/>
  <c r="AM124" i="3"/>
  <c r="AM126" i="3" s="1"/>
  <c r="AM474" i="3" s="1"/>
  <c r="AM496" i="3" s="1"/>
  <c r="AE124" i="3"/>
  <c r="AE126" i="3" s="1"/>
  <c r="AE474" i="3" s="1"/>
  <c r="AE496" i="3" s="1"/>
  <c r="W124" i="3"/>
  <c r="W126" i="3" s="1"/>
  <c r="W474" i="3" s="1"/>
  <c r="W496" i="3" s="1"/>
  <c r="O124" i="3"/>
  <c r="O126" i="3" s="1"/>
  <c r="O474" i="3" s="1"/>
  <c r="O496" i="3" s="1"/>
  <c r="G124" i="3"/>
  <c r="BC63" i="3"/>
  <c r="BC65" i="3" s="1"/>
  <c r="BC471" i="3" s="1"/>
  <c r="BC493" i="3" s="1"/>
  <c r="AU63" i="3"/>
  <c r="AU65" i="3" s="1"/>
  <c r="AU471" i="3" s="1"/>
  <c r="AU493" i="3" s="1"/>
  <c r="AM63" i="3"/>
  <c r="AM65" i="3" s="1"/>
  <c r="AM471" i="3" s="1"/>
  <c r="AM493" i="3" s="1"/>
  <c r="AE63" i="3"/>
  <c r="AE65" i="3" s="1"/>
  <c r="AE471" i="3" s="1"/>
  <c r="AE493" i="3" s="1"/>
  <c r="W63" i="3"/>
  <c r="W65" i="3" s="1"/>
  <c r="W471" i="3" s="1"/>
  <c r="W493" i="3" s="1"/>
  <c r="O63" i="3"/>
  <c r="O65" i="3" s="1"/>
  <c r="O471" i="3" s="1"/>
  <c r="O493" i="3" s="1"/>
  <c r="G63" i="3"/>
  <c r="AZ368" i="3"/>
  <c r="AZ370" i="3" s="1"/>
  <c r="AO307" i="3"/>
  <c r="AO309" i="3" s="1"/>
  <c r="AO483" i="3" s="1"/>
  <c r="AO505" i="3" s="1"/>
  <c r="BC246" i="3"/>
  <c r="BC248" i="3" s="1"/>
  <c r="BC480" i="3" s="1"/>
  <c r="BC502" i="3" s="1"/>
  <c r="W246" i="3"/>
  <c r="W248" i="3" s="1"/>
  <c r="W480" i="3" s="1"/>
  <c r="W502" i="3" s="1"/>
  <c r="AS185" i="3"/>
  <c r="AS187" i="3" s="1"/>
  <c r="AS477" i="3" s="1"/>
  <c r="AS499" i="3" s="1"/>
  <c r="AC185" i="3"/>
  <c r="AC187" i="3" s="1"/>
  <c r="AC477" i="3" s="1"/>
  <c r="AC499" i="3" s="1"/>
  <c r="M185" i="3"/>
  <c r="M187" i="3" s="1"/>
  <c r="M477" i="3" s="1"/>
  <c r="M499" i="3" s="1"/>
  <c r="BH124" i="3"/>
  <c r="AZ124" i="3"/>
  <c r="AZ126" i="3" s="1"/>
  <c r="AZ474" i="3" s="1"/>
  <c r="AZ496" i="3" s="1"/>
  <c r="AK124" i="3"/>
  <c r="AK126" i="3" s="1"/>
  <c r="AK474" i="3" s="1"/>
  <c r="AK496" i="3" s="1"/>
  <c r="AC124" i="3"/>
  <c r="AC126" i="3" s="1"/>
  <c r="AC474" i="3" s="1"/>
  <c r="AC496" i="3" s="1"/>
  <c r="U124" i="3"/>
  <c r="U126" i="3" s="1"/>
  <c r="U474" i="3" s="1"/>
  <c r="U496" i="3" s="1"/>
  <c r="M124" i="3"/>
  <c r="M126" i="3" s="1"/>
  <c r="M474" i="3" s="1"/>
  <c r="M496" i="3" s="1"/>
  <c r="E124" i="3"/>
  <c r="AW307" i="3"/>
  <c r="AW309" i="3" s="1"/>
  <c r="AW483" i="3" s="1"/>
  <c r="AW505" i="3" s="1"/>
  <c r="AD124" i="3"/>
  <c r="AD126" i="3" s="1"/>
  <c r="AD474" i="3" s="1"/>
  <c r="AD496" i="3" s="1"/>
  <c r="AD63" i="3"/>
  <c r="AD65" i="3" s="1"/>
  <c r="AD471" i="3" s="1"/>
  <c r="AD493" i="3" s="1"/>
  <c r="C63" i="2"/>
  <c r="V124" i="3"/>
  <c r="V126" i="3" s="1"/>
  <c r="V474" i="3" s="1"/>
  <c r="V496" i="3" s="1"/>
  <c r="N124" i="3"/>
  <c r="N126" i="3" s="1"/>
  <c r="N474" i="3" s="1"/>
  <c r="N496" i="3" s="1"/>
  <c r="BB63" i="3"/>
  <c r="BB65" i="3" s="1"/>
  <c r="BB471" i="3" s="1"/>
  <c r="BB493" i="3" s="1"/>
  <c r="V63" i="3"/>
  <c r="V65" i="3" s="1"/>
  <c r="V471" i="3" s="1"/>
  <c r="V493" i="3" s="1"/>
  <c r="AD185" i="3"/>
  <c r="AD187" i="3" s="1"/>
  <c r="AD477" i="3" s="1"/>
  <c r="AD499" i="3" s="1"/>
  <c r="AL63" i="3"/>
  <c r="F124" i="3"/>
  <c r="BA63" i="3"/>
  <c r="BA65" i="3" s="1"/>
  <c r="BA471" i="3" s="1"/>
  <c r="BA493" i="3" s="1"/>
  <c r="U63" i="3"/>
  <c r="U65" i="3" s="1"/>
  <c r="U471" i="3" s="1"/>
  <c r="U493" i="3" s="1"/>
  <c r="BE246" i="3"/>
  <c r="BE248" i="3" s="1"/>
  <c r="BE480" i="3" s="1"/>
  <c r="BE502" i="3" s="1"/>
  <c r="AT63" i="3"/>
  <c r="AT65" i="3" s="1"/>
  <c r="AT471" i="3" s="1"/>
  <c r="AT493" i="3" s="1"/>
  <c r="N63" i="3"/>
  <c r="N65" i="3" s="1"/>
  <c r="N471" i="3" s="1"/>
  <c r="N493" i="3" s="1"/>
  <c r="BA124" i="3"/>
  <c r="BA126" i="3" s="1"/>
  <c r="BA474" i="3" s="1"/>
  <c r="BA496" i="3" s="1"/>
  <c r="BH368" i="3"/>
  <c r="BH370" i="3" s="1"/>
  <c r="BH486" i="3" s="1"/>
  <c r="Y246" i="3"/>
  <c r="Y248" i="3" s="1"/>
  <c r="Y480" i="3" s="1"/>
  <c r="Y502" i="3" s="1"/>
  <c r="AT185" i="3"/>
  <c r="AT187" i="3" s="1"/>
  <c r="AT477" i="3" s="1"/>
  <c r="AT499" i="3" s="1"/>
  <c r="AS63" i="3"/>
  <c r="AS65" i="3" s="1"/>
  <c r="AS471" i="3" s="1"/>
  <c r="AS493" i="3" s="1"/>
  <c r="M63" i="3"/>
  <c r="K63" i="2"/>
  <c r="C20" i="1"/>
  <c r="D20" i="1" s="1"/>
  <c r="F63" i="3"/>
  <c r="N185" i="3"/>
  <c r="N187" i="3" s="1"/>
  <c r="N477" i="3" s="1"/>
  <c r="N499" i="3" s="1"/>
  <c r="AL124" i="3"/>
  <c r="AL126" i="3" s="1"/>
  <c r="AL474" i="3" s="1"/>
  <c r="AL496" i="3" s="1"/>
  <c r="AK63" i="3"/>
  <c r="E63" i="3"/>
  <c r="AC63" i="3"/>
  <c r="AC65" i="3" s="1"/>
  <c r="AC471" i="3" s="1"/>
  <c r="AC493" i="3" s="1"/>
  <c r="TB38" i="4"/>
  <c r="TB40" i="4" s="1"/>
  <c r="TD34" i="4"/>
  <c r="TD38" i="4" s="1"/>
  <c r="TD40" i="4" s="1"/>
  <c r="AD51" i="4"/>
  <c r="F40" i="5"/>
  <c r="JT18" i="4"/>
  <c r="JT20" i="4" s="1"/>
  <c r="JV16" i="4"/>
  <c r="SX92" i="4"/>
  <c r="SX94" i="4" s="1"/>
  <c r="SZ88" i="4"/>
  <c r="L33" i="4"/>
  <c r="L46" i="4" s="1"/>
  <c r="EH154" i="5"/>
  <c r="EJ18" i="5"/>
  <c r="EH21" i="5"/>
  <c r="EH157" i="5" s="1"/>
  <c r="BL28" i="5"/>
  <c r="BL30" i="5" s="1"/>
  <c r="JB19" i="4"/>
  <c r="JD17" i="4"/>
  <c r="AD19" i="4"/>
  <c r="FT38" i="5"/>
  <c r="AB62" i="4"/>
  <c r="AB38" i="4"/>
  <c r="AB37" i="4"/>
  <c r="AB34" i="4"/>
  <c r="AB39" i="4"/>
  <c r="AD17" i="4"/>
  <c r="RN29" i="4"/>
  <c r="RL31" i="4"/>
  <c r="BF42" i="3"/>
  <c r="GU24" i="5"/>
  <c r="HR18" i="4"/>
  <c r="HT16" i="4"/>
  <c r="HT18" i="4" s="1"/>
  <c r="EZ25" i="4"/>
  <c r="EZ27" i="4" s="1"/>
  <c r="N24" i="4"/>
  <c r="SY100" i="4"/>
  <c r="SY103" i="4" s="1"/>
  <c r="EH205" i="5"/>
  <c r="EJ69" i="5"/>
  <c r="EJ205" i="5" s="1"/>
  <c r="BH115" i="3"/>
  <c r="BG121" i="3"/>
  <c r="BG110" i="3" s="1"/>
  <c r="BG473" i="3" s="1"/>
  <c r="BG495" i="3" s="1"/>
  <c r="F51" i="2"/>
  <c r="F58" i="2" s="1"/>
  <c r="BY16" i="4" s="1"/>
  <c r="EH29" i="5"/>
  <c r="EH165" i="5" s="1"/>
  <c r="F192" i="3"/>
  <c r="AA77" i="4"/>
  <c r="BN22" i="4"/>
  <c r="BN24" i="4" s="1"/>
  <c r="BP16" i="4"/>
  <c r="AB42" i="3"/>
  <c r="PA44" i="4"/>
  <c r="N30" i="5"/>
  <c r="AD24" i="4"/>
  <c r="BH208" i="3"/>
  <c r="X74" i="4"/>
  <c r="AX26" i="5"/>
  <c r="AZ24" i="5"/>
  <c r="BH16" i="3"/>
  <c r="BH77" i="3" s="1"/>
  <c r="D15" i="2"/>
  <c r="V58" i="4"/>
  <c r="V59" i="4" s="1"/>
  <c r="AX21" i="5"/>
  <c r="AZ18" i="5"/>
  <c r="FT32" i="5"/>
  <c r="E76" i="4"/>
  <c r="E75" i="4"/>
  <c r="E74" i="4"/>
  <c r="SZ42" i="4"/>
  <c r="SZ44" i="4" s="1"/>
  <c r="H36" i="2"/>
  <c r="NB20" i="4"/>
  <c r="JR22" i="4"/>
  <c r="JR23" i="4" s="1"/>
  <c r="FT41" i="5"/>
  <c r="N71" i="4"/>
  <c r="D87" i="3"/>
  <c r="D90" i="3" s="1"/>
  <c r="BH87" i="3"/>
  <c r="BH29" i="3"/>
  <c r="SZ101" i="4"/>
  <c r="SZ103" i="4" s="1"/>
  <c r="SZ85" i="4"/>
  <c r="N23" i="4"/>
  <c r="J35" i="5"/>
  <c r="TI33" i="4"/>
  <c r="AF46" i="4"/>
  <c r="N34" i="5"/>
  <c r="FT30" i="5"/>
  <c r="PH33" i="4"/>
  <c r="PJ30" i="4"/>
  <c r="GV24" i="5"/>
  <c r="J36" i="2"/>
  <c r="AK42" i="3"/>
  <c r="AD26" i="4"/>
  <c r="AB187" i="3"/>
  <c r="AB477" i="3" s="1"/>
  <c r="AB499" i="3" s="1"/>
  <c r="BF247" i="3"/>
  <c r="F52" i="6"/>
  <c r="Y75" i="4"/>
  <c r="Y76" i="4" s="1"/>
  <c r="F104" i="3"/>
  <c r="F106" i="3" s="1"/>
  <c r="F108" i="3" s="1"/>
  <c r="F472" i="3" s="1"/>
  <c r="F494" i="3" s="1"/>
  <c r="EF18" i="4"/>
  <c r="EH16" i="4"/>
  <c r="EH18" i="4" s="1"/>
  <c r="AF53" i="4"/>
  <c r="J58" i="2"/>
  <c r="EH177" i="5"/>
  <c r="EH48" i="5"/>
  <c r="EH184" i="5" s="1"/>
  <c r="EJ41" i="5"/>
  <c r="EF22" i="4"/>
  <c r="EF21" i="4"/>
  <c r="EH20" i="4"/>
  <c r="BG19" i="3"/>
  <c r="BG20" i="3" s="1"/>
  <c r="E20" i="3"/>
  <c r="BG156" i="3"/>
  <c r="F41" i="5"/>
  <c r="P60" i="4"/>
  <c r="R60" i="4" s="1"/>
  <c r="AD49" i="4"/>
  <c r="AD67" i="4" s="1"/>
  <c r="LD25" i="4"/>
  <c r="LD28" i="4" s="1"/>
  <c r="LD30" i="4" s="1"/>
  <c r="LF17" i="4"/>
  <c r="LF25" i="4" s="1"/>
  <c r="LF28" i="4" s="1"/>
  <c r="LF30" i="4" s="1"/>
  <c r="US23" i="4"/>
  <c r="US25" i="4" s="1"/>
  <c r="MZ21" i="4"/>
  <c r="IN16" i="4"/>
  <c r="IL20" i="4"/>
  <c r="H41" i="2"/>
  <c r="Z69" i="4"/>
  <c r="Z40" i="4"/>
  <c r="TJ24" i="4"/>
  <c r="AD68" i="4"/>
  <c r="AF47" i="4"/>
  <c r="M30" i="2"/>
  <c r="AY314" i="3"/>
  <c r="GZ27" i="4"/>
  <c r="GZ29" i="4" s="1"/>
  <c r="GZ31" i="4" s="1"/>
  <c r="GZ33" i="4" s="1"/>
  <c r="HB24" i="4"/>
  <c r="HB27" i="4" s="1"/>
  <c r="HB29" i="4" s="1"/>
  <c r="HB31" i="4" s="1"/>
  <c r="HB33" i="4" s="1"/>
  <c r="I41" i="5"/>
  <c r="L37" i="5"/>
  <c r="N34" i="4"/>
  <c r="AN24" i="4"/>
  <c r="AN22" i="4"/>
  <c r="AN23" i="4"/>
  <c r="AP20" i="4"/>
  <c r="AU18" i="4"/>
  <c r="K28" i="6"/>
  <c r="M28" i="6" s="1"/>
  <c r="AB192" i="3"/>
  <c r="K53" i="2"/>
  <c r="M38" i="2"/>
  <c r="AF18" i="4"/>
  <c r="J40" i="6"/>
  <c r="M40" i="6" s="1"/>
  <c r="AN131" i="3"/>
  <c r="EH155" i="5"/>
  <c r="EJ19" i="5"/>
  <c r="EJ155" i="5" s="1"/>
  <c r="M41" i="5"/>
  <c r="Y59" i="4"/>
  <c r="EH197" i="5"/>
  <c r="EJ61" i="5"/>
  <c r="EJ197" i="5" s="1"/>
  <c r="N27" i="4"/>
  <c r="P28" i="4"/>
  <c r="R28" i="4" s="1"/>
  <c r="N24" i="5"/>
  <c r="P54" i="4"/>
  <c r="R54" i="4" s="1"/>
  <c r="EH180" i="5"/>
  <c r="EJ44" i="5"/>
  <c r="EJ180" i="5" s="1"/>
  <c r="L19" i="2"/>
  <c r="N17" i="4"/>
  <c r="AB67" i="4"/>
  <c r="SZ56" i="4"/>
  <c r="SZ58" i="4" s="1"/>
  <c r="TB52" i="4"/>
  <c r="AF33" i="4"/>
  <c r="F40" i="2"/>
  <c r="G40" i="2" s="1"/>
  <c r="I40" i="2" s="1"/>
  <c r="K40" i="2" s="1"/>
  <c r="BH102" i="3"/>
  <c r="P59" i="4"/>
  <c r="R59" i="4" s="1"/>
  <c r="N55" i="4"/>
  <c r="E25" i="2"/>
  <c r="D28" i="2"/>
  <c r="AL65" i="3"/>
  <c r="AL471" i="3" s="1"/>
  <c r="AL493" i="3" s="1"/>
  <c r="BF489" i="3" l="1"/>
  <c r="BF511" i="3" s="1"/>
  <c r="J486" i="3"/>
  <c r="J508" i="3" s="1"/>
  <c r="AZ489" i="3"/>
  <c r="AZ511" i="3" s="1"/>
  <c r="R486" i="3"/>
  <c r="R508" i="3" s="1"/>
  <c r="E486" i="3"/>
  <c r="E508" i="3" s="1"/>
  <c r="AD486" i="3"/>
  <c r="AD508" i="3" s="1"/>
  <c r="AE486" i="3"/>
  <c r="AE508" i="3" s="1"/>
  <c r="BB489" i="3"/>
  <c r="BB511" i="3" s="1"/>
  <c r="AG486" i="3"/>
  <c r="AG508" i="3" s="1"/>
  <c r="P486" i="3"/>
  <c r="P508" i="3" s="1"/>
  <c r="Z486" i="3"/>
  <c r="Z508" i="3" s="1"/>
  <c r="P489" i="3"/>
  <c r="P511" i="3" s="1"/>
  <c r="AG489" i="3"/>
  <c r="AG511" i="3" s="1"/>
  <c r="M486" i="3"/>
  <c r="M508" i="3" s="1"/>
  <c r="AW486" i="3"/>
  <c r="AW508" i="3" s="1"/>
  <c r="AX508" i="3"/>
  <c r="AX486" i="3"/>
  <c r="AD489" i="3"/>
  <c r="AD511" i="3" s="1"/>
  <c r="L489" i="3"/>
  <c r="L511" i="3" s="1"/>
  <c r="AC489" i="3"/>
  <c r="AC511" i="3" s="1"/>
  <c r="U508" i="3"/>
  <c r="U486" i="3"/>
  <c r="BE486" i="3"/>
  <c r="BE508" i="3" s="1"/>
  <c r="BF486" i="3"/>
  <c r="BF508" i="3" s="1"/>
  <c r="AW489" i="3"/>
  <c r="AW511" i="3" s="1"/>
  <c r="T489" i="3"/>
  <c r="T511" i="3" s="1"/>
  <c r="X486" i="3"/>
  <c r="X508" i="3" s="1"/>
  <c r="AF489" i="3"/>
  <c r="AF511" i="3" s="1"/>
  <c r="BA486" i="3"/>
  <c r="BA508" i="3" s="1"/>
  <c r="BG489" i="3"/>
  <c r="BG511" i="3" s="1"/>
  <c r="L486" i="3"/>
  <c r="L508" i="3" s="1"/>
  <c r="AC486" i="3"/>
  <c r="AC508" i="3" s="1"/>
  <c r="G489" i="3"/>
  <c r="G511" i="3" s="1"/>
  <c r="H489" i="3"/>
  <c r="H511" i="3" s="1"/>
  <c r="BE489" i="3"/>
  <c r="BE511" i="3" s="1"/>
  <c r="AB489" i="3"/>
  <c r="AB511" i="3" s="1"/>
  <c r="BD489" i="3"/>
  <c r="BD511" i="3" s="1"/>
  <c r="Z489" i="3"/>
  <c r="Z511" i="3" s="1"/>
  <c r="AF486" i="3"/>
  <c r="AF508" i="3" s="1"/>
  <c r="O489" i="3"/>
  <c r="O511" i="3" s="1"/>
  <c r="AJ489" i="3"/>
  <c r="AJ511" i="3" s="1"/>
  <c r="Y486" i="3"/>
  <c r="Y508" i="3" s="1"/>
  <c r="AH486" i="3"/>
  <c r="AH508" i="3" s="1"/>
  <c r="AZ486" i="3"/>
  <c r="AZ508" i="3" s="1"/>
  <c r="AY486" i="3"/>
  <c r="AY508" i="3" s="1"/>
  <c r="K486" i="3"/>
  <c r="K508" i="3" s="1"/>
  <c r="T486" i="3"/>
  <c r="T508" i="3" s="1"/>
  <c r="W489" i="3"/>
  <c r="W511" i="3" s="1"/>
  <c r="X489" i="3"/>
  <c r="X511" i="3" s="1"/>
  <c r="K489" i="3"/>
  <c r="K511" i="3" s="1"/>
  <c r="Q486" i="3"/>
  <c r="Q508" i="3" s="1"/>
  <c r="BG486" i="3"/>
  <c r="BG508" i="3" s="1"/>
  <c r="AE489" i="3"/>
  <c r="AE511" i="3" s="1"/>
  <c r="S508" i="3"/>
  <c r="S486" i="3"/>
  <c r="AB486" i="3"/>
  <c r="AB508" i="3" s="1"/>
  <c r="BD486" i="3"/>
  <c r="BD508" i="3" s="1"/>
  <c r="F486" i="3"/>
  <c r="F508" i="3" s="1"/>
  <c r="AX511" i="3"/>
  <c r="AX489" i="3"/>
  <c r="G486" i="3"/>
  <c r="G508" i="3" s="1"/>
  <c r="AY489" i="3"/>
  <c r="AY511" i="3" s="1"/>
  <c r="S489" i="3"/>
  <c r="S511" i="3" s="1"/>
  <c r="BC489" i="3"/>
  <c r="BC511" i="3" s="1"/>
  <c r="AJ486" i="3"/>
  <c r="AJ508" i="3" s="1"/>
  <c r="R489" i="3"/>
  <c r="R511" i="3" s="1"/>
  <c r="N486" i="3"/>
  <c r="N508" i="3" s="1"/>
  <c r="O486" i="3"/>
  <c r="O508" i="3" s="1"/>
  <c r="F489" i="3"/>
  <c r="F511" i="3" s="1"/>
  <c r="AA489" i="3"/>
  <c r="AA511" i="3" s="1"/>
  <c r="E489" i="3"/>
  <c r="E511" i="3" s="1"/>
  <c r="AA486" i="3"/>
  <c r="AA508" i="3" s="1"/>
  <c r="J489" i="3"/>
  <c r="J511" i="3" s="1"/>
  <c r="I486" i="3"/>
  <c r="I508" i="3" s="1"/>
  <c r="Y489" i="3"/>
  <c r="Y511" i="3" s="1"/>
  <c r="AI486" i="3"/>
  <c r="AI508" i="3" s="1"/>
  <c r="BC486" i="3"/>
  <c r="BC508" i="3" s="1"/>
  <c r="AH489" i="3"/>
  <c r="AH511" i="3" s="1"/>
  <c r="V486" i="3"/>
  <c r="V508" i="3" s="1"/>
  <c r="W486" i="3"/>
  <c r="W508" i="3" s="1"/>
  <c r="N489" i="3"/>
  <c r="N511" i="3" s="1"/>
  <c r="AI489" i="3"/>
  <c r="AI511" i="3" s="1"/>
  <c r="M489" i="3"/>
  <c r="M511" i="3" s="1"/>
  <c r="I489" i="3"/>
  <c r="I511" i="3" s="1"/>
  <c r="BA489" i="3"/>
  <c r="BA511" i="3" s="1"/>
  <c r="H486" i="3"/>
  <c r="H508" i="3" s="1"/>
  <c r="BB486" i="3"/>
  <c r="BB508" i="3" s="1"/>
  <c r="Q489" i="3"/>
  <c r="Q511" i="3" s="1"/>
  <c r="V489" i="3"/>
  <c r="V511" i="3" s="1"/>
  <c r="U489" i="3"/>
  <c r="U511" i="3" s="1"/>
  <c r="T64" i="3"/>
  <c r="T65" i="3" s="1"/>
  <c r="T471" i="3" s="1"/>
  <c r="T493" i="3" s="1"/>
  <c r="T469" i="3"/>
  <c r="T491" i="3" s="1"/>
  <c r="BF248" i="3"/>
  <c r="BF480" i="3" s="1"/>
  <c r="BF502" i="3" s="1"/>
  <c r="AB309" i="3"/>
  <c r="AB483" i="3" s="1"/>
  <c r="AB505" i="3" s="1"/>
  <c r="AY126" i="3"/>
  <c r="AY474" i="3" s="1"/>
  <c r="AY496" i="3" s="1"/>
  <c r="DB24" i="5"/>
  <c r="CZ26" i="5"/>
  <c r="CX28" i="5"/>
  <c r="CX29" i="5"/>
  <c r="M65" i="3"/>
  <c r="M471" i="3" s="1"/>
  <c r="M493" i="3" s="1"/>
  <c r="G13" i="6"/>
  <c r="C20" i="6"/>
  <c r="G20" i="6" s="1"/>
  <c r="T70" i="3"/>
  <c r="D160" i="3"/>
  <c r="BH160" i="3"/>
  <c r="D221" i="3" s="1"/>
  <c r="BH221" i="3" s="1"/>
  <c r="D282" i="3" s="1"/>
  <c r="BH282" i="3" s="1"/>
  <c r="F31" i="7"/>
  <c r="M40" i="2"/>
  <c r="D27" i="7"/>
  <c r="F32" i="7"/>
  <c r="D13" i="7"/>
  <c r="C27" i="7"/>
  <c r="D138" i="3"/>
  <c r="BH138" i="3"/>
  <c r="C16" i="7"/>
  <c r="E31" i="7"/>
  <c r="BH433" i="3"/>
  <c r="BH511" i="3"/>
  <c r="C43" i="7"/>
  <c r="F46" i="7"/>
  <c r="E50" i="7"/>
  <c r="E46" i="7"/>
  <c r="TB88" i="4"/>
  <c r="SZ92" i="4"/>
  <c r="SZ94" i="4" s="1"/>
  <c r="D47" i="7"/>
  <c r="F7" i="7"/>
  <c r="C12" i="7"/>
  <c r="F34" i="7"/>
  <c r="H50" i="7"/>
  <c r="AF44" i="4"/>
  <c r="AD55" i="4"/>
  <c r="I81" i="4"/>
  <c r="I82" i="4" s="1"/>
  <c r="HB35" i="4"/>
  <c r="HB37" i="4" s="1"/>
  <c r="IN20" i="4"/>
  <c r="IP16" i="4"/>
  <c r="IP20" i="4" s="1"/>
  <c r="CC16" i="4"/>
  <c r="J38" i="5"/>
  <c r="D163" i="3"/>
  <c r="BH163" i="3"/>
  <c r="D224" i="3" s="1"/>
  <c r="BH224" i="3" s="1"/>
  <c r="D285" i="3" s="1"/>
  <c r="BH285" i="3" s="1"/>
  <c r="F131" i="3"/>
  <c r="D40" i="7"/>
  <c r="PL30" i="4"/>
  <c r="PJ33" i="4"/>
  <c r="P23" i="4"/>
  <c r="R23" i="4" s="1"/>
  <c r="P71" i="4"/>
  <c r="R71" i="4" s="1"/>
  <c r="BB24" i="5"/>
  <c r="BB26" i="5" s="1"/>
  <c r="AZ26" i="5"/>
  <c r="D31" i="7"/>
  <c r="BP22" i="4"/>
  <c r="BP24" i="4" s="1"/>
  <c r="BR16" i="4"/>
  <c r="BR22" i="4" s="1"/>
  <c r="BR24" i="4" s="1"/>
  <c r="D176" i="3"/>
  <c r="BH176" i="3"/>
  <c r="GU34" i="5"/>
  <c r="AB69" i="4"/>
  <c r="AB40" i="4"/>
  <c r="JD19" i="4"/>
  <c r="JF17" i="4"/>
  <c r="AB72" i="4"/>
  <c r="E14" i="7"/>
  <c r="BH508" i="3"/>
  <c r="BH372" i="3"/>
  <c r="D63" i="2"/>
  <c r="E63" i="2" s="1"/>
  <c r="F63" i="2" s="1"/>
  <c r="G63" i="2" s="1"/>
  <c r="H63" i="2" s="1"/>
  <c r="I63" i="2" s="1"/>
  <c r="J63" i="2" s="1"/>
  <c r="C65" i="2"/>
  <c r="D37" i="7"/>
  <c r="H41" i="7"/>
  <c r="C50" i="7"/>
  <c r="E35" i="7"/>
  <c r="C32" i="7"/>
  <c r="D17" i="7"/>
  <c r="E48" i="7"/>
  <c r="C26" i="7"/>
  <c r="D34" i="7"/>
  <c r="F41" i="7"/>
  <c r="C46" i="7"/>
  <c r="E11" i="7"/>
  <c r="C4" i="7"/>
  <c r="F16" i="7"/>
  <c r="H24" i="7"/>
  <c r="F26" i="7"/>
  <c r="H34" i="7"/>
  <c r="E39" i="7"/>
  <c r="F13" i="7"/>
  <c r="H21" i="7"/>
  <c r="E34" i="7"/>
  <c r="F38" i="7"/>
  <c r="M37" i="2"/>
  <c r="N43" i="4"/>
  <c r="OZ52" i="4"/>
  <c r="OZ53" i="4" s="1"/>
  <c r="P69" i="4"/>
  <c r="X65" i="3"/>
  <c r="X471" i="3" s="1"/>
  <c r="X493" i="3" s="1"/>
  <c r="H38" i="7"/>
  <c r="AO29" i="4"/>
  <c r="AO30" i="4" s="1"/>
  <c r="M52" i="2"/>
  <c r="P25" i="4"/>
  <c r="R25" i="4" s="1"/>
  <c r="AF29" i="4"/>
  <c r="DD18" i="5"/>
  <c r="DD21" i="5" s="1"/>
  <c r="DB21" i="5"/>
  <c r="Y65" i="3"/>
  <c r="Y471" i="3" s="1"/>
  <c r="Y493" i="3" s="1"/>
  <c r="P34" i="4"/>
  <c r="R34" i="4" s="1"/>
  <c r="C30" i="7"/>
  <c r="D25" i="7"/>
  <c r="H32" i="7"/>
  <c r="F21" i="7"/>
  <c r="H49" i="7"/>
  <c r="GJ25" i="4"/>
  <c r="GJ28" i="4" s="1"/>
  <c r="GL17" i="4"/>
  <c r="H31" i="7"/>
  <c r="P50" i="4"/>
  <c r="AF28" i="4"/>
  <c r="PL19" i="4"/>
  <c r="PN19" i="4" s="1"/>
  <c r="DR23" i="4"/>
  <c r="DR26" i="4" s="1"/>
  <c r="DT18" i="4"/>
  <c r="DT23" i="4" s="1"/>
  <c r="DT26" i="4" s="1"/>
  <c r="N70" i="4"/>
  <c r="N72" i="4" s="1"/>
  <c r="EJ177" i="5"/>
  <c r="EJ48" i="5"/>
  <c r="EJ184" i="5" s="1"/>
  <c r="E42" i="3"/>
  <c r="BG42" i="3" s="1"/>
  <c r="AB65" i="4"/>
  <c r="SX96" i="4"/>
  <c r="SX98" i="4" s="1"/>
  <c r="TD44" i="4"/>
  <c r="TD42" i="4"/>
  <c r="C14" i="7"/>
  <c r="E30" i="7"/>
  <c r="D30" i="7"/>
  <c r="D15" i="7"/>
  <c r="D33" i="7"/>
  <c r="F39" i="7"/>
  <c r="C42" i="7"/>
  <c r="D52" i="7"/>
  <c r="D11" i="7"/>
  <c r="D20" i="7"/>
  <c r="H40" i="7"/>
  <c r="F42" i="7"/>
  <c r="H45" i="7"/>
  <c r="H11" i="7"/>
  <c r="E16" i="7"/>
  <c r="F20" i="7"/>
  <c r="H20" i="7"/>
  <c r="E25" i="7"/>
  <c r="F29" i="7"/>
  <c r="H37" i="7"/>
  <c r="E45" i="7"/>
  <c r="F49" i="7"/>
  <c r="H28" i="7"/>
  <c r="GH30" i="4"/>
  <c r="GH31" i="4" s="1"/>
  <c r="BG95" i="3"/>
  <c r="M81" i="4"/>
  <c r="M82" i="4" s="1"/>
  <c r="BN28" i="5"/>
  <c r="BN30" i="5"/>
  <c r="F36" i="2"/>
  <c r="L33" i="2"/>
  <c r="P18" i="4"/>
  <c r="R18" i="4" s="1"/>
  <c r="FV18" i="5"/>
  <c r="FT19" i="5"/>
  <c r="AF27" i="4"/>
  <c r="AD64" i="4"/>
  <c r="AW18" i="4"/>
  <c r="UW23" i="4"/>
  <c r="UW25" i="4" s="1"/>
  <c r="C17" i="7"/>
  <c r="E27" i="7"/>
  <c r="F24" i="7"/>
  <c r="H12" i="7"/>
  <c r="E42" i="7"/>
  <c r="NZ18" i="4"/>
  <c r="PL25" i="4"/>
  <c r="PN25" i="4" s="1"/>
  <c r="AV308" i="3"/>
  <c r="AV309" i="3" s="1"/>
  <c r="AV483" i="3" s="1"/>
  <c r="AV505" i="3" s="1"/>
  <c r="H42" i="6"/>
  <c r="F53" i="7"/>
  <c r="V75" i="4"/>
  <c r="G25" i="2"/>
  <c r="E28" i="2"/>
  <c r="N37" i="5"/>
  <c r="GV34" i="5"/>
  <c r="PA50" i="4"/>
  <c r="FT33" i="5"/>
  <c r="F28" i="7"/>
  <c r="JV18" i="4"/>
  <c r="JV20" i="4" s="1"/>
  <c r="JX16" i="4"/>
  <c r="TB42" i="4"/>
  <c r="TB44" i="4" s="1"/>
  <c r="L63" i="2"/>
  <c r="C22" i="7"/>
  <c r="H44" i="7"/>
  <c r="E13" i="7"/>
  <c r="C15" i="7"/>
  <c r="D23" i="7"/>
  <c r="H52" i="7"/>
  <c r="E20" i="7"/>
  <c r="C33" i="7"/>
  <c r="D43" i="7"/>
  <c r="C45" i="7"/>
  <c r="E6" i="7"/>
  <c r="C11" i="7"/>
  <c r="D19" i="7"/>
  <c r="D28" i="7"/>
  <c r="F17" i="7"/>
  <c r="F40" i="7"/>
  <c r="F45" i="7"/>
  <c r="H53" i="7"/>
  <c r="F11" i="7"/>
  <c r="H19" i="7"/>
  <c r="E24" i="7"/>
  <c r="E33" i="7"/>
  <c r="F37" i="7"/>
  <c r="E53" i="7"/>
  <c r="H6" i="7"/>
  <c r="H7" i="7"/>
  <c r="G79" i="4"/>
  <c r="X75" i="4"/>
  <c r="X76" i="4" s="1"/>
  <c r="X1" i="4"/>
  <c r="DQ26" i="5"/>
  <c r="DR28" i="5"/>
  <c r="DR30" i="5" s="1"/>
  <c r="MP29" i="4"/>
  <c r="MP31" i="4" s="1"/>
  <c r="MP34" i="4"/>
  <c r="FR47" i="5"/>
  <c r="L35" i="5"/>
  <c r="AY309" i="3"/>
  <c r="AY483" i="3" s="1"/>
  <c r="AY505" i="3" s="1"/>
  <c r="M34" i="2"/>
  <c r="AQ29" i="4"/>
  <c r="AQ30" i="4" s="1"/>
  <c r="D76" i="4"/>
  <c r="D75" i="4"/>
  <c r="D74" i="4"/>
  <c r="UU25" i="4"/>
  <c r="UU23" i="4"/>
  <c r="FP51" i="5"/>
  <c r="C38" i="7"/>
  <c r="TI34" i="4"/>
  <c r="TI35" i="4" s="1"/>
  <c r="JB21" i="4"/>
  <c r="JB22" i="4" s="1"/>
  <c r="H17" i="7"/>
  <c r="E8" i="7"/>
  <c r="P31" i="4"/>
  <c r="R31" i="4" s="1"/>
  <c r="D46" i="7"/>
  <c r="AP18" i="4"/>
  <c r="LF31" i="4"/>
  <c r="LF32" i="4" s="1"/>
  <c r="P55" i="4"/>
  <c r="R55" i="4" s="1"/>
  <c r="TD52" i="4"/>
  <c r="TD56" i="4" s="1"/>
  <c r="TD58" i="4" s="1"/>
  <c r="TB56" i="4"/>
  <c r="TB58" i="4" s="1"/>
  <c r="P27" i="4"/>
  <c r="R27" i="4" s="1"/>
  <c r="M53" i="2"/>
  <c r="AP23" i="4"/>
  <c r="AF68" i="4"/>
  <c r="LD31" i="4"/>
  <c r="LD32" i="4" s="1"/>
  <c r="H33" i="2"/>
  <c r="F125" i="3"/>
  <c r="F126" i="3" s="1"/>
  <c r="F474" i="3" s="1"/>
  <c r="F496" i="3" s="1"/>
  <c r="D6" i="6"/>
  <c r="E28" i="7"/>
  <c r="E15" i="2"/>
  <c r="D269" i="3"/>
  <c r="RP29" i="4"/>
  <c r="RN31" i="4"/>
  <c r="JT22" i="4"/>
  <c r="JT23" i="4" s="1"/>
  <c r="C29" i="7"/>
  <c r="F52" i="7"/>
  <c r="C49" i="7"/>
  <c r="E29" i="7"/>
  <c r="C23" i="7"/>
  <c r="D8" i="7"/>
  <c r="E36" i="7"/>
  <c r="C41" i="7"/>
  <c r="D51" i="7"/>
  <c r="E22" i="7"/>
  <c r="C19" i="7"/>
  <c r="F15" i="7"/>
  <c r="C36" i="7"/>
  <c r="D36" i="7"/>
  <c r="F44" i="7"/>
  <c r="H51" i="7"/>
  <c r="E7" i="7"/>
  <c r="F19" i="7"/>
  <c r="H27" i="7"/>
  <c r="E32" i="7"/>
  <c r="F36" i="7"/>
  <c r="H36" i="7"/>
  <c r="E41" i="7"/>
  <c r="F6" i="7"/>
  <c r="H14" i="7"/>
  <c r="H15" i="7"/>
  <c r="D157" i="3"/>
  <c r="BH157" i="3"/>
  <c r="D218" i="3" s="1"/>
  <c r="BH218" i="3" s="1"/>
  <c r="D279" i="3" s="1"/>
  <c r="BH279" i="3" s="1"/>
  <c r="P19" i="4"/>
  <c r="R19" i="4" s="1"/>
  <c r="GT36" i="5"/>
  <c r="P30" i="4"/>
  <c r="R30" i="4" s="1"/>
  <c r="X59" i="4"/>
  <c r="BD70" i="3"/>
  <c r="DP28" i="5"/>
  <c r="DP30" i="5" s="1"/>
  <c r="DO30" i="5" s="1"/>
  <c r="DO26" i="5"/>
  <c r="F314" i="3"/>
  <c r="AE77" i="4"/>
  <c r="NH17" i="4"/>
  <c r="MN29" i="4"/>
  <c r="MN31" i="4"/>
  <c r="MN34" i="4"/>
  <c r="N27" i="5"/>
  <c r="NX22" i="4"/>
  <c r="J44" i="2"/>
  <c r="AV314" i="3"/>
  <c r="E37" i="3"/>
  <c r="BG37" i="3" s="1"/>
  <c r="AX28" i="5"/>
  <c r="AX29" i="5" s="1"/>
  <c r="D50" i="7"/>
  <c r="D44" i="7"/>
  <c r="D12" i="7"/>
  <c r="H42" i="7"/>
  <c r="F12" i="7"/>
  <c r="H29" i="7"/>
  <c r="I24" i="6"/>
  <c r="X70" i="3"/>
  <c r="D116" i="3"/>
  <c r="D121" i="3" s="1"/>
  <c r="D110" i="3" s="1"/>
  <c r="D473" i="3" s="1"/>
  <c r="D495" i="3" s="1"/>
  <c r="BH116" i="3"/>
  <c r="EJ209" i="5"/>
  <c r="EJ75" i="5"/>
  <c r="EJ211" i="5" s="1"/>
  <c r="SZ60" i="4"/>
  <c r="SZ62" i="4" s="1"/>
  <c r="AN25" i="4"/>
  <c r="AP22" i="4"/>
  <c r="AV192" i="3"/>
  <c r="IL22" i="4"/>
  <c r="IL23" i="4" s="1"/>
  <c r="AF49" i="4"/>
  <c r="AF26" i="4"/>
  <c r="Z57" i="4"/>
  <c r="AD39" i="4"/>
  <c r="AD74" i="4" s="1"/>
  <c r="AD38" i="4"/>
  <c r="AD62" i="4"/>
  <c r="AD34" i="4"/>
  <c r="AF17" i="4"/>
  <c r="AD37" i="4"/>
  <c r="EJ154" i="5"/>
  <c r="EJ21" i="5"/>
  <c r="EJ157" i="5" s="1"/>
  <c r="H40" i="5"/>
  <c r="D14" i="7"/>
  <c r="C31" i="7"/>
  <c r="D39" i="7"/>
  <c r="C8" i="7"/>
  <c r="D16" i="7"/>
  <c r="E47" i="7"/>
  <c r="C44" i="7"/>
  <c r="D10" i="7"/>
  <c r="E38" i="7"/>
  <c r="D35" i="7"/>
  <c r="H33" i="7"/>
  <c r="F51" i="7"/>
  <c r="H10" i="7"/>
  <c r="E15" i="7"/>
  <c r="F27" i="7"/>
  <c r="H35" i="7"/>
  <c r="E40" i="7"/>
  <c r="E44" i="7"/>
  <c r="E10" i="7"/>
  <c r="F14" i="7"/>
  <c r="H22" i="7"/>
  <c r="H23" i="7"/>
  <c r="BH60" i="3"/>
  <c r="TD24" i="4"/>
  <c r="TD26" i="4" s="1"/>
  <c r="ML35" i="4"/>
  <c r="ML36" i="4" s="1"/>
  <c r="AV247" i="3"/>
  <c r="AV248" i="3" s="1"/>
  <c r="AV480" i="3" s="1"/>
  <c r="AV502" i="3" s="1"/>
  <c r="F42" i="6"/>
  <c r="G42" i="6" s="1"/>
  <c r="AF63" i="4"/>
  <c r="PL18" i="4"/>
  <c r="PJ21" i="4"/>
  <c r="K81" i="4"/>
  <c r="K82" i="4" s="1"/>
  <c r="F63" i="4"/>
  <c r="AD70" i="4"/>
  <c r="AF50" i="4"/>
  <c r="NF19" i="4"/>
  <c r="C47" i="7"/>
  <c r="H8" i="7"/>
  <c r="F10" i="7"/>
  <c r="H18" i="7"/>
  <c r="E23" i="7"/>
  <c r="F35" i="7"/>
  <c r="E43" i="7"/>
  <c r="F47" i="7"/>
  <c r="H47" i="7"/>
  <c r="E52" i="7"/>
  <c r="E18" i="7"/>
  <c r="F22" i="7"/>
  <c r="H30" i="7"/>
  <c r="EJ187" i="5"/>
  <c r="EJ55" i="5"/>
  <c r="EJ191" i="5" s="1"/>
  <c r="TB24" i="4"/>
  <c r="TB26" i="4" s="1"/>
  <c r="EJ29" i="5"/>
  <c r="EJ165" i="5" s="1"/>
  <c r="D179" i="3"/>
  <c r="BH179" i="3"/>
  <c r="D240" i="3" s="1"/>
  <c r="BH240" i="3" s="1"/>
  <c r="D301" i="3" s="1"/>
  <c r="BH301" i="3" s="1"/>
  <c r="AV253" i="3"/>
  <c r="E58" i="2"/>
  <c r="G51" i="2"/>
  <c r="PH35" i="4"/>
  <c r="EJ38" i="5"/>
  <c r="EJ174" i="5" s="1"/>
  <c r="J56" i="4"/>
  <c r="H62" i="4"/>
  <c r="CE16" i="4"/>
  <c r="FT45" i="5"/>
  <c r="D48" i="7"/>
  <c r="C40" i="7"/>
  <c r="C34" i="7"/>
  <c r="E17" i="7"/>
  <c r="BP28" i="5"/>
  <c r="BP30" i="5" s="1"/>
  <c r="AP24" i="4"/>
  <c r="BH19" i="3"/>
  <c r="BH20" i="3" s="1"/>
  <c r="D18" i="2"/>
  <c r="E18" i="2" s="1"/>
  <c r="G18" i="2" s="1"/>
  <c r="I18" i="2" s="1"/>
  <c r="K18" i="2" s="1"/>
  <c r="Z66" i="4"/>
  <c r="D148" i="3"/>
  <c r="D151" i="3" s="1"/>
  <c r="BH148" i="3"/>
  <c r="BH90" i="3"/>
  <c r="ND20" i="4"/>
  <c r="D77" i="3"/>
  <c r="AF24" i="4"/>
  <c r="AB74" i="4"/>
  <c r="AF19" i="4"/>
  <c r="C21" i="7"/>
  <c r="D21" i="7"/>
  <c r="F23" i="7"/>
  <c r="C39" i="7"/>
  <c r="D49" i="7"/>
  <c r="D24" i="7"/>
  <c r="F33" i="7"/>
  <c r="C52" i="7"/>
  <c r="E21" i="7"/>
  <c r="C10" i="7"/>
  <c r="D18" i="7"/>
  <c r="E49" i="7"/>
  <c r="C35" i="7"/>
  <c r="D45" i="7"/>
  <c r="H25" i="7"/>
  <c r="P17" i="4"/>
  <c r="GZ35" i="4"/>
  <c r="GZ37" i="4" s="1"/>
  <c r="TJ33" i="4"/>
  <c r="NB21" i="4"/>
  <c r="EH21" i="4"/>
  <c r="EH22" i="4"/>
  <c r="E77" i="4"/>
  <c r="E34" i="3"/>
  <c r="AZ21" i="5"/>
  <c r="BB18" i="5"/>
  <c r="BB21" i="5" s="1"/>
  <c r="P24" i="4"/>
  <c r="R24" i="4" s="1"/>
  <c r="N33" i="4"/>
  <c r="AF51" i="4"/>
  <c r="D38" i="7"/>
  <c r="F25" i="7"/>
  <c r="C48" i="7"/>
  <c r="D22" i="7"/>
  <c r="D29" i="7"/>
  <c r="F50" i="7"/>
  <c r="E19" i="7"/>
  <c r="D32" i="7"/>
  <c r="E37" i="7"/>
  <c r="C18" i="7"/>
  <c r="D26" i="7"/>
  <c r="D53" i="7"/>
  <c r="E12" i="7"/>
  <c r="F8" i="7"/>
  <c r="H16" i="7"/>
  <c r="F18" i="7"/>
  <c r="H26" i="7"/>
  <c r="E51" i="7"/>
  <c r="H13" i="7"/>
  <c r="E26" i="7"/>
  <c r="F30" i="7"/>
  <c r="H39" i="7"/>
  <c r="PJ27" i="4"/>
  <c r="PL24" i="4"/>
  <c r="L72" i="4"/>
  <c r="D58" i="2"/>
  <c r="F41" i="2"/>
  <c r="BD64" i="3"/>
  <c r="BD65" i="3" s="1"/>
  <c r="BD471" i="3" s="1"/>
  <c r="BD493" i="3" s="1"/>
  <c r="C50" i="6"/>
  <c r="G50" i="6" s="1"/>
  <c r="J33" i="2"/>
  <c r="F43" i="3"/>
  <c r="F45" i="3" s="1"/>
  <c r="F47" i="3" s="1"/>
  <c r="F469" i="3" s="1"/>
  <c r="F491" i="3" s="1"/>
  <c r="AF21" i="4"/>
  <c r="P35" i="4"/>
  <c r="R35" i="4" s="1"/>
  <c r="FR49" i="5"/>
  <c r="W76" i="4"/>
  <c r="CZ28" i="5" l="1"/>
  <c r="CZ29" i="5" s="1"/>
  <c r="DB26" i="5"/>
  <c r="DD24" i="5"/>
  <c r="DD26" i="5" s="1"/>
  <c r="C13" i="7"/>
  <c r="G13" i="7" s="1"/>
  <c r="G31" i="7"/>
  <c r="G41" i="7"/>
  <c r="G18" i="7"/>
  <c r="G44" i="7"/>
  <c r="D19" i="2"/>
  <c r="F64" i="3"/>
  <c r="F65" i="3" s="1"/>
  <c r="F471" i="3" s="1"/>
  <c r="F493" i="3" s="1"/>
  <c r="C6" i="6"/>
  <c r="G6" i="6" s="1"/>
  <c r="F70" i="3"/>
  <c r="DQ30" i="5"/>
  <c r="ND21" i="4"/>
  <c r="H46" i="7"/>
  <c r="G17" i="7"/>
  <c r="FT47" i="5"/>
  <c r="FV19" i="5"/>
  <c r="FX19" i="5" s="1"/>
  <c r="G46" i="7"/>
  <c r="AB57" i="4"/>
  <c r="TJ34" i="4"/>
  <c r="TJ35" i="4" s="1"/>
  <c r="TK35" i="4" s="1"/>
  <c r="G47" i="7"/>
  <c r="G19" i="7"/>
  <c r="G49" i="7"/>
  <c r="L38" i="5"/>
  <c r="DQ28" i="5"/>
  <c r="BA287" i="3" s="1"/>
  <c r="BA284" i="3"/>
  <c r="G45" i="7"/>
  <c r="JZ16" i="4"/>
  <c r="JZ18" i="4" s="1"/>
  <c r="JZ20" i="4" s="1"/>
  <c r="JX18" i="4"/>
  <c r="JX20" i="4" s="1"/>
  <c r="FX18" i="5"/>
  <c r="BH437" i="3"/>
  <c r="G14" i="7"/>
  <c r="D41" i="2"/>
  <c r="E41" i="2" s="1"/>
  <c r="G41" i="2" s="1"/>
  <c r="I41" i="2" s="1"/>
  <c r="BH42" i="3"/>
  <c r="C25" i="7"/>
  <c r="G25" i="7" s="1"/>
  <c r="R69" i="4"/>
  <c r="IP22" i="4"/>
  <c r="IP23" i="4"/>
  <c r="G12" i="7"/>
  <c r="G27" i="7"/>
  <c r="BG34" i="3"/>
  <c r="G8" i="7"/>
  <c r="BH37" i="3"/>
  <c r="D36" i="2"/>
  <c r="E36" i="2" s="1"/>
  <c r="G36" i="2" s="1"/>
  <c r="I36" i="2" s="1"/>
  <c r="E165" i="3"/>
  <c r="N35" i="5"/>
  <c r="TB92" i="4"/>
  <c r="TB94" i="4" s="1"/>
  <c r="TD88" i="4"/>
  <c r="TD92" i="4" s="1"/>
  <c r="TD94" i="4" s="1"/>
  <c r="D209" i="3"/>
  <c r="BH151" i="3"/>
  <c r="G10" i="7"/>
  <c r="FT49" i="5"/>
  <c r="E226" i="3"/>
  <c r="BH49" i="3"/>
  <c r="BH470" i="3" s="1"/>
  <c r="BH492" i="3" s="1"/>
  <c r="MN35" i="4"/>
  <c r="MN36" i="4" s="1"/>
  <c r="DO28" i="5"/>
  <c r="BA226" i="3" s="1"/>
  <c r="BA223" i="3"/>
  <c r="GT37" i="5"/>
  <c r="RR29" i="4"/>
  <c r="RP31" i="4"/>
  <c r="G104" i="3"/>
  <c r="G106" i="3" s="1"/>
  <c r="G108" i="3" s="1"/>
  <c r="G472" i="3" s="1"/>
  <c r="G494" i="3" s="1"/>
  <c r="FR51" i="5"/>
  <c r="JV22" i="4"/>
  <c r="JV23" i="4" s="1"/>
  <c r="D437" i="3"/>
  <c r="BH376" i="3"/>
  <c r="GL25" i="4"/>
  <c r="GL28" i="4" s="1"/>
  <c r="GN17" i="4"/>
  <c r="GN25" i="4" s="1"/>
  <c r="GN28" i="4" s="1"/>
  <c r="GU36" i="5"/>
  <c r="GU37" i="5" s="1"/>
  <c r="PN30" i="4"/>
  <c r="PN33" i="4" s="1"/>
  <c r="PL33" i="4"/>
  <c r="IN22" i="4"/>
  <c r="IN23" i="4" s="1"/>
  <c r="GV36" i="5"/>
  <c r="AF67" i="4"/>
  <c r="F43" i="7"/>
  <c r="G43" i="7" s="1"/>
  <c r="AD69" i="4"/>
  <c r="AD40" i="4"/>
  <c r="Z58" i="4"/>
  <c r="TB60" i="4"/>
  <c r="TB62" i="4" s="1"/>
  <c r="G22" i="7"/>
  <c r="GJ30" i="4"/>
  <c r="GJ31" i="4" s="1"/>
  <c r="G43" i="3"/>
  <c r="G45" i="3" s="1"/>
  <c r="G47" i="3" s="1"/>
  <c r="G469" i="3" s="1"/>
  <c r="G491" i="3" s="1"/>
  <c r="AZ29" i="5"/>
  <c r="AZ28" i="5"/>
  <c r="AF55" i="4"/>
  <c r="SZ96" i="4"/>
  <c r="SZ98" i="4" s="1"/>
  <c r="G50" i="7"/>
  <c r="PN24" i="4"/>
  <c r="PN27" i="4" s="1"/>
  <c r="PL27" i="4"/>
  <c r="AD72" i="4"/>
  <c r="G35" i="7"/>
  <c r="G21" i="7"/>
  <c r="M18" i="2"/>
  <c r="G34" i="7"/>
  <c r="I51" i="2"/>
  <c r="G58" i="2"/>
  <c r="AF39" i="4"/>
  <c r="AF38" i="4"/>
  <c r="AF37" i="4"/>
  <c r="AF62" i="4"/>
  <c r="AF34" i="4"/>
  <c r="D177" i="3"/>
  <c r="D182" i="3" s="1"/>
  <c r="D171" i="3" s="1"/>
  <c r="D476" i="3" s="1"/>
  <c r="D498" i="3" s="1"/>
  <c r="BH177" i="3"/>
  <c r="D238" i="3" s="1"/>
  <c r="BH238" i="3" s="1"/>
  <c r="D299" i="3" s="1"/>
  <c r="BH299" i="3" s="1"/>
  <c r="D6" i="7"/>
  <c r="TD60" i="4"/>
  <c r="TD62" i="4" s="1"/>
  <c r="TK33" i="4"/>
  <c r="MP35" i="4"/>
  <c r="MP36" i="4" s="1"/>
  <c r="G30" i="7"/>
  <c r="G32" i="7"/>
  <c r="D237" i="3"/>
  <c r="BB28" i="5"/>
  <c r="BB29" i="5" s="1"/>
  <c r="G16" i="7"/>
  <c r="J40" i="5"/>
  <c r="V76" i="4"/>
  <c r="C24" i="7"/>
  <c r="G24" i="7" s="1"/>
  <c r="AB66" i="4"/>
  <c r="PJ35" i="4"/>
  <c r="AP25" i="4"/>
  <c r="NH19" i="4"/>
  <c r="G36" i="7"/>
  <c r="G23" i="7"/>
  <c r="G29" i="7"/>
  <c r="BH269" i="3"/>
  <c r="AR22" i="4"/>
  <c r="G11" i="7"/>
  <c r="G33" i="7"/>
  <c r="G15" i="7"/>
  <c r="M63" i="2"/>
  <c r="I25" i="2"/>
  <c r="G28" i="2"/>
  <c r="E287" i="3"/>
  <c r="G42" i="7"/>
  <c r="P70" i="4"/>
  <c r="R70" i="4" s="1"/>
  <c r="R50" i="4"/>
  <c r="G4" i="7"/>
  <c r="JF19" i="4"/>
  <c r="JH17" i="4"/>
  <c r="JH19" i="4" s="1"/>
  <c r="BH121" i="3"/>
  <c r="L56" i="4"/>
  <c r="J62" i="4"/>
  <c r="M24" i="6"/>
  <c r="M54" i="6" s="1"/>
  <c r="N4" i="6" s="1"/>
  <c r="N54" i="6" s="1"/>
  <c r="I54" i="6"/>
  <c r="J4" i="6" s="1"/>
  <c r="J54" i="6" s="1"/>
  <c r="K4" i="6" s="1"/>
  <c r="K54" i="6" s="1"/>
  <c r="L4" i="6" s="1"/>
  <c r="L54" i="6" s="1"/>
  <c r="E79" i="4"/>
  <c r="F75" i="4"/>
  <c r="F76" i="4"/>
  <c r="F74" i="4"/>
  <c r="C20" i="7"/>
  <c r="G20" i="7" s="1"/>
  <c r="F33" i="2"/>
  <c r="R17" i="4"/>
  <c r="R46" i="4" s="1"/>
  <c r="D80" i="3"/>
  <c r="D81" i="3" s="1"/>
  <c r="BH80" i="3"/>
  <c r="BW16" i="4"/>
  <c r="BX16" i="4" s="1"/>
  <c r="D133" i="3"/>
  <c r="BH72" i="3"/>
  <c r="AF70" i="4"/>
  <c r="C51" i="7"/>
  <c r="G51" i="7" s="1"/>
  <c r="P33" i="4"/>
  <c r="R33" i="4" s="1"/>
  <c r="N46" i="4"/>
  <c r="G52" i="7"/>
  <c r="G39" i="7"/>
  <c r="NF20" i="4"/>
  <c r="AR23" i="4"/>
  <c r="G40" i="7"/>
  <c r="H63" i="4"/>
  <c r="PN18" i="4"/>
  <c r="PN21" i="4" s="1"/>
  <c r="PL21" i="4"/>
  <c r="AD65" i="4"/>
  <c r="AN27" i="4"/>
  <c r="NZ22" i="4"/>
  <c r="E19" i="2"/>
  <c r="G15" i="2"/>
  <c r="G38" i="7"/>
  <c r="D77" i="4"/>
  <c r="G81" i="4"/>
  <c r="G82" i="4" s="1"/>
  <c r="PA52" i="4"/>
  <c r="PA53" i="4" s="1"/>
  <c r="H43" i="7"/>
  <c r="H41" i="5"/>
  <c r="AF64" i="4"/>
  <c r="P43" i="4"/>
  <c r="R43" i="4" s="1"/>
  <c r="G26" i="7"/>
  <c r="JD21" i="4"/>
  <c r="JD22" i="4" s="1"/>
  <c r="D199" i="3"/>
  <c r="P46" i="4" l="1"/>
  <c r="P72" i="4"/>
  <c r="FX22" i="5"/>
  <c r="FX24" i="5" s="1"/>
  <c r="DD28" i="5"/>
  <c r="DD29" i="5"/>
  <c r="FV22" i="5"/>
  <c r="FV24" i="5" s="1"/>
  <c r="DB28" i="5"/>
  <c r="DB29" i="5" s="1"/>
  <c r="PL35" i="4"/>
  <c r="PN35" i="4"/>
  <c r="BH182" i="3"/>
  <c r="BH171" i="3" s="1"/>
  <c r="BH476" i="3" s="1"/>
  <c r="BH498" i="3" s="1"/>
  <c r="BG223" i="3"/>
  <c r="BA228" i="3"/>
  <c r="BA230" i="3" s="1"/>
  <c r="BA478" i="3" s="1"/>
  <c r="BA500" i="3" s="1"/>
  <c r="BH199" i="3"/>
  <c r="AB43" i="3"/>
  <c r="AB45" i="3" s="1"/>
  <c r="AB47" i="3" s="1"/>
  <c r="BH110" i="3"/>
  <c r="BH473" i="3" s="1"/>
  <c r="BH495" i="3" s="1"/>
  <c r="AF72" i="4"/>
  <c r="NV25" i="4"/>
  <c r="K41" i="2"/>
  <c r="JZ22" i="4"/>
  <c r="JZ23" i="4" s="1"/>
  <c r="AF65" i="4"/>
  <c r="AF69" i="4"/>
  <c r="AF40" i="4"/>
  <c r="AF57" i="4" s="1"/>
  <c r="G64" i="3"/>
  <c r="G65" i="3" s="1"/>
  <c r="G471" i="3" s="1"/>
  <c r="G493" i="3" s="1"/>
  <c r="C7" i="6"/>
  <c r="G125" i="3"/>
  <c r="G126" i="3" s="1"/>
  <c r="G474" i="3" s="1"/>
  <c r="G496" i="3" s="1"/>
  <c r="D7" i="6"/>
  <c r="TD96" i="4"/>
  <c r="TD98" i="4" s="1"/>
  <c r="D98" i="3"/>
  <c r="BH98" i="3"/>
  <c r="BG284" i="3"/>
  <c r="BA289" i="3"/>
  <c r="BA291" i="3" s="1"/>
  <c r="AK43" i="3"/>
  <c r="AK45" i="3" s="1"/>
  <c r="AK47" i="3" s="1"/>
  <c r="G19" i="2"/>
  <c r="I15" i="2"/>
  <c r="JH21" i="4"/>
  <c r="JH22" i="4" s="1"/>
  <c r="TM33" i="4"/>
  <c r="H76" i="4"/>
  <c r="N56" i="4"/>
  <c r="L62" i="4"/>
  <c r="AT22" i="4"/>
  <c r="GV37" i="5"/>
  <c r="BF43" i="3"/>
  <c r="BF45" i="3" s="1"/>
  <c r="BF47" i="3" s="1"/>
  <c r="TB96" i="4"/>
  <c r="TB98" i="4" s="1"/>
  <c r="H75" i="4"/>
  <c r="AR24" i="4"/>
  <c r="AP27" i="4"/>
  <c r="AF74" i="4"/>
  <c r="G70" i="3"/>
  <c r="TK34" i="4"/>
  <c r="N38" i="5"/>
  <c r="R72" i="4"/>
  <c r="AB58" i="4"/>
  <c r="AB59" i="4"/>
  <c r="F77" i="4"/>
  <c r="H74" i="4"/>
  <c r="J63" i="4"/>
  <c r="NH20" i="4"/>
  <c r="AN29" i="4"/>
  <c r="BX21" i="4"/>
  <c r="BW21" i="4" s="1"/>
  <c r="BW23" i="4" s="1"/>
  <c r="BZ16" i="4"/>
  <c r="K25" i="2"/>
  <c r="I28" i="2"/>
  <c r="Z75" i="4"/>
  <c r="D33" i="2"/>
  <c r="BH34" i="3"/>
  <c r="NF21" i="4"/>
  <c r="C6" i="7"/>
  <c r="G6" i="7" s="1"/>
  <c r="TM35" i="4"/>
  <c r="E289" i="3"/>
  <c r="E291" i="3" s="1"/>
  <c r="E481" i="3" s="1"/>
  <c r="E503" i="3" s="1"/>
  <c r="L40" i="5"/>
  <c r="L41" i="5" s="1"/>
  <c r="E104" i="3"/>
  <c r="D79" i="4"/>
  <c r="AT23" i="4"/>
  <c r="D141" i="3"/>
  <c r="D142" i="3" s="1"/>
  <c r="BH141" i="3"/>
  <c r="BH81" i="3"/>
  <c r="E81" i="4"/>
  <c r="E82" i="4" s="1"/>
  <c r="J41" i="5"/>
  <c r="AD57" i="4"/>
  <c r="V1" i="4"/>
  <c r="D194" i="3"/>
  <c r="BH133" i="3"/>
  <c r="Z59" i="4"/>
  <c r="GN30" i="4"/>
  <c r="GN31" i="4"/>
  <c r="BH209" i="3"/>
  <c r="D212" i="3"/>
  <c r="NV24" i="4"/>
  <c r="K36" i="2"/>
  <c r="JF21" i="4"/>
  <c r="JF22" i="4" s="1"/>
  <c r="AD66" i="4"/>
  <c r="D243" i="3"/>
  <c r="D232" i="3" s="1"/>
  <c r="D479" i="3" s="1"/>
  <c r="D501" i="3" s="1"/>
  <c r="BH237" i="3"/>
  <c r="K51" i="2"/>
  <c r="I58" i="2"/>
  <c r="G131" i="3"/>
  <c r="GL30" i="4"/>
  <c r="GL31" i="4" s="1"/>
  <c r="RT29" i="4"/>
  <c r="RT31" i="4" s="1"/>
  <c r="RR31" i="4"/>
  <c r="E228" i="3"/>
  <c r="E230" i="3" s="1"/>
  <c r="E478" i="3" s="1"/>
  <c r="E500" i="3" s="1"/>
  <c r="W1" i="4"/>
  <c r="E167" i="3"/>
  <c r="E169" i="3" s="1"/>
  <c r="E475" i="3" s="1"/>
  <c r="E497" i="3" s="1"/>
  <c r="D103" i="3"/>
  <c r="BH103" i="3"/>
  <c r="JX22" i="4"/>
  <c r="JX23" i="4" s="1"/>
  <c r="FT51" i="5"/>
  <c r="AK70" i="3" l="1"/>
  <c r="AK469" i="3"/>
  <c r="AK491" i="3" s="1"/>
  <c r="BA314" i="3"/>
  <c r="BA481" i="3"/>
  <c r="BA503" i="3" s="1"/>
  <c r="AB70" i="3"/>
  <c r="AB469" i="3"/>
  <c r="AB491" i="3" s="1"/>
  <c r="BF70" i="3"/>
  <c r="BF469" i="3"/>
  <c r="BF491" i="3" s="1"/>
  <c r="BF1" i="3"/>
  <c r="G7" i="6"/>
  <c r="D81" i="4"/>
  <c r="D82" i="4" s="1"/>
  <c r="E308" i="3"/>
  <c r="H5" i="6"/>
  <c r="E314" i="3"/>
  <c r="Z76" i="4"/>
  <c r="F79" i="4"/>
  <c r="AP29" i="4"/>
  <c r="L63" i="4"/>
  <c r="D159" i="3"/>
  <c r="BH159" i="3"/>
  <c r="D220" i="3" s="1"/>
  <c r="BH220" i="3" s="1"/>
  <c r="D281" i="3" s="1"/>
  <c r="BH281" i="3" s="1"/>
  <c r="E186" i="3"/>
  <c r="E5" i="6"/>
  <c r="E192" i="3"/>
  <c r="E43" i="3"/>
  <c r="BZ21" i="4"/>
  <c r="BY21" i="4" s="1"/>
  <c r="BY23" i="4" s="1"/>
  <c r="CB16" i="4"/>
  <c r="NH21" i="4"/>
  <c r="AT24" i="4"/>
  <c r="P56" i="4"/>
  <c r="N62" i="4"/>
  <c r="K15" i="2"/>
  <c r="I19" i="2"/>
  <c r="AF58" i="4"/>
  <c r="AB64" i="3"/>
  <c r="AB65" i="3" s="1"/>
  <c r="AB471" i="3" s="1"/>
  <c r="AB493" i="3" s="1"/>
  <c r="C28" i="6"/>
  <c r="G28" i="6" s="1"/>
  <c r="D298" i="3"/>
  <c r="BH243" i="3"/>
  <c r="BW24" i="4"/>
  <c r="BX23" i="4"/>
  <c r="I43" i="3"/>
  <c r="I45" i="3" s="1"/>
  <c r="I47" i="3" s="1"/>
  <c r="I469" i="3" s="1"/>
  <c r="I491" i="3" s="1"/>
  <c r="BF64" i="3"/>
  <c r="BF65" i="3" s="1"/>
  <c r="BF471" i="3" s="1"/>
  <c r="BF493" i="3" s="1"/>
  <c r="C52" i="6"/>
  <c r="G52" i="6" s="1"/>
  <c r="AF66" i="4"/>
  <c r="H77" i="4"/>
  <c r="J74" i="4"/>
  <c r="NX25" i="4"/>
  <c r="E106" i="3"/>
  <c r="E108" i="3" s="1"/>
  <c r="E472" i="3" s="1"/>
  <c r="E494" i="3" s="1"/>
  <c r="TO35" i="4"/>
  <c r="E33" i="2"/>
  <c r="AN30" i="4"/>
  <c r="J76" i="4"/>
  <c r="C7" i="7"/>
  <c r="D260" i="3"/>
  <c r="TM34" i="4"/>
  <c r="J75" i="4"/>
  <c r="AK64" i="3"/>
  <c r="AK65" i="3" s="1"/>
  <c r="AK471" i="3" s="1"/>
  <c r="AK493" i="3" s="1"/>
  <c r="C37" i="6"/>
  <c r="G37" i="6" s="1"/>
  <c r="D164" i="3"/>
  <c r="BH164" i="3"/>
  <c r="D225" i="3" s="1"/>
  <c r="BH225" i="3" s="1"/>
  <c r="D286" i="3" s="1"/>
  <c r="BH286" i="3" s="1"/>
  <c r="NX24" i="4"/>
  <c r="D95" i="3"/>
  <c r="BH95" i="3"/>
  <c r="E247" i="3"/>
  <c r="F5" i="6"/>
  <c r="E253" i="3"/>
  <c r="D270" i="3"/>
  <c r="BH212" i="3"/>
  <c r="D202" i="3"/>
  <c r="BH142" i="3"/>
  <c r="BH194" i="3"/>
  <c r="D255" i="3"/>
  <c r="M25" i="2"/>
  <c r="K28" i="2"/>
  <c r="AB75" i="4"/>
  <c r="AV22" i="4"/>
  <c r="TO33" i="4"/>
  <c r="D7" i="7"/>
  <c r="BA247" i="3"/>
  <c r="BA248" i="3" s="1"/>
  <c r="BA480" i="3" s="1"/>
  <c r="BA502" i="3" s="1"/>
  <c r="F47" i="6"/>
  <c r="G47" i="6" s="1"/>
  <c r="BA253" i="3"/>
  <c r="L39" i="2"/>
  <c r="M51" i="2"/>
  <c r="K58" i="2"/>
  <c r="M36" i="2"/>
  <c r="AD58" i="4"/>
  <c r="AD59" i="4" s="1"/>
  <c r="AV23" i="4"/>
  <c r="N40" i="5"/>
  <c r="N41" i="5" s="1"/>
  <c r="AR25" i="4"/>
  <c r="BA308" i="3"/>
  <c r="BA309" i="3" s="1"/>
  <c r="BA483" i="3" s="1"/>
  <c r="BA505" i="3" s="1"/>
  <c r="H47" i="6"/>
  <c r="M41" i="2"/>
  <c r="BH223" i="3"/>
  <c r="D284" i="3" s="1"/>
  <c r="BH284" i="3" s="1"/>
  <c r="J39" i="2"/>
  <c r="I70" i="3" l="1"/>
  <c r="E248" i="3"/>
  <c r="E480" i="3" s="1"/>
  <c r="E502" i="3" s="1"/>
  <c r="AF75" i="4"/>
  <c r="AB76" i="4"/>
  <c r="H48" i="7"/>
  <c r="AD75" i="4"/>
  <c r="D156" i="3"/>
  <c r="BH156" i="3"/>
  <c r="C37" i="7"/>
  <c r="G37" i="7" s="1"/>
  <c r="AF59" i="4"/>
  <c r="E187" i="3"/>
  <c r="E477" i="3" s="1"/>
  <c r="E499" i="3" s="1"/>
  <c r="E125" i="3"/>
  <c r="D5" i="6"/>
  <c r="E131" i="3"/>
  <c r="BX24" i="4"/>
  <c r="BZ23" i="4"/>
  <c r="BH260" i="3"/>
  <c r="BH232" i="3"/>
  <c r="BH479" i="3" s="1"/>
  <c r="BH501" i="3" s="1"/>
  <c r="CB21" i="4"/>
  <c r="CA21" i="4" s="1"/>
  <c r="CA23" i="4" s="1"/>
  <c r="CD16" i="4"/>
  <c r="F81" i="4"/>
  <c r="F82" i="4" s="1"/>
  <c r="M58" i="2"/>
  <c r="AV24" i="4"/>
  <c r="M28" i="2"/>
  <c r="BH270" i="3"/>
  <c r="BH273" i="3" s="1"/>
  <c r="D273" i="3"/>
  <c r="NZ24" i="4"/>
  <c r="G7" i="7"/>
  <c r="NZ25" i="4"/>
  <c r="C53" i="7"/>
  <c r="G53" i="7" s="1"/>
  <c r="D304" i="3"/>
  <c r="D293" i="3" s="1"/>
  <c r="D482" i="3" s="1"/>
  <c r="D504" i="3" s="1"/>
  <c r="BH298" i="3"/>
  <c r="BH304" i="3" s="1"/>
  <c r="K19" i="2"/>
  <c r="M15" i="2"/>
  <c r="BY24" i="4"/>
  <c r="I104" i="3"/>
  <c r="E309" i="3"/>
  <c r="E483" i="3" s="1"/>
  <c r="E505" i="3" s="1"/>
  <c r="BH202" i="3"/>
  <c r="D203" i="3"/>
  <c r="TQ33" i="4"/>
  <c r="K39" i="2"/>
  <c r="F48" i="7"/>
  <c r="G48" i="7" s="1"/>
  <c r="AX22" i="4"/>
  <c r="TO34" i="4"/>
  <c r="G33" i="2"/>
  <c r="N63" i="4"/>
  <c r="BG43" i="3"/>
  <c r="E45" i="3"/>
  <c r="E47" i="3" s="1"/>
  <c r="E469" i="3" s="1"/>
  <c r="E491" i="3" s="1"/>
  <c r="H79" i="4"/>
  <c r="AP30" i="4"/>
  <c r="AR27" i="4"/>
  <c r="L75" i="4"/>
  <c r="AX23" i="4"/>
  <c r="BH255" i="3"/>
  <c r="C12" i="1"/>
  <c r="C15" i="1" s="1"/>
  <c r="AT25" i="4"/>
  <c r="L76" i="4"/>
  <c r="TQ35" i="4"/>
  <c r="J77" i="4"/>
  <c r="L74" i="4"/>
  <c r="I64" i="3"/>
  <c r="I65" i="3" s="1"/>
  <c r="I471" i="3" s="1"/>
  <c r="I493" i="3" s="1"/>
  <c r="C9" i="6"/>
  <c r="C28" i="7"/>
  <c r="G28" i="7" s="1"/>
  <c r="R56" i="4"/>
  <c r="R62" i="4" s="1"/>
  <c r="R63" i="4" s="1"/>
  <c r="P62" i="4"/>
  <c r="P63" i="4" s="1"/>
  <c r="D316" i="3" l="1"/>
  <c r="N76" i="4"/>
  <c r="CA24" i="4"/>
  <c r="I165" i="3"/>
  <c r="I33" i="2"/>
  <c r="C9" i="7"/>
  <c r="N75" i="4"/>
  <c r="M19" i="2"/>
  <c r="AB77" i="4"/>
  <c r="AT27" i="4"/>
  <c r="J79" i="4"/>
  <c r="E64" i="3"/>
  <c r="C5" i="6"/>
  <c r="E70" i="3"/>
  <c r="M39" i="2"/>
  <c r="H5" i="7"/>
  <c r="BH293" i="3"/>
  <c r="BH482" i="3" s="1"/>
  <c r="BH504" i="3" s="1"/>
  <c r="BH316" i="3"/>
  <c r="D12" i="1"/>
  <c r="AF76" i="4"/>
  <c r="L77" i="4"/>
  <c r="N74" i="4"/>
  <c r="TQ34" i="4"/>
  <c r="AR29" i="4"/>
  <c r="AR30" i="4" s="1"/>
  <c r="BH43" i="3"/>
  <c r="D42" i="2"/>
  <c r="BG45" i="3"/>
  <c r="BG47" i="3" s="1"/>
  <c r="BG469" i="3" s="1"/>
  <c r="BG491" i="3" s="1"/>
  <c r="H81" i="4"/>
  <c r="H82" i="4" s="1"/>
  <c r="E126" i="3"/>
  <c r="E474" i="3" s="1"/>
  <c r="E496" i="3" s="1"/>
  <c r="AD76" i="4"/>
  <c r="D217" i="3"/>
  <c r="F5" i="7"/>
  <c r="AX24" i="4"/>
  <c r="AX25" i="4" s="1"/>
  <c r="E5" i="7"/>
  <c r="D263" i="3"/>
  <c r="BH203" i="3"/>
  <c r="AV25" i="4"/>
  <c r="I106" i="3"/>
  <c r="I108" i="3" s="1"/>
  <c r="BG104" i="3"/>
  <c r="CD21" i="4"/>
  <c r="CC21" i="4" s="1"/>
  <c r="CC23" i="4" s="1"/>
  <c r="CF16" i="4"/>
  <c r="CF21" i="4" s="1"/>
  <c r="BZ24" i="4"/>
  <c r="CB23" i="4"/>
  <c r="I131" i="3" l="1"/>
  <c r="I472" i="3"/>
  <c r="I494" i="3" s="1"/>
  <c r="CE21" i="4"/>
  <c r="CE23" i="4" s="1"/>
  <c r="CE24" i="4" s="1"/>
  <c r="D5" i="7"/>
  <c r="P75" i="4"/>
  <c r="R75" i="4" s="1"/>
  <c r="BH104" i="3"/>
  <c r="F42" i="2"/>
  <c r="BG106" i="3"/>
  <c r="BG108" i="3" s="1"/>
  <c r="BG472" i="3" s="1"/>
  <c r="BG494" i="3" s="1"/>
  <c r="TS34" i="4"/>
  <c r="AT29" i="4"/>
  <c r="AT30" i="4"/>
  <c r="I167" i="3"/>
  <c r="I169" i="3" s="1"/>
  <c r="BG165" i="3"/>
  <c r="AF77" i="4"/>
  <c r="BH217" i="3"/>
  <c r="AX27" i="4"/>
  <c r="G5" i="6"/>
  <c r="C54" i="6"/>
  <c r="D4" i="6" s="1"/>
  <c r="P76" i="4"/>
  <c r="R76" i="4" s="1"/>
  <c r="D15" i="1"/>
  <c r="CB24" i="4"/>
  <c r="CD23" i="4"/>
  <c r="AV27" i="4"/>
  <c r="AD77" i="4"/>
  <c r="E42" i="2"/>
  <c r="D44" i="2"/>
  <c r="D45" i="2"/>
  <c r="D47" i="2" s="1"/>
  <c r="D62" i="2" s="1"/>
  <c r="D65" i="2" s="1"/>
  <c r="N77" i="4"/>
  <c r="P74" i="4"/>
  <c r="D104" i="3"/>
  <c r="D106" i="3" s="1"/>
  <c r="D108" i="3" s="1"/>
  <c r="D472" i="3" s="1"/>
  <c r="D494" i="3" s="1"/>
  <c r="BH45" i="3"/>
  <c r="BH47" i="3" s="1"/>
  <c r="BH469" i="3" s="1"/>
  <c r="BH491" i="3" s="1"/>
  <c r="L79" i="4"/>
  <c r="E65" i="3"/>
  <c r="E471" i="3" s="1"/>
  <c r="E493" i="3" s="1"/>
  <c r="BG64" i="3"/>
  <c r="BG65" i="3" s="1"/>
  <c r="BG471" i="3" s="1"/>
  <c r="BG493" i="3" s="1"/>
  <c r="NV21" i="4"/>
  <c r="K33" i="2"/>
  <c r="BH263" i="3"/>
  <c r="BH264" i="3" s="1"/>
  <c r="D264" i="3"/>
  <c r="J81" i="4"/>
  <c r="J82" i="4" s="1"/>
  <c r="I125" i="3"/>
  <c r="D9" i="6"/>
  <c r="CC24" i="4"/>
  <c r="I226" i="3"/>
  <c r="I192" i="3" l="1"/>
  <c r="I475" i="3"/>
  <c r="I497" i="3" s="1"/>
  <c r="I287" i="3"/>
  <c r="I289" i="3" s="1"/>
  <c r="I291" i="3" s="1"/>
  <c r="I481" i="3" s="1"/>
  <c r="I503" i="3" s="1"/>
  <c r="D165" i="3"/>
  <c r="D167" i="3" s="1"/>
  <c r="D169" i="3" s="1"/>
  <c r="D475" i="3" s="1"/>
  <c r="D497" i="3" s="1"/>
  <c r="BH106" i="3"/>
  <c r="BH108" i="3" s="1"/>
  <c r="BH472" i="3" s="1"/>
  <c r="BH494" i="3" s="1"/>
  <c r="D278" i="3"/>
  <c r="L81" i="4"/>
  <c r="L82" i="4" s="1"/>
  <c r="I228" i="3"/>
  <c r="I230" i="3" s="1"/>
  <c r="BG226" i="3"/>
  <c r="M33" i="2"/>
  <c r="P77" i="4"/>
  <c r="P79" i="4" s="1"/>
  <c r="R74" i="4"/>
  <c r="R77" i="4" s="1"/>
  <c r="R79" i="4" s="1"/>
  <c r="AV29" i="4"/>
  <c r="AV30" i="4" s="1"/>
  <c r="TS35" i="4"/>
  <c r="N79" i="4"/>
  <c r="I186" i="3"/>
  <c r="E9" i="6"/>
  <c r="CF23" i="4"/>
  <c r="CF24" i="4" s="1"/>
  <c r="CD24" i="4"/>
  <c r="AX29" i="4"/>
  <c r="I126" i="3"/>
  <c r="I474" i="3" s="1"/>
  <c r="I496" i="3" s="1"/>
  <c r="BG125" i="3"/>
  <c r="G42" i="2"/>
  <c r="E44" i="2"/>
  <c r="E45" i="2"/>
  <c r="E47" i="2" s="1"/>
  <c r="BH51" i="3"/>
  <c r="BH64" i="3"/>
  <c r="BH65" i="3" s="1"/>
  <c r="BH471" i="3" s="1"/>
  <c r="BH493" i="3" s="1"/>
  <c r="D112" i="3"/>
  <c r="D125" i="3"/>
  <c r="D126" i="3" s="1"/>
  <c r="D474" i="3" s="1"/>
  <c r="D496" i="3" s="1"/>
  <c r="NX21" i="4"/>
  <c r="NV26" i="4"/>
  <c r="NV28" i="4" s="1"/>
  <c r="NV31" i="4" s="1"/>
  <c r="D54" i="6"/>
  <c r="E4" i="6" s="1"/>
  <c r="C5" i="7"/>
  <c r="H42" i="2"/>
  <c r="BH165" i="3"/>
  <c r="BG167" i="3"/>
  <c r="BG169" i="3" s="1"/>
  <c r="BG475" i="3" s="1"/>
  <c r="BG497" i="3" s="1"/>
  <c r="F45" i="2"/>
  <c r="F47" i="2" s="1"/>
  <c r="F62" i="2" s="1"/>
  <c r="F65" i="2" s="1"/>
  <c r="F44" i="2"/>
  <c r="I253" i="3" l="1"/>
  <c r="I478" i="3"/>
  <c r="I500" i="3" s="1"/>
  <c r="BG287" i="3"/>
  <c r="L42" i="2" s="1"/>
  <c r="E54" i="6"/>
  <c r="F4" i="6" s="1"/>
  <c r="BH278" i="3"/>
  <c r="I42" i="2"/>
  <c r="G44" i="2"/>
  <c r="G45" i="2"/>
  <c r="G47" i="2" s="1"/>
  <c r="H44" i="2"/>
  <c r="H45" i="2"/>
  <c r="H47" i="2" s="1"/>
  <c r="H62" i="2" s="1"/>
  <c r="H65" i="2" s="1"/>
  <c r="I187" i="3"/>
  <c r="I477" i="3" s="1"/>
  <c r="I499" i="3" s="1"/>
  <c r="BG186" i="3"/>
  <c r="BH112" i="3"/>
  <c r="BH125" i="3"/>
  <c r="BH126" i="3" s="1"/>
  <c r="BH474" i="3" s="1"/>
  <c r="BH496" i="3" s="1"/>
  <c r="I308" i="3"/>
  <c r="H9" i="6"/>
  <c r="D226" i="3"/>
  <c r="D228" i="3" s="1"/>
  <c r="D230" i="3" s="1"/>
  <c r="D478" i="3" s="1"/>
  <c r="D500" i="3" s="1"/>
  <c r="BH167" i="3"/>
  <c r="BH169" i="3" s="1"/>
  <c r="BH475" i="3" s="1"/>
  <c r="BH497" i="3" s="1"/>
  <c r="D9" i="7"/>
  <c r="BG126" i="3"/>
  <c r="BG474" i="3" s="1"/>
  <c r="BG496" i="3" s="1"/>
  <c r="AX30" i="4"/>
  <c r="D173" i="3"/>
  <c r="D186" i="3"/>
  <c r="D187" i="3" s="1"/>
  <c r="D477" i="3" s="1"/>
  <c r="D499" i="3" s="1"/>
  <c r="NZ21" i="4"/>
  <c r="NX26" i="4"/>
  <c r="NX28" i="4" s="1"/>
  <c r="NX31" i="4" s="1"/>
  <c r="G5" i="7"/>
  <c r="C55" i="7"/>
  <c r="D4" i="7" s="1"/>
  <c r="J42" i="2"/>
  <c r="BG228" i="3"/>
  <c r="BG230" i="3" s="1"/>
  <c r="BG478" i="3" s="1"/>
  <c r="BG500" i="3" s="1"/>
  <c r="E49" i="2"/>
  <c r="D132" i="3"/>
  <c r="E62" i="2"/>
  <c r="E65" i="2" s="1"/>
  <c r="BH71" i="3"/>
  <c r="I247" i="3"/>
  <c r="F9" i="6"/>
  <c r="G9" i="6" s="1"/>
  <c r="G54" i="6" s="1"/>
  <c r="H4" i="6" s="1"/>
  <c r="NV32" i="4"/>
  <c r="NV33" i="4" s="1"/>
  <c r="I314" i="3"/>
  <c r="N81" i="4"/>
  <c r="N82" i="4" s="1"/>
  <c r="BG289" i="3" l="1"/>
  <c r="BG291" i="3" s="1"/>
  <c r="BG481" i="3" s="1"/>
  <c r="BG503" i="3" s="1"/>
  <c r="D55" i="7"/>
  <c r="E4" i="7" s="1"/>
  <c r="H54" i="6"/>
  <c r="BH226" i="3"/>
  <c r="BH228" i="3" s="1"/>
  <c r="BH230" i="3" s="1"/>
  <c r="BH478" i="3" s="1"/>
  <c r="BH500" i="3" s="1"/>
  <c r="D247" i="3"/>
  <c r="D248" i="3" s="1"/>
  <c r="D480" i="3" s="1"/>
  <c r="D502" i="3" s="1"/>
  <c r="D234" i="3"/>
  <c r="I309" i="3"/>
  <c r="I483" i="3" s="1"/>
  <c r="I505" i="3" s="1"/>
  <c r="BG308" i="3"/>
  <c r="BG309" i="3" s="1"/>
  <c r="BG483" i="3" s="1"/>
  <c r="BG505" i="3" s="1"/>
  <c r="K42" i="2"/>
  <c r="I44" i="2"/>
  <c r="I45" i="2"/>
  <c r="I47" i="2" s="1"/>
  <c r="NX32" i="4"/>
  <c r="NX33" i="4" s="1"/>
  <c r="D193" i="3"/>
  <c r="G49" i="2"/>
  <c r="BH132" i="3"/>
  <c r="G62" i="2"/>
  <c r="G65" i="2" s="1"/>
  <c r="NZ26" i="4"/>
  <c r="NZ28" i="4" s="1"/>
  <c r="NZ31" i="4" s="1"/>
  <c r="L44" i="2"/>
  <c r="L45" i="2"/>
  <c r="BH128" i="3"/>
  <c r="E9" i="7"/>
  <c r="BG187" i="3"/>
  <c r="BG477" i="3" s="1"/>
  <c r="BG499" i="3" s="1"/>
  <c r="P81" i="4"/>
  <c r="F54" i="6"/>
  <c r="I248" i="3"/>
  <c r="I480" i="3" s="1"/>
  <c r="I502" i="3" s="1"/>
  <c r="BG247" i="3"/>
  <c r="BG248" i="3" s="1"/>
  <c r="BG480" i="3" s="1"/>
  <c r="BG502" i="3" s="1"/>
  <c r="J45" i="2"/>
  <c r="BH186" i="3"/>
  <c r="BH187" i="3" s="1"/>
  <c r="BH477" i="3" s="1"/>
  <c r="BH499" i="3" s="1"/>
  <c r="BH173" i="3"/>
  <c r="E55" i="7" l="1"/>
  <c r="F4" i="7" s="1"/>
  <c r="D287" i="3"/>
  <c r="BH287" i="3" s="1"/>
  <c r="BH289" i="3" s="1"/>
  <c r="BH291" i="3" s="1"/>
  <c r="BH481" i="3" s="1"/>
  <c r="BH503" i="3" s="1"/>
  <c r="L47" i="2"/>
  <c r="F9" i="7"/>
  <c r="M42" i="2"/>
  <c r="K44" i="2"/>
  <c r="K45" i="2"/>
  <c r="BH247" i="3"/>
  <c r="BH248" i="3" s="1"/>
  <c r="BH480" i="3" s="1"/>
  <c r="BH502" i="3" s="1"/>
  <c r="BH234" i="3"/>
  <c r="H9" i="7"/>
  <c r="BH193" i="3"/>
  <c r="D254" i="3"/>
  <c r="I62" i="2"/>
  <c r="I65" i="2" s="1"/>
  <c r="I49" i="2"/>
  <c r="J47" i="2"/>
  <c r="R81" i="4"/>
  <c r="R82" i="4" s="1"/>
  <c r="P82" i="4"/>
  <c r="BH189" i="3"/>
  <c r="NZ32" i="4"/>
  <c r="NZ33" i="4" s="1"/>
  <c r="F55" i="7" l="1"/>
  <c r="D289" i="3"/>
  <c r="D291" i="3" s="1"/>
  <c r="BH250" i="3"/>
  <c r="M45" i="2"/>
  <c r="M44" i="2"/>
  <c r="L62" i="2"/>
  <c r="J62" i="2"/>
  <c r="G9" i="7"/>
  <c r="G55" i="7" s="1"/>
  <c r="G57" i="7" s="1"/>
  <c r="BH308" i="3"/>
  <c r="BH309" i="3" s="1"/>
  <c r="BH483" i="3" s="1"/>
  <c r="BH505" i="3" s="1"/>
  <c r="BH295" i="3"/>
  <c r="K47" i="2"/>
  <c r="D295" i="3" l="1"/>
  <c r="D481" i="3"/>
  <c r="D503" i="3" s="1"/>
  <c r="D308" i="3"/>
  <c r="D309" i="3" s="1"/>
  <c r="D483" i="3" s="1"/>
  <c r="D505" i="3" s="1"/>
  <c r="H54" i="7"/>
  <c r="H55" i="7" s="1"/>
  <c r="H57" i="7" s="1"/>
  <c r="BH311" i="3"/>
  <c r="L65" i="2"/>
  <c r="D315" i="3"/>
  <c r="BH254" i="3"/>
  <c r="K62" i="2"/>
  <c r="K49" i="2"/>
  <c r="C17" i="1"/>
  <c r="M47" i="2"/>
  <c r="J65" i="2"/>
  <c r="K65" i="2" l="1"/>
  <c r="BH315" i="3"/>
  <c r="D17" i="1"/>
  <c r="M62" i="2"/>
  <c r="M49" i="2"/>
  <c r="C18" i="1"/>
  <c r="C21" i="1" s="1"/>
  <c r="C23" i="1" s="1"/>
  <c r="M65" i="2" l="1"/>
  <c r="K71" i="2"/>
  <c r="D18" i="1"/>
  <c r="D21" i="1" s="1"/>
  <c r="D23" i="1" s="1"/>
  <c r="C41" i="1"/>
  <c r="D43" i="1" l="1"/>
  <c r="D41" i="1"/>
  <c r="K76" i="2"/>
  <c r="K81" i="2"/>
  <c r="C43" i="1"/>
  <c r="M71" i="2"/>
  <c r="K75" i="2" l="1"/>
  <c r="M81" i="2"/>
  <c r="M76" i="2"/>
  <c r="M75" i="2" l="1"/>
  <c r="H41" i="15" l="1"/>
  <c r="F41" i="15"/>
  <c r="G41" i="15" s="1"/>
  <c r="I32" i="15" l="1"/>
  <c r="F39" i="15" l="1"/>
  <c r="C39" i="15" l="1"/>
  <c r="G39" i="15" s="1"/>
  <c r="N33" i="11" l="1"/>
  <c r="C32" i="15"/>
  <c r="I45" i="15"/>
  <c r="N41" i="11"/>
  <c r="L45" i="15"/>
  <c r="L8" i="15"/>
  <c r="K8" i="15"/>
  <c r="J8" i="15"/>
  <c r="M8" i="15" s="1"/>
  <c r="J43" i="15"/>
  <c r="D56" i="11"/>
  <c r="E56" i="11" s="1"/>
  <c r="G56" i="11" s="1"/>
  <c r="I56" i="11" s="1"/>
  <c r="K56" i="11" s="1"/>
  <c r="M56" i="11" s="1"/>
  <c r="D55" i="11"/>
  <c r="E55" i="11" s="1"/>
  <c r="G55" i="11" s="1"/>
  <c r="I55" i="11" s="1"/>
  <c r="K55" i="11" s="1"/>
  <c r="M55" i="11" s="1"/>
  <c r="N36" i="11" l="1"/>
  <c r="C45" i="15"/>
  <c r="H29" i="15"/>
  <c r="F29" i="15"/>
  <c r="E29" i="15"/>
  <c r="D29" i="15"/>
  <c r="H19" i="15"/>
  <c r="C19" i="15"/>
  <c r="G19" i="15" s="1"/>
  <c r="F45" i="15"/>
  <c r="C29" i="15"/>
  <c r="L32" i="15"/>
  <c r="N32" i="15"/>
  <c r="K32" i="15"/>
  <c r="J32" i="15"/>
  <c r="M32" i="15" s="1"/>
  <c r="F32" i="15"/>
  <c r="E32" i="15"/>
  <c r="I23" i="15"/>
  <c r="L30" i="15"/>
  <c r="C17" i="15"/>
  <c r="G17" i="15" s="1"/>
  <c r="G29" i="15" l="1"/>
  <c r="M23" i="15"/>
  <c r="C10" i="15"/>
  <c r="G10" i="15" s="1"/>
  <c r="D18" i="15"/>
  <c r="E38" i="15"/>
  <c r="C43" i="15"/>
  <c r="C18" i="15"/>
  <c r="F43" i="15"/>
  <c r="H18" i="11"/>
  <c r="J18" i="11"/>
  <c r="H32" i="15"/>
  <c r="D32" i="15"/>
  <c r="G32" i="15" s="1"/>
  <c r="D38" i="15"/>
  <c r="C11" i="15"/>
  <c r="G11" i="15" s="1"/>
  <c r="C12" i="15"/>
  <c r="G12" i="15" s="1"/>
  <c r="F18" i="11"/>
  <c r="J30" i="15"/>
  <c r="L18" i="11"/>
  <c r="C21" i="15"/>
  <c r="G21" i="15" s="1"/>
  <c r="N15" i="11" l="1"/>
  <c r="N19" i="11" s="1"/>
  <c r="N42" i="11"/>
  <c r="G18" i="15"/>
  <c r="D28" i="15"/>
  <c r="F28" i="15"/>
  <c r="C14" i="15"/>
  <c r="G14" i="15" s="1"/>
  <c r="C38" i="15"/>
  <c r="Q85" i="11"/>
  <c r="C44" i="15"/>
  <c r="K30" i="15"/>
  <c r="M30" i="15" s="1"/>
  <c r="N30" i="15"/>
  <c r="N45" i="11" l="1"/>
  <c r="N44" i="11"/>
  <c r="P15" i="11"/>
  <c r="N47" i="11"/>
  <c r="N62" i="11" s="1"/>
  <c r="C13" i="15"/>
  <c r="O84" i="11"/>
  <c r="D13" i="15"/>
  <c r="G13" i="15" l="1"/>
  <c r="P19" i="11"/>
  <c r="P47" i="11" s="1"/>
  <c r="P62" i="11" s="1"/>
  <c r="Q15" i="11"/>
  <c r="Q19" i="11" s="1"/>
  <c r="Q47" i="11" s="1"/>
  <c r="D18" i="11"/>
  <c r="E18" i="11" s="1"/>
  <c r="G18" i="11" s="1"/>
  <c r="I18" i="11" s="1"/>
  <c r="K18" i="11" s="1"/>
  <c r="M18" i="11" s="1"/>
  <c r="Q62" i="11" l="1"/>
  <c r="BB437" i="17"/>
  <c r="C16" i="15"/>
  <c r="G16" i="15" s="1"/>
  <c r="D35" i="11" l="1"/>
  <c r="E35" i="11" s="1"/>
  <c r="G35" i="11" s="1"/>
  <c r="I35" i="11" s="1"/>
  <c r="NX21" i="13" l="1"/>
  <c r="NZ21" i="13" s="1"/>
  <c r="OB21" i="13" s="1"/>
  <c r="D31" i="11"/>
  <c r="E31" i="11" s="1"/>
  <c r="G31" i="11" s="1"/>
  <c r="C22" i="15" l="1"/>
  <c r="G22" i="15" s="1"/>
  <c r="J35" i="11"/>
  <c r="K35" i="11" s="1"/>
  <c r="L35" i="11" l="1"/>
  <c r="M35" i="11" s="1"/>
  <c r="C20" i="15" l="1"/>
  <c r="G20" i="15" s="1"/>
  <c r="I43" i="15" l="1"/>
  <c r="M43" i="15" s="1"/>
  <c r="D53" i="11" l="1"/>
  <c r="E53" i="11" s="1"/>
  <c r="I38" i="15" l="1"/>
  <c r="J38" i="15"/>
  <c r="K38" i="15" l="1"/>
  <c r="F38" i="15" l="1"/>
  <c r="G38" i="15" s="1"/>
  <c r="L38" i="15"/>
  <c r="M38" i="15" s="1"/>
  <c r="H38" i="15" l="1"/>
  <c r="N38" i="15"/>
  <c r="K45" i="15" l="1"/>
  <c r="E45" i="15"/>
  <c r="D45" i="15"/>
  <c r="G45" i="15" l="1"/>
  <c r="J45" i="15"/>
  <c r="M45" i="15" s="1"/>
  <c r="D25" i="11" l="1"/>
  <c r="D28" i="11" l="1"/>
  <c r="E25" i="11"/>
  <c r="G25" i="11" l="1"/>
  <c r="E28" i="11"/>
  <c r="I25" i="11" l="1"/>
  <c r="G28" i="11"/>
  <c r="K25" i="11" l="1"/>
  <c r="I28" i="11"/>
  <c r="M25" i="11" l="1"/>
  <c r="M28" i="11" s="1"/>
  <c r="K28" i="11"/>
  <c r="E34" i="15" l="1"/>
  <c r="H35" i="15"/>
  <c r="D34" i="15"/>
  <c r="F35" i="15"/>
  <c r="F34" i="15"/>
  <c r="D35" i="15"/>
  <c r="F33" i="15"/>
  <c r="E35" i="15"/>
  <c r="H34" i="15"/>
  <c r="E33" i="15"/>
  <c r="H36" i="15"/>
  <c r="G35" i="15" l="1"/>
  <c r="G34" i="15"/>
  <c r="J36" i="15"/>
  <c r="K35" i="15"/>
  <c r="J33" i="15"/>
  <c r="D36" i="15"/>
  <c r="G36" i="15" s="1"/>
  <c r="D33" i="15"/>
  <c r="G33" i="15" s="1"/>
  <c r="L35" i="15"/>
  <c r="N35" i="15"/>
  <c r="E36" i="15"/>
  <c r="J35" i="15"/>
  <c r="N33" i="15"/>
  <c r="F36" i="15"/>
  <c r="H33" i="15"/>
  <c r="M35" i="15" l="1"/>
  <c r="L36" i="15"/>
  <c r="N34" i="15"/>
  <c r="N36" i="15"/>
  <c r="K33" i="15"/>
  <c r="M33" i="15" s="1"/>
  <c r="K34" i="15"/>
  <c r="J34" i="15"/>
  <c r="K36" i="15"/>
  <c r="M36" i="15" s="1"/>
  <c r="L33" i="15"/>
  <c r="L34" i="15" l="1"/>
  <c r="M34" i="15" s="1"/>
  <c r="F43" i="11" l="1"/>
  <c r="G43" i="11" s="1"/>
  <c r="D8" i="15"/>
  <c r="J43" i="11" l="1"/>
  <c r="F8" i="15"/>
  <c r="H43" i="11"/>
  <c r="I43" i="11" s="1"/>
  <c r="K43" i="11" s="1"/>
  <c r="E8" i="15"/>
  <c r="L43" i="11"/>
  <c r="H8" i="15"/>
  <c r="M43" i="11" l="1"/>
  <c r="C8" i="15"/>
  <c r="G8" i="15" s="1"/>
  <c r="D40" i="11" l="1"/>
  <c r="E40" i="11" s="1"/>
  <c r="C40" i="15" l="1"/>
  <c r="J40" i="15" l="1"/>
  <c r="H51" i="11" l="1"/>
  <c r="K40" i="15" l="1"/>
  <c r="F40" i="15" l="1"/>
  <c r="G40" i="15" s="1"/>
  <c r="L40" i="15"/>
  <c r="M40" i="15" s="1"/>
  <c r="J51" i="11"/>
  <c r="N40" i="15" l="1"/>
  <c r="D51" i="11" l="1"/>
  <c r="E51" i="11" l="1"/>
  <c r="F51" i="11"/>
  <c r="I28" i="15"/>
  <c r="G51" i="11" l="1"/>
  <c r="J28" i="15"/>
  <c r="M28" i="15" s="1"/>
  <c r="I51" i="11" l="1"/>
  <c r="K51" i="11" l="1"/>
  <c r="I27" i="15" l="1"/>
  <c r="J27" i="15"/>
  <c r="M27" i="15" l="1"/>
  <c r="D38" i="11"/>
  <c r="E38" i="11" s="1"/>
  <c r="C24" i="15" l="1"/>
  <c r="G24" i="15" s="1"/>
  <c r="D52" i="11" l="1"/>
  <c r="D54" i="11"/>
  <c r="E54" i="11" s="1"/>
  <c r="E52" i="11" l="1"/>
  <c r="D58" i="11"/>
  <c r="E58" i="11" l="1"/>
  <c r="E85" i="11"/>
  <c r="I24" i="15"/>
  <c r="BY16" i="13" l="1"/>
  <c r="BB72" i="17"/>
  <c r="M24" i="15"/>
  <c r="I46" i="15"/>
  <c r="J4" i="15" s="1"/>
  <c r="BZ16" i="13"/>
  <c r="BY21" i="13"/>
  <c r="BY23" i="13" s="1"/>
  <c r="I43" i="17" s="1"/>
  <c r="BA43" i="17" l="1"/>
  <c r="I45" i="17"/>
  <c r="I47" i="17" s="1"/>
  <c r="I64" i="17" s="1"/>
  <c r="BZ23" i="13"/>
  <c r="BY24" i="13"/>
  <c r="I70" i="17" s="1"/>
  <c r="BZ21" i="13"/>
  <c r="I65" i="17" l="1"/>
  <c r="BA64" i="17"/>
  <c r="BA65" i="17" s="1"/>
  <c r="BB43" i="17"/>
  <c r="BA45" i="17"/>
  <c r="BA47" i="17" s="1"/>
  <c r="BZ24" i="13"/>
  <c r="C9" i="15"/>
  <c r="D104" i="17" l="1"/>
  <c r="D106" i="17" s="1"/>
  <c r="D108" i="17" s="1"/>
  <c r="BB45" i="17"/>
  <c r="BB47" i="17" s="1"/>
  <c r="E44" i="15"/>
  <c r="H40" i="11"/>
  <c r="H44" i="15"/>
  <c r="D44" i="15"/>
  <c r="F40" i="11"/>
  <c r="G40" i="11" s="1"/>
  <c r="I40" i="11" s="1"/>
  <c r="BB64" i="17" l="1"/>
  <c r="BB65" i="17" s="1"/>
  <c r="BB51" i="17"/>
  <c r="D125" i="17"/>
  <c r="D126" i="17" s="1"/>
  <c r="D112" i="17"/>
  <c r="F44" i="15"/>
  <c r="G44" i="15" s="1"/>
  <c r="J53" i="11" l="1"/>
  <c r="L44" i="15" l="1"/>
  <c r="L53" i="11" l="1"/>
  <c r="N44" i="15" l="1"/>
  <c r="H53" i="11" l="1"/>
  <c r="F53" i="11"/>
  <c r="G53" i="11" s="1"/>
  <c r="I53" i="11" s="1"/>
  <c r="K53" i="11" s="1"/>
  <c r="M53" i="11" s="1"/>
  <c r="K44" i="15" l="1"/>
  <c r="J44" i="15"/>
  <c r="M44" i="15" s="1"/>
  <c r="J54" i="11" l="1"/>
  <c r="H54" i="11" l="1"/>
  <c r="F54" i="11"/>
  <c r="G54" i="11" s="1"/>
  <c r="I54" i="11" s="1"/>
  <c r="K54" i="11" s="1"/>
  <c r="H38" i="11" l="1"/>
  <c r="J38" i="11"/>
  <c r="J37" i="11" l="1"/>
  <c r="H37" i="11"/>
  <c r="H31" i="15" l="1"/>
  <c r="F31" i="15"/>
  <c r="N31" i="15"/>
  <c r="L31" i="15"/>
  <c r="J52" i="11"/>
  <c r="J58" i="11" s="1"/>
  <c r="CE16" i="13" s="1"/>
  <c r="E31" i="15"/>
  <c r="H52" i="11"/>
  <c r="H58" i="11" s="1"/>
  <c r="CC16" i="13" s="1"/>
  <c r="K31" i="15"/>
  <c r="F38" i="11" l="1"/>
  <c r="G38" i="11" s="1"/>
  <c r="I38" i="11" s="1"/>
  <c r="K38" i="11" s="1"/>
  <c r="F52" i="11" l="1"/>
  <c r="F58" i="11" l="1"/>
  <c r="CA16" i="13" s="1"/>
  <c r="G52" i="11"/>
  <c r="J31" i="15"/>
  <c r="M31" i="15" l="1"/>
  <c r="M46" i="15" s="1"/>
  <c r="N4" i="15" s="1"/>
  <c r="J46" i="15"/>
  <c r="K4" i="15" s="1"/>
  <c r="K46" i="15" s="1"/>
  <c r="L4" i="15" s="1"/>
  <c r="L46" i="15" s="1"/>
  <c r="I52" i="11"/>
  <c r="G58" i="11"/>
  <c r="CA21" i="13"/>
  <c r="CA23" i="13" s="1"/>
  <c r="I104" i="17" s="1"/>
  <c r="CB16" i="13"/>
  <c r="I106" i="17" l="1"/>
  <c r="I108" i="17" s="1"/>
  <c r="I125" i="17" s="1"/>
  <c r="BA104" i="17"/>
  <c r="D194" i="17"/>
  <c r="BB133" i="17"/>
  <c r="CB21" i="13"/>
  <c r="CD16" i="13"/>
  <c r="K52" i="11"/>
  <c r="I58" i="11"/>
  <c r="CA24" i="13"/>
  <c r="I131" i="17" s="1"/>
  <c r="CB23" i="13"/>
  <c r="G85" i="11"/>
  <c r="I85" i="11" l="1"/>
  <c r="BB194" i="17"/>
  <c r="D255" i="17"/>
  <c r="BB104" i="17"/>
  <c r="BA106" i="17"/>
  <c r="BA108" i="17" s="1"/>
  <c r="I126" i="17"/>
  <c r="BA126" i="17" s="1"/>
  <c r="BA125" i="17"/>
  <c r="K58" i="11"/>
  <c r="CB24" i="13"/>
  <c r="CF16" i="13"/>
  <c r="CD21" i="13"/>
  <c r="CC21" i="13" s="1"/>
  <c r="CC23" i="13" s="1"/>
  <c r="C12" i="10" l="1"/>
  <c r="C15" i="10" s="1"/>
  <c r="BB255" i="17"/>
  <c r="D316" i="17"/>
  <c r="BD104" i="17"/>
  <c r="D165" i="17"/>
  <c r="D167" i="17" s="1"/>
  <c r="D169" i="17" s="1"/>
  <c r="BB106" i="17"/>
  <c r="CC24" i="13"/>
  <c r="I165" i="17"/>
  <c r="CD23" i="13"/>
  <c r="CF21" i="13"/>
  <c r="CE21" i="13" s="1"/>
  <c r="CE23" i="13" s="1"/>
  <c r="K85" i="11"/>
  <c r="BD106" i="17" l="1"/>
  <c r="BB108" i="17"/>
  <c r="I167" i="17"/>
  <c r="I169" i="17" s="1"/>
  <c r="I186" i="17" s="1"/>
  <c r="BA165" i="17"/>
  <c r="I192" i="17"/>
  <c r="CE24" i="13"/>
  <c r="I226" i="17"/>
  <c r="D173" i="17"/>
  <c r="D186" i="17"/>
  <c r="D187" i="17" s="1"/>
  <c r="CF23" i="13"/>
  <c r="CD24" i="13"/>
  <c r="D9" i="15"/>
  <c r="BA226" i="17" l="1"/>
  <c r="I228" i="17"/>
  <c r="I230" i="17" s="1"/>
  <c r="I247" i="17" s="1"/>
  <c r="BB165" i="17"/>
  <c r="BA167" i="17"/>
  <c r="BA169" i="17" s="1"/>
  <c r="BB112" i="17"/>
  <c r="BB125" i="17"/>
  <c r="BB126" i="17" s="1"/>
  <c r="BB128" i="17" s="1"/>
  <c r="I253" i="17"/>
  <c r="I187" i="17"/>
  <c r="BA187" i="17" s="1"/>
  <c r="BA186" i="17"/>
  <c r="CF24" i="13"/>
  <c r="D226" i="17" l="1"/>
  <c r="D228" i="17" s="1"/>
  <c r="D230" i="17" s="1"/>
  <c r="BB167" i="17"/>
  <c r="BB169" i="17" s="1"/>
  <c r="I248" i="17"/>
  <c r="BA247" i="17"/>
  <c r="BA248" i="17" s="1"/>
  <c r="BB226" i="17"/>
  <c r="BA228" i="17"/>
  <c r="BA230" i="17" s="1"/>
  <c r="E9" i="15"/>
  <c r="D287" i="17" l="1"/>
  <c r="D289" i="17" s="1"/>
  <c r="D291" i="17" s="1"/>
  <c r="BB228" i="17"/>
  <c r="BB230" i="17" s="1"/>
  <c r="BB186" i="17"/>
  <c r="BB187" i="17" s="1"/>
  <c r="BB189" i="17" s="1"/>
  <c r="BB173" i="17"/>
  <c r="D247" i="17"/>
  <c r="D248" i="17" s="1"/>
  <c r="D234" i="17"/>
  <c r="F9" i="15"/>
  <c r="G9" i="15" s="1"/>
  <c r="BB234" i="17" l="1"/>
  <c r="BB247" i="17"/>
  <c r="BB248" i="17" s="1"/>
  <c r="BB250" i="17" s="1"/>
  <c r="D308" i="17"/>
  <c r="D309" i="17" s="1"/>
  <c r="D295" i="17"/>
  <c r="D31" i="15"/>
  <c r="G31" i="15" s="1"/>
  <c r="D37" i="11" l="1"/>
  <c r="E37" i="11" s="1"/>
  <c r="C27" i="15"/>
  <c r="F37" i="11"/>
  <c r="D27" i="15"/>
  <c r="G27" i="15" l="1"/>
  <c r="G37" i="11"/>
  <c r="I37" i="11" s="1"/>
  <c r="K37" i="11" s="1"/>
  <c r="C28" i="15" l="1"/>
  <c r="G28" i="15" s="1"/>
  <c r="D32" i="11" l="1"/>
  <c r="E32" i="11" s="1"/>
  <c r="D34" i="11"/>
  <c r="E34" i="11" s="1"/>
  <c r="F32" i="11" l="1"/>
  <c r="G32" i="11" s="1"/>
  <c r="F34" i="11"/>
  <c r="G34" i="11" s="1"/>
  <c r="D30" i="11" l="1"/>
  <c r="F30" i="11"/>
  <c r="E30" i="11" l="1"/>
  <c r="G30" i="11" l="1"/>
  <c r="C15" i="15" l="1"/>
  <c r="D15" i="15" l="1"/>
  <c r="F44" i="16" l="1"/>
  <c r="C9" i="16"/>
  <c r="F39" i="16"/>
  <c r="H16" i="16"/>
  <c r="E7" i="16"/>
  <c r="C45" i="16"/>
  <c r="E16" i="16"/>
  <c r="C22" i="16"/>
  <c r="F27" i="16"/>
  <c r="F16" i="16"/>
  <c r="H22" i="16"/>
  <c r="C30" i="16"/>
  <c r="C39" i="16"/>
  <c r="D11" i="16"/>
  <c r="D17" i="16"/>
  <c r="E19" i="16"/>
  <c r="H36" i="16"/>
  <c r="H33" i="16"/>
  <c r="H31" i="16"/>
  <c r="F32" i="16"/>
  <c r="D10" i="16"/>
  <c r="E36" i="16"/>
  <c r="F9" i="16"/>
  <c r="D21" i="16"/>
  <c r="F8" i="16"/>
  <c r="C12" i="16"/>
  <c r="E23" i="16"/>
  <c r="H28" i="16"/>
  <c r="H30" i="16"/>
  <c r="D12" i="16"/>
  <c r="D15" i="16"/>
  <c r="F41" i="16"/>
  <c r="H39" i="16"/>
  <c r="D31" i="16"/>
  <c r="C4" i="16"/>
  <c r="E25" i="16"/>
  <c r="H32" i="16"/>
  <c r="E43" i="16"/>
  <c r="E29" i="16"/>
  <c r="D29" i="16"/>
  <c r="C24" i="16"/>
  <c r="E21" i="16"/>
  <c r="E20" i="16"/>
  <c r="D28" i="16"/>
  <c r="H6" i="16"/>
  <c r="C19" i="16"/>
  <c r="E18" i="16"/>
  <c r="D18" i="16"/>
  <c r="F12" i="16"/>
  <c r="C35" i="16"/>
  <c r="H21" i="16"/>
  <c r="E11" i="16"/>
  <c r="D8" i="16"/>
  <c r="H10" i="16"/>
  <c r="E12" i="16"/>
  <c r="C13" i="16"/>
  <c r="D22" i="16"/>
  <c r="D26" i="16"/>
  <c r="H18" i="16"/>
  <c r="E14" i="16"/>
  <c r="C29" i="16"/>
  <c r="F37" i="16"/>
  <c r="D32" i="16"/>
  <c r="H12" i="16"/>
  <c r="F30" i="16"/>
  <c r="H20" i="16"/>
  <c r="H44" i="16"/>
  <c r="E8" i="16"/>
  <c r="H23" i="16"/>
  <c r="D23" i="16"/>
  <c r="F25" i="16"/>
  <c r="F11" i="16"/>
  <c r="F40" i="16"/>
  <c r="H19" i="16"/>
  <c r="H25" i="16"/>
  <c r="H27" i="16"/>
  <c r="H43" i="16"/>
  <c r="D35" i="16"/>
  <c r="D34" i="16"/>
  <c r="E41" i="16"/>
  <c r="F7" i="16"/>
  <c r="E32" i="16"/>
  <c r="C20" i="16"/>
  <c r="F17" i="16"/>
  <c r="F18" i="16"/>
  <c r="H29" i="16"/>
  <c r="D38" i="16"/>
  <c r="D27" i="16"/>
  <c r="F13" i="16"/>
  <c r="H37" i="16"/>
  <c r="C21" i="16"/>
  <c r="F14" i="16"/>
  <c r="F38" i="16"/>
  <c r="D9" i="16"/>
  <c r="F22" i="16"/>
  <c r="H17" i="16"/>
  <c r="F29" i="16"/>
  <c r="C40" i="16"/>
  <c r="E34" i="16"/>
  <c r="E6" i="16"/>
  <c r="E9" i="16"/>
  <c r="H34" i="16"/>
  <c r="E13" i="16"/>
  <c r="C41" i="16"/>
  <c r="H14" i="16"/>
  <c r="E39" i="16"/>
  <c r="C8" i="16"/>
  <c r="E40" i="16"/>
  <c r="D37" i="16"/>
  <c r="F6" i="16"/>
  <c r="H11" i="16"/>
  <c r="H40" i="16"/>
  <c r="H35" i="16"/>
  <c r="D41" i="16"/>
  <c r="E44" i="16"/>
  <c r="C10" i="16"/>
  <c r="C17" i="16"/>
  <c r="E26" i="16"/>
  <c r="D44" i="16"/>
  <c r="E37" i="16"/>
  <c r="E30" i="16"/>
  <c r="F31" i="16"/>
  <c r="E45" i="16"/>
  <c r="F33" i="16"/>
  <c r="D25" i="16"/>
  <c r="C23" i="16"/>
  <c r="C14" i="16"/>
  <c r="H8" i="16"/>
  <c r="E22" i="16"/>
  <c r="C18" i="16"/>
  <c r="G18" i="16" s="1"/>
  <c r="F10" i="16"/>
  <c r="E10" i="16"/>
  <c r="E27" i="16"/>
  <c r="F20" i="16"/>
  <c r="D24" i="16"/>
  <c r="C27" i="16"/>
  <c r="G27" i="16" s="1"/>
  <c r="D13" i="16"/>
  <c r="F34" i="16"/>
  <c r="E28" i="16"/>
  <c r="H7" i="16"/>
  <c r="E31" i="16"/>
  <c r="C16" i="16"/>
  <c r="F23" i="16"/>
  <c r="H38" i="16"/>
  <c r="D30" i="16"/>
  <c r="E33" i="16"/>
  <c r="D39" i="16"/>
  <c r="D19" i="16"/>
  <c r="D40" i="16"/>
  <c r="C15" i="16"/>
  <c r="F19" i="16"/>
  <c r="F35" i="16"/>
  <c r="D45" i="16"/>
  <c r="D14" i="16"/>
  <c r="F28" i="16"/>
  <c r="D20" i="16"/>
  <c r="D33" i="16"/>
  <c r="H13" i="16"/>
  <c r="F24" i="16"/>
  <c r="H41" i="16"/>
  <c r="E35" i="16"/>
  <c r="C44" i="16"/>
  <c r="F43" i="16"/>
  <c r="C28" i="16"/>
  <c r="D36" i="16"/>
  <c r="F36" i="16"/>
  <c r="E38" i="16"/>
  <c r="C38" i="16"/>
  <c r="F45" i="16"/>
  <c r="E17" i="16"/>
  <c r="C11" i="16"/>
  <c r="F21" i="16"/>
  <c r="D16" i="16"/>
  <c r="E24" i="16"/>
  <c r="C43" i="16"/>
  <c r="D6" i="16"/>
  <c r="C26" i="16"/>
  <c r="H24" i="16"/>
  <c r="G34" i="16" l="1"/>
  <c r="G16" i="16"/>
  <c r="G23" i="16"/>
  <c r="G30" i="16"/>
  <c r="G11" i="16"/>
  <c r="G14" i="16"/>
  <c r="G10" i="16"/>
  <c r="G39" i="16"/>
  <c r="G22" i="16"/>
  <c r="G36" i="16"/>
  <c r="G12" i="16"/>
  <c r="G9" i="16"/>
  <c r="G28" i="16"/>
  <c r="G33" i="16"/>
  <c r="G32" i="16"/>
  <c r="G13" i="16"/>
  <c r="G19" i="16"/>
  <c r="G41" i="16"/>
  <c r="G40" i="16"/>
  <c r="G35" i="16"/>
  <c r="G45" i="16"/>
  <c r="G29" i="16"/>
  <c r="G24" i="16"/>
  <c r="G44" i="16"/>
  <c r="G38" i="16"/>
  <c r="G4" i="16"/>
  <c r="G17" i="16"/>
  <c r="G8" i="16"/>
  <c r="G21" i="16"/>
  <c r="G20" i="16"/>
  <c r="G31" i="16"/>
  <c r="D43" i="15"/>
  <c r="G43" i="15" s="1"/>
  <c r="C37" i="15"/>
  <c r="G37" i="15" s="1"/>
  <c r="C37" i="16" l="1"/>
  <c r="G37" i="16" s="1"/>
  <c r="D43" i="16"/>
  <c r="G43" i="16" s="1"/>
  <c r="C25" i="15" l="1"/>
  <c r="G25" i="15" s="1"/>
  <c r="C25" i="16" l="1"/>
  <c r="G25" i="16" s="1"/>
  <c r="L38" i="11" l="1"/>
  <c r="M38" i="11" s="1"/>
  <c r="L37" i="11" l="1"/>
  <c r="M37" i="11" s="1"/>
  <c r="L52" i="11" l="1"/>
  <c r="M52" i="11" s="1"/>
  <c r="H45" i="15" l="1"/>
  <c r="L51" i="11" l="1"/>
  <c r="M51" i="11" l="1"/>
  <c r="L54" i="11" l="1"/>
  <c r="M54" i="11" l="1"/>
  <c r="M58" i="11" s="1"/>
  <c r="L58" i="11"/>
  <c r="CG16" i="13" s="1"/>
  <c r="CH16" i="13" s="1"/>
  <c r="CH21" i="13" s="1"/>
  <c r="CG21" i="13" s="1"/>
  <c r="CG23" i="13" s="1"/>
  <c r="I287" i="17" s="1"/>
  <c r="N45" i="15"/>
  <c r="N46" i="15" s="1"/>
  <c r="H45" i="16"/>
  <c r="M85" i="11"/>
  <c r="I289" i="17" l="1"/>
  <c r="I291" i="17" s="1"/>
  <c r="I308" i="17" s="1"/>
  <c r="BA287" i="17"/>
  <c r="D12" i="10"/>
  <c r="D15" i="10" s="1"/>
  <c r="BB316" i="17"/>
  <c r="CG24" i="13"/>
  <c r="CH23" i="13"/>
  <c r="CH24" i="13" s="1"/>
  <c r="I314" i="17" l="1"/>
  <c r="BB287" i="17"/>
  <c r="BB289" i="17" s="1"/>
  <c r="BB291" i="17" s="1"/>
  <c r="BA289" i="17"/>
  <c r="BA291" i="17" s="1"/>
  <c r="I309" i="17"/>
  <c r="BA308" i="17"/>
  <c r="BA309" i="17" s="1"/>
  <c r="H9" i="15"/>
  <c r="BB295" i="17" l="1"/>
  <c r="BB308" i="17"/>
  <c r="BB309" i="17" s="1"/>
  <c r="BB311" i="17" s="1"/>
  <c r="H9" i="16"/>
  <c r="H32" i="11" l="1"/>
  <c r="I32" i="11" s="1"/>
  <c r="H31" i="11"/>
  <c r="I31" i="11" s="1"/>
  <c r="NX17" i="13" l="1"/>
  <c r="NZ17" i="13" s="1"/>
  <c r="OB17" i="13" s="1"/>
  <c r="H30" i="11"/>
  <c r="NX18" i="13"/>
  <c r="NZ18" i="13" s="1"/>
  <c r="OB18" i="13" s="1"/>
  <c r="I30" i="11" l="1"/>
  <c r="NX16" i="13" l="1"/>
  <c r="NZ16" i="13" l="1"/>
  <c r="H34" i="11" l="1"/>
  <c r="I34" i="11" s="1"/>
  <c r="OB16" i="13"/>
  <c r="NX20" i="13" l="1"/>
  <c r="NZ20" i="13" s="1"/>
  <c r="OB20" i="13" s="1"/>
  <c r="E15" i="15" l="1"/>
  <c r="F15" i="15" l="1"/>
  <c r="G15" i="15" s="1"/>
  <c r="E15" i="16" l="1"/>
  <c r="F15" i="16" l="1"/>
  <c r="G15" i="16" s="1"/>
  <c r="H15" i="15" l="1"/>
  <c r="H15" i="16" l="1"/>
  <c r="J34" i="11" l="1"/>
  <c r="K34" i="11" s="1"/>
  <c r="J32" i="11" l="1"/>
  <c r="K32" i="11" s="1"/>
  <c r="J31" i="11"/>
  <c r="K31" i="11" s="1"/>
  <c r="J30" i="11"/>
  <c r="K30" i="11" l="1"/>
  <c r="L31" i="11"/>
  <c r="M31" i="11" s="1"/>
  <c r="L34" i="11"/>
  <c r="M34" i="11" s="1"/>
  <c r="L32" i="11" l="1"/>
  <c r="M32" i="11" s="1"/>
  <c r="L30" i="11" l="1"/>
  <c r="M30" i="11" l="1"/>
  <c r="J40" i="11" l="1"/>
  <c r="K40" i="11" s="1"/>
  <c r="L40" i="11"/>
  <c r="M40" i="11" l="1"/>
  <c r="H42" i="15"/>
  <c r="F42" i="15"/>
  <c r="G42" i="15" s="1"/>
  <c r="H42" i="16" l="1"/>
  <c r="F42" i="16"/>
  <c r="G42" i="16" s="1"/>
  <c r="L15" i="11" l="1"/>
  <c r="L19" i="11" s="1"/>
  <c r="J15" i="11"/>
  <c r="J19" i="11" s="1"/>
  <c r="F15" i="11"/>
  <c r="F19" i="11" s="1"/>
  <c r="H15" i="11"/>
  <c r="H19" i="11" s="1"/>
  <c r="D15" i="11"/>
  <c r="D19" i="11" l="1"/>
  <c r="E15" i="11"/>
  <c r="J44" i="11"/>
  <c r="H41" i="11"/>
  <c r="F41" i="11"/>
  <c r="L33" i="11"/>
  <c r="L36" i="11"/>
  <c r="J33" i="11"/>
  <c r="H36" i="11"/>
  <c r="J36" i="11"/>
  <c r="F36" i="11"/>
  <c r="D36" i="11"/>
  <c r="E36" i="11" s="1"/>
  <c r="G36" i="11" s="1"/>
  <c r="I36" i="11" s="1"/>
  <c r="D41" i="11"/>
  <c r="E41" i="11" s="1"/>
  <c r="NX22" i="13" l="1"/>
  <c r="NZ22" i="13" s="1"/>
  <c r="OB22" i="13" s="1"/>
  <c r="K36" i="11"/>
  <c r="M36" i="11" s="1"/>
  <c r="G15" i="11"/>
  <c r="E19" i="11"/>
  <c r="G41" i="11"/>
  <c r="I41" i="11" s="1"/>
  <c r="D33" i="11"/>
  <c r="C7" i="15"/>
  <c r="F33" i="11"/>
  <c r="F26" i="15"/>
  <c r="G26" i="15" s="1"/>
  <c r="H33" i="11"/>
  <c r="J41" i="11"/>
  <c r="G19" i="11" l="1"/>
  <c r="I15" i="11"/>
  <c r="NX23" i="13"/>
  <c r="NZ23" i="13" s="1"/>
  <c r="OB23" i="13" s="1"/>
  <c r="K41" i="11"/>
  <c r="E33" i="11"/>
  <c r="L41" i="11"/>
  <c r="C7" i="16"/>
  <c r="H26" i="15"/>
  <c r="C6" i="15"/>
  <c r="G6" i="15" s="1"/>
  <c r="F26" i="16"/>
  <c r="G26" i="16" s="1"/>
  <c r="D7" i="15"/>
  <c r="G7" i="15" s="1"/>
  <c r="I19" i="11" l="1"/>
  <c r="K15" i="11"/>
  <c r="G33" i="11"/>
  <c r="M41" i="11"/>
  <c r="H26" i="16"/>
  <c r="C6" i="16"/>
  <c r="G6" i="16" s="1"/>
  <c r="D7" i="16"/>
  <c r="G7" i="16" s="1"/>
  <c r="I33" i="11" l="1"/>
  <c r="M15" i="11"/>
  <c r="M19" i="11" s="1"/>
  <c r="K19" i="11"/>
  <c r="H5" i="15"/>
  <c r="L42" i="11"/>
  <c r="F5" i="15"/>
  <c r="J42" i="11"/>
  <c r="J45" i="11" s="1"/>
  <c r="J47" i="11" s="1"/>
  <c r="J62" i="11" s="1"/>
  <c r="J65" i="11" s="1"/>
  <c r="H42" i="11"/>
  <c r="E5" i="15"/>
  <c r="D42" i="11"/>
  <c r="C5" i="15"/>
  <c r="F42" i="11"/>
  <c r="D5" i="15"/>
  <c r="L44" i="11" l="1"/>
  <c r="L45" i="11"/>
  <c r="L47" i="11" s="1"/>
  <c r="L62" i="11" s="1"/>
  <c r="L65" i="11" s="1"/>
  <c r="F44" i="11"/>
  <c r="F45" i="11"/>
  <c r="F47" i="11" s="1"/>
  <c r="F62" i="11" s="1"/>
  <c r="F65" i="11" s="1"/>
  <c r="G5" i="15"/>
  <c r="G46" i="15" s="1"/>
  <c r="H4" i="15" s="1"/>
  <c r="H46" i="15" s="1"/>
  <c r="C46" i="15"/>
  <c r="D4" i="15" s="1"/>
  <c r="D46" i="15" s="1"/>
  <c r="E4" i="15" s="1"/>
  <c r="E46" i="15" s="1"/>
  <c r="F4" i="15" s="1"/>
  <c r="F46" i="15" s="1"/>
  <c r="H44" i="11"/>
  <c r="H45" i="11"/>
  <c r="H47" i="11" s="1"/>
  <c r="H62" i="11" s="1"/>
  <c r="H65" i="11" s="1"/>
  <c r="E42" i="11"/>
  <c r="D45" i="11"/>
  <c r="D47" i="11" s="1"/>
  <c r="D62" i="11" s="1"/>
  <c r="D65" i="11" s="1"/>
  <c r="D44" i="11"/>
  <c r="NX19" i="13"/>
  <c r="K33" i="11"/>
  <c r="M33" i="11" l="1"/>
  <c r="NZ19" i="13"/>
  <c r="NX24" i="13"/>
  <c r="NX26" i="13" s="1"/>
  <c r="NX29" i="13" s="1"/>
  <c r="G42" i="11"/>
  <c r="E45" i="11"/>
  <c r="E47" i="11" s="1"/>
  <c r="BB71" i="17" s="1"/>
  <c r="E44" i="11"/>
  <c r="H5" i="16"/>
  <c r="F5" i="16"/>
  <c r="C5" i="16"/>
  <c r="D5" i="16"/>
  <c r="E5" i="16"/>
  <c r="I42" i="11" l="1"/>
  <c r="G44" i="11"/>
  <c r="G45" i="11"/>
  <c r="G47" i="11" s="1"/>
  <c r="G5" i="16"/>
  <c r="G47" i="16" s="1"/>
  <c r="G49" i="16" s="1"/>
  <c r="C47" i="16"/>
  <c r="D4" i="16" s="1"/>
  <c r="D47" i="16" s="1"/>
  <c r="E4" i="16" s="1"/>
  <c r="E47" i="16" s="1"/>
  <c r="F4" i="16" s="1"/>
  <c r="F47" i="16" s="1"/>
  <c r="E49" i="11"/>
  <c r="E62" i="11"/>
  <c r="E65" i="11" s="1"/>
  <c r="E84" i="11"/>
  <c r="NX30" i="13"/>
  <c r="NX31" i="13" s="1"/>
  <c r="OB19" i="13"/>
  <c r="OB24" i="13" s="1"/>
  <c r="OB26" i="13" s="1"/>
  <c r="OB29" i="13" s="1"/>
  <c r="NZ24" i="13"/>
  <c r="NZ26" i="13" s="1"/>
  <c r="NZ29" i="13" s="1"/>
  <c r="G84" i="11"/>
  <c r="BB132" i="17" l="1"/>
  <c r="D193" i="17"/>
  <c r="NZ30" i="13"/>
  <c r="NZ31" i="13" s="1"/>
  <c r="OB30" i="13"/>
  <c r="OB31" i="13"/>
  <c r="G49" i="11"/>
  <c r="G62" i="11"/>
  <c r="G65" i="11" s="1"/>
  <c r="K42" i="11"/>
  <c r="I45" i="11"/>
  <c r="I47" i="11" s="1"/>
  <c r="I44" i="11"/>
  <c r="BB193" i="17" l="1"/>
  <c r="D254" i="17"/>
  <c r="M42" i="11"/>
  <c r="K44" i="11"/>
  <c r="K45" i="11"/>
  <c r="K47" i="11" s="1"/>
  <c r="J47" i="16"/>
  <c r="J48" i="16" s="1"/>
  <c r="H46" i="16" s="1"/>
  <c r="H47" i="16" s="1"/>
  <c r="H49" i="16" s="1"/>
  <c r="I49" i="11"/>
  <c r="I62" i="11"/>
  <c r="I65" i="11" s="1"/>
  <c r="I84" i="11"/>
  <c r="D315" i="17" l="1"/>
  <c r="BB254" i="17"/>
  <c r="K49" i="11"/>
  <c r="K62" i="11"/>
  <c r="K65" i="11" s="1"/>
  <c r="K71" i="11" s="1"/>
  <c r="K84" i="11"/>
  <c r="M44" i="11"/>
  <c r="M45" i="11"/>
  <c r="M47" i="11" s="1"/>
  <c r="BB315" i="17" s="1"/>
  <c r="C17" i="10"/>
  <c r="C18" i="10" s="1"/>
  <c r="C21" i="10" s="1"/>
  <c r="C23" i="10" s="1"/>
  <c r="C33" i="10" s="1"/>
  <c r="C35" i="10" s="1"/>
  <c r="M49" i="11" l="1"/>
  <c r="M62" i="11"/>
  <c r="M65" i="11" s="1"/>
  <c r="M71" i="11" s="1"/>
  <c r="M84" i="11"/>
  <c r="K81" i="11"/>
  <c r="K76" i="11"/>
  <c r="D17" i="10"/>
  <c r="D18" i="10" s="1"/>
  <c r="D21" i="10" s="1"/>
  <c r="D23" i="10" s="1"/>
  <c r="D33" i="10" s="1"/>
  <c r="D35" i="10" s="1"/>
  <c r="M76" i="11" l="1"/>
  <c r="M81" i="11"/>
</calcChain>
</file>

<file path=xl/sharedStrings.xml><?xml version="1.0" encoding="utf-8"?>
<sst xmlns="http://schemas.openxmlformats.org/spreadsheetml/2006/main" count="10203" uniqueCount="1137">
  <si>
    <t>ELECTRIC RESULTS OF OPERATIONS</t>
  </si>
  <si>
    <t>GENERAL RATE INCREASE</t>
  </si>
  <si>
    <t>REQUESTED COST OF CAPITAL</t>
  </si>
  <si>
    <t>CONVERSION FACTOR</t>
  </si>
  <si>
    <t>LINE</t>
  </si>
  <si>
    <t>CAPITAL</t>
  </si>
  <si>
    <t>WEIGHTED</t>
  </si>
  <si>
    <t>NO.</t>
  </si>
  <si>
    <t>DESCRIPTION</t>
  </si>
  <si>
    <t>RATE YEAR 1</t>
  </si>
  <si>
    <t>RATE YEAR 2</t>
  </si>
  <si>
    <t>RATE YEAR 3</t>
  </si>
  <si>
    <t>RATE YEAR 4</t>
  </si>
  <si>
    <t>STRUCTURE</t>
  </si>
  <si>
    <t>COST</t>
  </si>
  <si>
    <t>RATE BASE</t>
  </si>
  <si>
    <t>Restating through December 2023</t>
  </si>
  <si>
    <t>BAD DEBTS</t>
  </si>
  <si>
    <t>RATE OF RETURN</t>
  </si>
  <si>
    <t>SHORT AND LONG TERM DEBT</t>
  </si>
  <si>
    <t>ANNUAL FILING FEE</t>
  </si>
  <si>
    <t>EQUITY</t>
  </si>
  <si>
    <t>OPERATING INCOME REQUIREMENT</t>
  </si>
  <si>
    <t>TOTAL</t>
  </si>
  <si>
    <t>SUM OF TAXES OTHER</t>
  </si>
  <si>
    <t>PRO FORMA OPERATING INCOME</t>
  </si>
  <si>
    <t>AFTER TAX SHORT TERM DEBT ( (LINE 1)* 79%)</t>
  </si>
  <si>
    <t>OPERATING INCOME DEFICIENCY</t>
  </si>
  <si>
    <t>TOTAL AFTER TAX COST OF CAPITAL</t>
  </si>
  <si>
    <t>CUMULATIVE REVENUE CHANGE</t>
  </si>
  <si>
    <t>Note:  Amounts in bold and italics are different from February 15, 2024 Original filing.</t>
  </si>
  <si>
    <t>NET REVENUE CHANGE IN BASE RATES BY RATE YEAR</t>
  </si>
  <si>
    <t>CHANGES TO OTHER PRICE SCHEDULES FROM EXH. CTM-7</t>
  </si>
  <si>
    <t>CURRENT TARIFF RATES TRANSFERRED TO BASE RATES ABOVE:</t>
  </si>
  <si>
    <t>SCHEDULE 95 - 2020 PCORC</t>
  </si>
  <si>
    <t>SCHEDULE 95 - 2024 POWER COST UPDATE</t>
  </si>
  <si>
    <t>SCHEDULE 141CEIP</t>
  </si>
  <si>
    <t>SCHEDULE 137</t>
  </si>
  <si>
    <t>SCH. 141N (RATES NOT SUBJ TO REF ADJ)</t>
  </si>
  <si>
    <t>SCH. 141R (RATES SUBJECT TO REF ADJ)</t>
  </si>
  <si>
    <t>NEW TARIFF RATES COSTS NOT INCLUDED IN BASE RATES DEFICIENCY:</t>
  </si>
  <si>
    <t>😻</t>
  </si>
  <si>
    <t>SCHEDULE 141CGR - CLEAN GENERATION RESOURCES</t>
  </si>
  <si>
    <t>SCHEDULE 141WFP - WILDFIRE PREVENTION</t>
  </si>
  <si>
    <t>SCHEDULE 141DCARB - DECARBONIZATION</t>
  </si>
  <si>
    <t>SUBTOTAL CHANGES TO OTHER PRICE SCHEDULES</t>
  </si>
  <si>
    <t>NET REVENUE CHANGE AFTER TRACKERS AND RIDERS</t>
  </si>
  <si>
    <t>PERCENTAGE CHANGE</t>
  </si>
  <si>
    <t xml:space="preserve">PUGET SOUND ENERGY </t>
  </si>
  <si>
    <t>ELECTRIC STATEMENT OF OPERATING INCOME</t>
  </si>
  <si>
    <t>AND ADJUSTMENTS</t>
  </si>
  <si>
    <t>2024 GENERAL RATE CASE</t>
  </si>
  <si>
    <t>12 MONTHS ENDED JUNE 30, 2023</t>
  </si>
  <si>
    <t>AMA JUN 2023</t>
  </si>
  <si>
    <t>EOP JUN 2023</t>
  </si>
  <si>
    <t>EOP DEC 2023</t>
  </si>
  <si>
    <t>EOP DEC 2024</t>
  </si>
  <si>
    <t>AMA 2025</t>
  </si>
  <si>
    <t>AMA DEC 2025</t>
  </si>
  <si>
    <t>AMA 2026</t>
  </si>
  <si>
    <t>AMA DEC 2026</t>
  </si>
  <si>
    <t>DEC 2023</t>
  </si>
  <si>
    <t>ADJUSTED</t>
  </si>
  <si>
    <t>12ME JUNE 2023</t>
  </si>
  <si>
    <t>RESTATED</t>
  </si>
  <si>
    <t>TRADITIONAL</t>
  </si>
  <si>
    <t>RESULTS</t>
  </si>
  <si>
    <t>TEST</t>
  </si>
  <si>
    <t>RESTATING</t>
  </si>
  <si>
    <t>RESULTS OF</t>
  </si>
  <si>
    <t>PROFORMA</t>
  </si>
  <si>
    <t>GAP YEAR</t>
  </si>
  <si>
    <t>START OF</t>
  </si>
  <si>
    <t>END OF</t>
  </si>
  <si>
    <t>YEAR</t>
  </si>
  <si>
    <t>ADJUSTMENTS</t>
  </si>
  <si>
    <t>OPERATIONS</t>
  </si>
  <si>
    <t>l</t>
  </si>
  <si>
    <t>m = k + l</t>
  </si>
  <si>
    <t>j</t>
  </si>
  <si>
    <t>k = i + j</t>
  </si>
  <si>
    <t>OPERATING REVENUES</t>
  </si>
  <si>
    <t>SALES TO CUSTOMERS</t>
  </si>
  <si>
    <t>SALES FROM RESALE-FIRM/SPECIAL CONTRACT</t>
  </si>
  <si>
    <t>SALES TO OTHER UTILITIES</t>
  </si>
  <si>
    <t>OTHER OPERATING REVENUES</t>
  </si>
  <si>
    <t>TOTAL OPERATING REVENUES</t>
  </si>
  <si>
    <t>OPERATING REVENUE DEDUCTIONS:</t>
  </si>
  <si>
    <t>POWER COSTS:</t>
  </si>
  <si>
    <t xml:space="preserve"> FUEL</t>
  </si>
  <si>
    <t xml:space="preserve"> PURCHASED AND INTERCHANGED</t>
  </si>
  <si>
    <t xml:space="preserve"> WHEELING</t>
  </si>
  <si>
    <t xml:space="preserve"> RESIDENTIAL EXCHANGE</t>
  </si>
  <si>
    <t>TOTAL PRODUCTION EXPENSES</t>
  </si>
  <si>
    <t>OTHER POWER SUPPLY EXPENSES</t>
  </si>
  <si>
    <t>TRANSMISSION EXPENSE</t>
  </si>
  <si>
    <t>DISTRIBUTION EXPENSE</t>
  </si>
  <si>
    <t>CUSTOMER ACCTS EXPENSES</t>
  </si>
  <si>
    <t>CUSTOMER SERVICE EXPENSES</t>
  </si>
  <si>
    <t>CONSERVATION AMORTIZATION</t>
  </si>
  <si>
    <t>ADMIN &amp; GENERAL EXPENSE</t>
  </si>
  <si>
    <t>DEPRECIATION</t>
  </si>
  <si>
    <t>AMORTIZATION</t>
  </si>
  <si>
    <t>AMORTIZ OF PROPERTY GAIN/LOSS</t>
  </si>
  <si>
    <t>OTHER OPERATING EXPENSES</t>
  </si>
  <si>
    <t>TAXES OTHER THAN INCOME TAXES</t>
  </si>
  <si>
    <t>INCOME TAXES</t>
  </si>
  <si>
    <t>DEFERRED INCOME TAXES</t>
  </si>
  <si>
    <t>TOTAL OPERATING EXPENSES</t>
  </si>
  <si>
    <t>TOTAL OPERATING REV. DEDUCT.</t>
  </si>
  <si>
    <t>NET OPERATING INCOME</t>
  </si>
  <si>
    <t>ACTUAL RATE OF RETURN</t>
  </si>
  <si>
    <t>GROSS UTILITY PLANT IN SERVICE</t>
  </si>
  <si>
    <t>ACCUM DEPR AND AMORT</t>
  </si>
  <si>
    <t>DEFERRED DEBITS AND CREDITS</t>
  </si>
  <si>
    <t>DEFERRED TAXES</t>
  </si>
  <si>
    <t>ALLOWANCE FOR WORKING CAPITAL</t>
  </si>
  <si>
    <t>OTHER</t>
  </si>
  <si>
    <t>TOTAL RATE BASE</t>
  </si>
  <si>
    <t>REQUESTED RATE OF RETURN</t>
  </si>
  <si>
    <t>OPERATING INCOME (DEFICIENCY) SURPLUS</t>
  </si>
  <si>
    <t>NET CHANGE TO BE MADE AT:</t>
  </si>
  <si>
    <t>BEG OF RY 1 →</t>
  </si>
  <si>
    <t>BEG OF RY 2 →</t>
  </si>
  <si>
    <t>BASE RATES</t>
  </si>
  <si>
    <t>TARGETED ELECTRIFICATION ACTIVITIES DEFERRAL</t>
  </si>
  <si>
    <t>REMAINING</t>
  </si>
  <si>
    <t>REVENUE CHANGE BEFORE RIDERS</t>
  </si>
  <si>
    <t>CHANGES TO OTHER PRICE SCHEDULES</t>
  </si>
  <si>
    <t>NET REVENUE CHANGE</t>
  </si>
  <si>
    <t>*New for Rebuttal*</t>
  </si>
  <si>
    <t>COMMON</t>
  </si>
  <si>
    <t>ELECTRIC</t>
  </si>
  <si>
    <t>Period Beginning Balance</t>
  </si>
  <si>
    <t>LTIP</t>
  </si>
  <si>
    <t>FINANCE LEASES</t>
  </si>
  <si>
    <t>Open 6</t>
  </si>
  <si>
    <t>Open 7</t>
  </si>
  <si>
    <t>Open 8</t>
  </si>
  <si>
    <t>Open 9</t>
  </si>
  <si>
    <t>Open 10</t>
  </si>
  <si>
    <t>TOTAL RESTATING ADJUSTMENTS</t>
  </si>
  <si>
    <t>RESTATED RESULTS OF OPERATIONS</t>
  </si>
  <si>
    <t>Restating</t>
  </si>
  <si>
    <t>`</t>
  </si>
  <si>
    <t xml:space="preserve">RATE BASE </t>
  </si>
  <si>
    <t>RATE BASE:</t>
  </si>
  <si>
    <t xml:space="preserve">  DEFERRED DEBITS AND CREDITS</t>
  </si>
  <si>
    <t xml:space="preserve">  DEFERRED TAXES</t>
  </si>
  <si>
    <t xml:space="preserve">  ALLOWANCE FOR WORKING CAPITAL</t>
  </si>
  <si>
    <t xml:space="preserve">  OTHER</t>
  </si>
  <si>
    <t>restating ROR</t>
  </si>
  <si>
    <t>SURPLUS / (DEFICIENCY)</t>
  </si>
  <si>
    <t>REVENUE REQUIREMENT OR (SURPLUS)</t>
  </si>
  <si>
    <t>Check to Stand-alone Adjustment</t>
  </si>
  <si>
    <t>Check BB and EB NOI Period Balances to Summary</t>
  </si>
  <si>
    <t>Check BB and EB Rate Base Period Balances to Summary</t>
  </si>
  <si>
    <t>Traditional Profoma</t>
  </si>
  <si>
    <t>Gap Year</t>
  </si>
  <si>
    <t>Gap 2024</t>
  </si>
  <si>
    <t>f</t>
  </si>
  <si>
    <t>Rate Yr 1</t>
  </si>
  <si>
    <t>RY1 2025</t>
  </si>
  <si>
    <t>Rate Yr 2</t>
  </si>
  <si>
    <t>RY2 2026</t>
  </si>
  <si>
    <t>BEFORE CHANGES (values copied here)</t>
  </si>
  <si>
    <t>NOI - After</t>
  </si>
  <si>
    <t>RATEBASE</t>
  </si>
  <si>
    <t>EOP 2023</t>
  </si>
  <si>
    <t>RY1 - 2025</t>
  </si>
  <si>
    <t>RY2 - 2026</t>
  </si>
  <si>
    <t>DIFFERENCE (should be $0)</t>
  </si>
  <si>
    <t>s/b 0!</t>
  </si>
  <si>
    <t>DEC-23</t>
  </si>
  <si>
    <t>UE-__________</t>
  </si>
  <si>
    <t>Adj.</t>
  </si>
  <si>
    <t>Adjs.</t>
  </si>
  <si>
    <t>6.29, 6.30, 6.31, 6.32</t>
  </si>
  <si>
    <t>PROVISIONAL PROFORMA ADDITIONS</t>
  </si>
  <si>
    <t>AMA</t>
  </si>
  <si>
    <t>EOP</t>
  </si>
  <si>
    <t xml:space="preserve">AMA </t>
  </si>
  <si>
    <t>PERIOD</t>
  </si>
  <si>
    <t>PROVISIONAL</t>
  </si>
  <si>
    <t>%'s</t>
  </si>
  <si>
    <t>from EOP Adj.</t>
  </si>
  <si>
    <t>TEST YEAR DEFERRAL REMOVAL</t>
  </si>
  <si>
    <t>REMOVE REVENUES ASSOCIATED WITH RIDERS:</t>
  </si>
  <si>
    <t>GPI IN KWH</t>
  </si>
  <si>
    <t>INCREASE(DECREASE) FIT</t>
  </si>
  <si>
    <t>EXPENSES TO BE NORMALIZED:</t>
  </si>
  <si>
    <t>EXCISE TAXES</t>
  </si>
  <si>
    <t>BENEFIT CONTRIBUTION:</t>
  </si>
  <si>
    <t>INJURIES &amp; DAMAGES ACCRUALS</t>
  </si>
  <si>
    <t>INCENTIVE / MERIT PAY:</t>
  </si>
  <si>
    <t>INTEREST EXPENSE AT MOST CURRENT INTEREST RATE</t>
  </si>
  <si>
    <t>PROPERTY INSURANCE EXPENSE</t>
  </si>
  <si>
    <t>AMORTIZATION OF NET DEFERRED GAIN / LOSS</t>
  </si>
  <si>
    <t>D &amp; O INS. CHG  EXPENSE</t>
  </si>
  <si>
    <t>QUALIFIED RETIREMENT FUND</t>
  </si>
  <si>
    <t>WAGES:</t>
  </si>
  <si>
    <t>403 ELEC. DEPRECIATION EXPENSE</t>
  </si>
  <si>
    <t>WUTC FILING FEE</t>
  </si>
  <si>
    <t>RATEBASE:</t>
  </si>
  <si>
    <t>From EOP Adj.</t>
  </si>
  <si>
    <t>REMOVE TY REVENUE DEFERRALS</t>
  </si>
  <si>
    <t>DECARBONIZATION STUDY - ELECTRIFICATION PILOT DEFERRAL</t>
  </si>
  <si>
    <t xml:space="preserve">LTIP  EXPENSE </t>
  </si>
  <si>
    <t>BTS LEASE EXPENSE</t>
  </si>
  <si>
    <t>REMOVE SCHEDULE 95A - FEDERAL INCENTIVE TRACKER (NOTE 2)</t>
  </si>
  <si>
    <t>REMOVE CONSERVATION RIDER - SCHEDULE 120</t>
  </si>
  <si>
    <t>DFIT ALL OTHER</t>
  </si>
  <si>
    <t xml:space="preserve"> </t>
  </si>
  <si>
    <t>INCREASE (DECREASE) EXPENSE IN UNCOLLECTIBLES</t>
  </si>
  <si>
    <t>EXPENSES OF LAST 2 COMPLETED GRCS</t>
  </si>
  <si>
    <t>NON-UNION EMPLOYEES</t>
  </si>
  <si>
    <t>INJURIES &amp; DAMAGES PAYMENTS IN EXCESS OF ACCRUALS</t>
  </si>
  <si>
    <t>PURCHASED POWER</t>
  </si>
  <si>
    <t>NON-UNION (INC. EXECUTIVES)</t>
  </si>
  <si>
    <t>COLSTRIP PROPERTY INSURANCE</t>
  </si>
  <si>
    <t>APPROVED &amp; PENDING DEFERRED GAIN/LOSS (3 yr amort.)</t>
  </si>
  <si>
    <t>INCREASE(DECREASE) EXPENSE</t>
  </si>
  <si>
    <t>403 ELEC. PORTION OF COMMON</t>
  </si>
  <si>
    <t>INCREASE(DECREASE)  WUTC FILING FEE</t>
  </si>
  <si>
    <t>O&amp;M TOTAL ESCALATIONS:</t>
  </si>
  <si>
    <t>PLANT:</t>
  </si>
  <si>
    <t>Plant:</t>
  </si>
  <si>
    <t>AMORTIZATION OF DEFERRED ENVIRONMENTAL REMEDIATION COSTS AND RECOVERIES</t>
  </si>
  <si>
    <t>EV SCH 551/552 ROI AND OTHER REVENUE DEFERRAL (NOTE 1)</t>
  </si>
  <si>
    <t>Net Operating Income for:</t>
  </si>
  <si>
    <t>SCH. 95 - POWER COST ONLY RATE CASE</t>
  </si>
  <si>
    <t>REMOVE PROPERTY TAX TRACKER - SCHEDULE 140</t>
  </si>
  <si>
    <t>AVERAGE PRICING PER KWH</t>
  </si>
  <si>
    <t>DFIT TREASURY GRANT AMORTIZATION</t>
  </si>
  <si>
    <t xml:space="preserve">      2021 AND 2019 GRC EXPENSES TO BE NORMALIZED</t>
  </si>
  <si>
    <t>INCREASE(DECREASE) EXCISE TAX</t>
  </si>
  <si>
    <t>UNION EMPLOYEES</t>
  </si>
  <si>
    <t>INCREASE/(DECREASE) IN EXPENSE</t>
  </si>
  <si>
    <t>OTHER POWER SUPPLY</t>
  </si>
  <si>
    <t>INVESTMENT PLAN APPLICABLE TO MANAGEMENT</t>
  </si>
  <si>
    <t>INCREASE (DECREASE) NOI</t>
  </si>
  <si>
    <t>LIABILITY INSURANCE EXPENSE</t>
  </si>
  <si>
    <t>APPROVED SHUFFLETON GAIN (2 yr amort.)</t>
  </si>
  <si>
    <t>INCREASE (DECREASE) IN EXPENSE</t>
  </si>
  <si>
    <t>404 ELEC. AMORTIZATION EXPENSE</t>
  </si>
  <si>
    <t>ELECTRIC AMR PLANT IN SERVICE</t>
  </si>
  <si>
    <t>Electric AMI</t>
  </si>
  <si>
    <t>TOTAL INCREASE (DECREASE) OPERATING EXPENSE</t>
  </si>
  <si>
    <t>ADJUSTMENT TO RATE BASE:</t>
  </si>
  <si>
    <t>O&amp;M 928</t>
  </si>
  <si>
    <t>RATEBASE (AMA) UTILITY PLANT RATEBASE</t>
  </si>
  <si>
    <t>INCREASE(DECREASE) IN OPERATING EXPENSE</t>
  </si>
  <si>
    <t>SCHEDULE 141 - EXPEDITED RATE FILING</t>
  </si>
  <si>
    <t>REMOVE MUNICIPAL TAXES - SCHEDULE 81 - RETAIL CUSTOMERS</t>
  </si>
  <si>
    <t>DFIT COLSTRIP REMOVAL</t>
  </si>
  <si>
    <t>TOTAL INSURANCE COSTS</t>
  </si>
  <si>
    <t>TRANSMISSION</t>
  </si>
  <si>
    <t>COLSTRIP LIABILITY INSURANCE</t>
  </si>
  <si>
    <t>INCREASE (DECREASE) EXPENSE</t>
  </si>
  <si>
    <t>INCREASE (DECREASE) FIT</t>
  </si>
  <si>
    <t>404 ELEC. PORTION OF COMMON</t>
  </si>
  <si>
    <t xml:space="preserve">INCREASE(DECREASE) OPERATING EXPENSE </t>
  </si>
  <si>
    <t>ACCUMULATED DEPRECIATION FOR ELECTRIC AMR (NOTE 1)</t>
  </si>
  <si>
    <t>Electric Portion of Common</t>
  </si>
  <si>
    <t>GROSS PLANT</t>
  </si>
  <si>
    <t>SUBTOTAL</t>
  </si>
  <si>
    <t>SCH. 141CEI - (CLEAN ENERGY IMPLEMENTATION TRACKER)</t>
  </si>
  <si>
    <t>REMOVE MUNICIPAL TAXES - SCHEDULE 81 - WHOLESALE CUSTOMERS</t>
  </si>
  <si>
    <t>TEMPERATURE NORMALIZATION ADJUSTMENT</t>
  </si>
  <si>
    <t>DFIT EDIT REVERSALS</t>
  </si>
  <si>
    <t>WEIGHTED COST OF DEBT</t>
  </si>
  <si>
    <t xml:space="preserve">EXPENSES OF LAST 2 COMPLETED PCORCS </t>
  </si>
  <si>
    <t>DISTRIBUTION</t>
  </si>
  <si>
    <t>IBEW</t>
  </si>
  <si>
    <t>INCREASE(DECREASE) OPERATING EXPENSE (LINE 3)</t>
  </si>
  <si>
    <t>SUBTOTAL DEPRECIATION EXPENSE 403</t>
  </si>
  <si>
    <t>INCREASE(DECREASE) FIT @</t>
  </si>
  <si>
    <t>ACCUMULATED DEFERRED INCOME TAXES</t>
  </si>
  <si>
    <t xml:space="preserve">INCREASE (DECREASE) FIT @ 21% </t>
  </si>
  <si>
    <t>ACCUM. DEPRECIATION &amp; AMORTIZATION</t>
  </si>
  <si>
    <t>TOTAL DEPRECIATION AND AMORTIZATION EXPENSE</t>
  </si>
  <si>
    <t>DECREASE REVENUE SENSITIVE ITEMS FOR DECREASE IN REVENUES:</t>
  </si>
  <si>
    <t xml:space="preserve">ACCUMULATED AMORTIZATION </t>
  </si>
  <si>
    <t>INCREASE (DECREASE) FIT @</t>
  </si>
  <si>
    <t>REMOVE LOW INCOME RIDER - SCHEDULE 129</t>
  </si>
  <si>
    <t>DFIT FLOW-THROUGH REVERSALS</t>
  </si>
  <si>
    <t>PROFORMA INTEREST</t>
  </si>
  <si>
    <t xml:space="preserve">     2020 AND 2014 PCORC EXPENSES TO BE NORMALIZED</t>
  </si>
  <si>
    <t>APPLICABLE TO OPERATIONS @</t>
  </si>
  <si>
    <t>CUSTOMER ACCTS</t>
  </si>
  <si>
    <t>INVESTMENT PLAN APPLICABLE TO IBEW</t>
  </si>
  <si>
    <t>403.1 ELEC. ASSET RETIREMENT COST DEPRECIATION</t>
  </si>
  <si>
    <t>INCREASE(DECREASE) NOI</t>
  </si>
  <si>
    <t>NET ELECTRIC AMR PLANT</t>
  </si>
  <si>
    <t>Total Electric AMI Plant</t>
  </si>
  <si>
    <t>TOTAL ADJUSTMENT TO RATEBASE</t>
  </si>
  <si>
    <t>AMORTIZATION OF REGULATORY ASSET/LIABILITY</t>
  </si>
  <si>
    <t>Increase (Decrease) Expense</t>
  </si>
  <si>
    <t xml:space="preserve">ACCUMULATED DEFERRED INCOME TAXES </t>
  </si>
  <si>
    <t>REMOVE RESIDENTIAL EXCHANGE - SCH 194</t>
  </si>
  <si>
    <t>UNCOLLECTIBLES @</t>
  </si>
  <si>
    <t xml:space="preserve">INCREASE (DECREASE) FIT </t>
  </si>
  <si>
    <t xml:space="preserve">     CCA Power Cost </t>
  </si>
  <si>
    <t>CHARGED TO EXPENSE</t>
  </si>
  <si>
    <t>CUSTOMER SERVICE</t>
  </si>
  <si>
    <t>403.1 ELEC. PORTION OF COMMON</t>
  </si>
  <si>
    <t/>
  </si>
  <si>
    <t>TOTAL AMORTIZATION OF REG ASSETS/LIABS</t>
  </si>
  <si>
    <t>SCHEDULE 141N - RATES NOT SUBJECT TO REFUND - REMOVE 6 MOS IN TY</t>
  </si>
  <si>
    <t>SCHEDULE 132 MERGER RATE CREDIT</t>
  </si>
  <si>
    <t>ANNUAL FILING FEE @</t>
  </si>
  <si>
    <t xml:space="preserve">INCREASE (DECREASE) FIT @ </t>
  </si>
  <si>
    <t>TOTAL INCREASE (DECREASE) EXPENSE</t>
  </si>
  <si>
    <t>INCREASE (DECREASE ) EXPENSE</t>
  </si>
  <si>
    <t>SALES</t>
  </si>
  <si>
    <t>UA</t>
  </si>
  <si>
    <t>check</t>
  </si>
  <si>
    <t>411.10 ELEC. ASSET RETIREMENT OBLIGATION ACCRETION</t>
  </si>
  <si>
    <t>Accumulated Depreciation:</t>
  </si>
  <si>
    <t>STATE UTILITY TAX</t>
  </si>
  <si>
    <t>REMOVE TEST YEAR DEFERRAL</t>
  </si>
  <si>
    <t>Increase (Decrease) FIT 409.1</t>
  </si>
  <si>
    <t xml:space="preserve">NET RATE BASE </t>
  </si>
  <si>
    <t>SCHEDULE 141R - RATES SUBJECT TO REFUND - REMOVE 6 MOS IN TY</t>
  </si>
  <si>
    <t>REMOVE REC PROCEEDS - SCH 137</t>
  </si>
  <si>
    <t>STATE UTILITY TAX @</t>
  </si>
  <si>
    <t xml:space="preserve">INCREASE(DECREASE) NOI </t>
  </si>
  <si>
    <t>ADMIN. &amp; GENERAL</t>
  </si>
  <si>
    <t>INVESTMENT PLAN APPLICABLE TO UA</t>
  </si>
  <si>
    <t>411.10 ELEC. PORTION OF COMMON ASSET RETIRE OBLIG ACCRETION</t>
  </si>
  <si>
    <t>NET RATEBASE</t>
  </si>
  <si>
    <t>TOTAL DEPRECIATION AND ACCRETION</t>
  </si>
  <si>
    <t xml:space="preserve">TOTAL </t>
  </si>
  <si>
    <t xml:space="preserve">TOTAL REGULATORY AMORT </t>
  </si>
  <si>
    <t>SCHEDULE 141X - PROTECTED PLUS EXCESS DEFERRED INCOME TAX REVERSAL</t>
  </si>
  <si>
    <t>REMOVE AMORTIZATION ASSOCIATED WITH SCH 137 REC PROCEEDS</t>
  </si>
  <si>
    <t>INCREASE(DECREASE) FIT @ 21%</t>
  </si>
  <si>
    <t>TOTAL INCENTIVE / MERIT PAY</t>
  </si>
  <si>
    <t>(NOTE 1) INSURANCE PREMIUMS RELATED TO WILDFIRE COVERAGE ARE INCLUDED IN THESE RESTATING / PROFORMA ADJUSTMENTS</t>
  </si>
  <si>
    <t>TOTAL WAGE INCREASE</t>
  </si>
  <si>
    <t>Increase (Decrease) NOI</t>
  </si>
  <si>
    <t>AMORTIZATION EXPENSE-</t>
  </si>
  <si>
    <t>SCHEDULE 141Y - TEMPORARY FEDERAL INCOME TAX CREDIT</t>
  </si>
  <si>
    <t>REMOVE DECOUPLING SCH 142 REVENUE</t>
  </si>
  <si>
    <t>THESE PREMIUMS ARE THEN REMOVED FROM THE REVENUE REQUIREMENT IN THE O&amp;M ADJUSTMENT, AS O&amp;M AMOUNTS FOR 2025 AND 2026 DO NOT CONTAIN WILDFIRE PREMIUMS.</t>
  </si>
  <si>
    <t>OPERATING INCOME/EXPENSE:</t>
  </si>
  <si>
    <t>REMOVE TY EXPENSE DEFERRALS</t>
  </si>
  <si>
    <t>SCHEDULE 141Z -  UNPROTECTED EXCESS DEFERRED INCOME TAX REVERSAL</t>
  </si>
  <si>
    <t>REMOVE DECOUPLING SCH 142 SURCHARGE AMORT EXPENSE</t>
  </si>
  <si>
    <t>INCREASE (DECREASE) OPERATING INCOME BEFORE INCOME TAXES</t>
  </si>
  <si>
    <t>PAYROLL TAXES ASSOCI WITH MERIT PAY</t>
  </si>
  <si>
    <t>TOTAL PROFORMA COSTS</t>
  </si>
  <si>
    <t>WILDFIRE PREMIUMS FOR THE RATE YEARS ARE SEPARATELY ESTIMATED AND REQUESTED FOR RECOVERY IN A SEPARATE RATE SCHEDULE, SCHEDULE 141WFD</t>
  </si>
  <si>
    <t>PAYROLL TAXES</t>
  </si>
  <si>
    <t>Total Electric AMI Accum Depreciation</t>
  </si>
  <si>
    <t>Annualized  Revenues:</t>
  </si>
  <si>
    <t>REMOVE GREEN POWER - SCH 135/136</t>
  </si>
  <si>
    <t>INCREASE (DECREASE ) IN EXPENSE</t>
  </si>
  <si>
    <t>TOTAL WAGES &amp; TAXES</t>
  </si>
  <si>
    <t>TOTAL INCREASE (DECREASE) IN COSTS</t>
  </si>
  <si>
    <t>DEPRECIATION EXPENSE</t>
  </si>
  <si>
    <t>INCREASE TO GROSS PLANT</t>
  </si>
  <si>
    <t>EV NET EXPENSE DEFERRAL (NOTE 1)</t>
  </si>
  <si>
    <t>BASE REVENUE (1-11-2023) - RATE CHANGE ANNUALIZED</t>
  </si>
  <si>
    <t>REMOVE GREEN POWER - SCH 135/136 ELIMINATE OVER EXPENSED</t>
  </si>
  <si>
    <t>*Note - Colstrip and TGrant DFIT are removed from the test year in Adjustment 6.54. Only the incremental Costrip related DFIT beyond the test year is removed in this adjustment</t>
  </si>
  <si>
    <t>COSTS APPLICABLE TO OPERATIONS</t>
  </si>
  <si>
    <t>ADIT:</t>
  </si>
  <si>
    <t>DFIT REVERSAL TO FIT</t>
  </si>
  <si>
    <t>INCREASE TO ACCUM. DEPRECIATION &amp; AMORTIZATION</t>
  </si>
  <si>
    <t>EMISSIONS EXPENSE DEFERRAL - WHOLESALE</t>
  </si>
  <si>
    <t>141N REVENUE (1-11-2023) - 6 MONTHS ANNUALIZED + 6 MONTHS ACTUALS</t>
  </si>
  <si>
    <t>REMOVE SCH. 141A (GREEN DIRECT ENERGY CREDIT RECOVERY)</t>
  </si>
  <si>
    <t xml:space="preserve">              since the Tgrant DFIT doesn't change post test year no further adjustment is required.</t>
  </si>
  <si>
    <t>INCREASE (DECREASE) OPERATING EXPENSE</t>
  </si>
  <si>
    <t>INCREASE TO ACCUMULATED DEFERRED INCOME TAXES</t>
  </si>
  <si>
    <t xml:space="preserve"> GTZ DEPR EXP DEFERRAL (NOTE 1)</t>
  </si>
  <si>
    <t>141R REVENUE  (1-11-2023) - 6 MONTHS ANNUALIZED + 6 MONTHS ACTUALS</t>
  </si>
  <si>
    <t>REMOVE SCH. 141A/SCH. 139 GREEN DIRECT CREDIT REVENUE</t>
  </si>
  <si>
    <t>ADJUSTMENTS TO ADIT ARE MADE IN ALL OTHER ADJUSTMENTS WITH RATE BASE COMPONENTS</t>
  </si>
  <si>
    <t>INCREASE (DECREASE) OPERATING INCOME</t>
  </si>
  <si>
    <t>Electric portion of Common AMI</t>
  </si>
  <si>
    <t>TOTAL ADJUSTMENT TO RATE BASE</t>
  </si>
  <si>
    <t>Other:</t>
  </si>
  <si>
    <t>REMOVE SCH. 141A/SCH. 139 DEFERRAL ACCOUNT</t>
  </si>
  <si>
    <t>RECLASSIFY TRANSPORTATION REVENUES FROM OTHER OPERATING</t>
  </si>
  <si>
    <t xml:space="preserve">REMOVE PCA AMORTIZATION OF CUSTOMER RECEIVABLE UE-200893 </t>
  </si>
  <si>
    <t>Total Electric AMI ADIT</t>
  </si>
  <si>
    <t>ADJUSTMENT TO ACCUM. DEPREC.</t>
  </si>
  <si>
    <t>UNBILLED REVENUE CHANGE</t>
  </si>
  <si>
    <t>TOTAL (INCREASE) DECREASE REVENUES</t>
  </si>
  <si>
    <t>ADJUSTMENT TO ACCUM. DEPREC. AT 100% DEPREC. EXP. LINE 9</t>
  </si>
  <si>
    <t>ADJUSTMENT TO ADIT IS IN ADJ 6.29 AND TO EDIT IS IN 6.04</t>
  </si>
  <si>
    <t xml:space="preserve">CUSTOMER MIGRATION ADJUSTMENT FROM SCH 449I TO SCH 31 </t>
  </si>
  <si>
    <t>DFIT</t>
  </si>
  <si>
    <t>SCHEDULE 139 GREEN DIRECT RESOURCE OPTION CHARGE</t>
  </si>
  <si>
    <t xml:space="preserve">SCHEDULE 139 GREEN DIRECT ENERGY CREDIT </t>
  </si>
  <si>
    <t>OPERATING INCOME</t>
  </si>
  <si>
    <t xml:space="preserve">(NOTE 1) THESE DEFERRALS WERE APPROVED FOR RECOVERY IN THE PRIOR RATE CASE; THEIR </t>
  </si>
  <si>
    <t>SCHEDULE 139 GREEN DIRECT SUPPLEMENT ENERGY CREDIT</t>
  </si>
  <si>
    <t>(NOTE 1) - DUE TO AMR RETIREMENTS, THE ACCUMULATED DEPRECIATION HAS A DEBIT BALANCE RESULTING IN AN OVERALL NEGATIVE RESERVE</t>
  </si>
  <si>
    <t>Remove Test Year Entries for Deferred Return (456)</t>
  </si>
  <si>
    <t xml:space="preserve">RATE BASE AND AMORTIZATION ADJUSTMENTS ARE INCLUDED IN THE </t>
  </si>
  <si>
    <t xml:space="preserve">REGULATORY ASSETS AND LIABILITIES ADJUSTMENT. THESE ADJUSTMENTS REVERSE THE </t>
  </si>
  <si>
    <t>REVENUE SENSITIVE ITEMS FOR CHANGE IN REVENUES:</t>
  </si>
  <si>
    <t>DEFERRAL ENTRIES THAT OCCURRED IN THE TEST YEAR.</t>
  </si>
  <si>
    <t>NORMALIZED TEST YEAR SALES REVENUE</t>
  </si>
  <si>
    <t>REMOVE EXPENSES ASSOCIATED WITH RIDERS</t>
  </si>
  <si>
    <t>OTHER - SALES</t>
  </si>
  <si>
    <t>REMOVE CONSERVATION AMORTIZATON - SCHEDULE 120</t>
  </si>
  <si>
    <t>REMOVE PROPERTY TAX AMORTIZATION EXP - SCHEDULE 140</t>
  </si>
  <si>
    <t>OTHER- RESALE</t>
  </si>
  <si>
    <t>REMOVE MUNICIPAL TAXES - SCHEDULE 81</t>
  </si>
  <si>
    <t>ADJUSTMENTS TO SALES TO CUSTOMERS</t>
  </si>
  <si>
    <t>REMOVE LOW INCOME AMORTIZATION - SCHEDULE 129</t>
  </si>
  <si>
    <t>OPERATING EXPENSE</t>
  </si>
  <si>
    <r>
      <t xml:space="preserve">Amortization of Deferred </t>
    </r>
    <r>
      <rPr>
        <b/>
        <sz val="10"/>
        <color rgb="FFFF0000"/>
        <rFont val="Times New Roman"/>
        <family val="1"/>
      </rPr>
      <t>Equity</t>
    </r>
    <r>
      <rPr>
        <sz val="10"/>
        <color theme="1"/>
        <rFont val="Times New Roman"/>
        <family val="1"/>
      </rPr>
      <t xml:space="preserve"> Return on AMI </t>
    </r>
  </si>
  <si>
    <t>REMOVE AMORT ON INTEREST ON REC PROCEEDS SCH 137</t>
  </si>
  <si>
    <t>GREEN POWER - SCH 135/136 TAGS CHARGED TO 557</t>
  </si>
  <si>
    <t>EV ONE TIME INCENTIVE</t>
  </si>
  <si>
    <t>GREEN POWER - SCH 135/136 CHARGED TO C.99999.03.37.01</t>
  </si>
  <si>
    <t xml:space="preserve">INCREASE (DECREASE ) OPERATING INCOME </t>
  </si>
  <si>
    <t>GREEN POWER - SCH 135/136 BENEFITS PORTION OF ADMIN</t>
  </si>
  <si>
    <t>GREEN POWER - SCH 135/136 TAXES PORTION OF ADMIN</t>
  </si>
  <si>
    <t>REMOVE OVEREARNINGS ACCRUALS</t>
  </si>
  <si>
    <t>REMOVE PCA CUSTOMER RECEIVABLE UE200893 (BOOKED TO 55700138)</t>
  </si>
  <si>
    <t>REMOVE CURRENT PERIOD DECOUPLING DEFERRALS</t>
  </si>
  <si>
    <t>REMOVE REVENUE DEFERRALS FOR TAX REFORM</t>
  </si>
  <si>
    <t>RECLASSIFY TRANPORTATION REVENUES TO SALES TO CUSTOMERS TY only</t>
  </si>
  <si>
    <t>REMOVE PLR REVENUE ACCRUAL - OFFSET TO LINE 26 and 27</t>
  </si>
  <si>
    <t>INCREASE (DECREASE) OPERATING INCOME BEFORE FIT</t>
  </si>
  <si>
    <t>REMOVE 24 M GAAP</t>
  </si>
  <si>
    <t>REMOVE RESERVE ON DEFERRED LATE PAY FEES/COVID</t>
  </si>
  <si>
    <t>REMOVE GREEN DIRECT LIQ DMGS AMORT - REV REMOVAL PART OF LINE 37</t>
  </si>
  <si>
    <t xml:space="preserve">INCLUDE TRANSMISSION OATT REVENUE </t>
  </si>
  <si>
    <t>ADJUSTMENTS TO OTHER OPERATING REVENUES</t>
  </si>
  <si>
    <t>TOTAL INCREASE (DECREASE) RETAIL REVENUES</t>
  </si>
  <si>
    <t>FIRM RESALE</t>
  </si>
  <si>
    <t>TOTAL ADJUSTMENTS TO REVENUES</t>
  </si>
  <si>
    <t>SCH95A SET IN RATES UE-220066</t>
  </si>
  <si>
    <t>INT ON SCH95A SET IN RATES UE-220066</t>
  </si>
  <si>
    <t>REMOVE SCHEDULE 95A TREASURY GRANTS AMORTIZATION OF INTEREST AND GRANTS</t>
  </si>
  <si>
    <t>SCH95A SET IN RATES</t>
  </si>
  <si>
    <t>TOTAL INCREASE (DECREASE) EXPENSES</t>
  </si>
  <si>
    <t xml:space="preserve">STATE UTILITY TAX </t>
  </si>
  <si>
    <t>TOTAL INCREASE (DECREASE) RSI</t>
  </si>
  <si>
    <t>INCREASE (DECREASE) INCOME</t>
  </si>
  <si>
    <t>NOTE 1 - BECAUSE REVENUES ARE REFLECTED IN MULTIPLE REVENUE REQUIREMENT ADJUSTMENTS, IT IS NOT POSSIBLE TO PORTRAY TEST YEAR,</t>
  </si>
  <si>
    <t>RESTATED AND PROFORMA AMOUNTS AND SO ONLY THE AMOUNT OF THE ADJUSTMENTS IS DISPLAYED</t>
  </si>
  <si>
    <t>TOTAL ALL PROVISIONAL PROFORMAS</t>
  </si>
  <si>
    <t>NOTE 2 - THE TAX AMOUNTS FOR SCHEDULE 95A WIND GRANTS AND THE AMORTIZATION OF SCHEDULE 141Z UNPROTECTED EDIT ARE REMOVED IN THE FEDERAL INCOME TAX ADJUSTMENT.</t>
  </si>
  <si>
    <t>RB from EOP Adj.</t>
  </si>
  <si>
    <t>RB From EOP Adj</t>
  </si>
  <si>
    <t>VARIABLE ENERGY COSTS FROM POWER COST WITNESS</t>
  </si>
  <si>
    <t>WILD HORSE SOLAR RATEBASE (AMA)</t>
  </si>
  <si>
    <t>STORM DAMAGE EXPENSE - DISTRIBUTION</t>
  </si>
  <si>
    <t>AMA OF REGULATORY ASSET/LIABILITY NET OF ACCUM AMORT AND DFIT</t>
  </si>
  <si>
    <t>GREEN DIRECT RATEBASE (AMA)</t>
  </si>
  <si>
    <t>PLANT</t>
  </si>
  <si>
    <t>UTILITY PLANT RATEBASE</t>
  </si>
  <si>
    <t>a</t>
  </si>
  <si>
    <t>b</t>
  </si>
  <si>
    <t>c = a + b</t>
  </si>
  <si>
    <t>d</t>
  </si>
  <si>
    <t>e = c + d</t>
  </si>
  <si>
    <t>g = e + f</t>
  </si>
  <si>
    <t>h</t>
  </si>
  <si>
    <t>i = g + h</t>
  </si>
  <si>
    <t>REMOVE TEST YEAR CEIP REVENUE DEFERRAL</t>
  </si>
  <si>
    <t>COAL FUEL (501)</t>
  </si>
  <si>
    <t>PLANT BALANCE</t>
  </si>
  <si>
    <t>STORM DAMAGE EXPENSE - TRANSMISSION</t>
  </si>
  <si>
    <r>
      <t>MINT FARM DEFFRED - UE-090704 (FERC 407.3) (</t>
    </r>
    <r>
      <rPr>
        <sz val="10"/>
        <color rgb="FF0000FF"/>
        <rFont val="Times New Roman"/>
        <family val="1"/>
      </rPr>
      <t>Ends Mar 2025</t>
    </r>
    <r>
      <rPr>
        <sz val="10"/>
        <rFont val="Times New Roman"/>
        <family val="1"/>
      </rPr>
      <t>)</t>
    </r>
  </si>
  <si>
    <t>PLANT IN SERVICE</t>
  </si>
  <si>
    <t>141TEP REVENUES</t>
  </si>
  <si>
    <t xml:space="preserve">CEIP - DEFERRED RETURN ON INVESTMENT </t>
  </si>
  <si>
    <t>NATURAL GAS FUEL (547)</t>
  </si>
  <si>
    <t xml:space="preserve">ACCUM DEPRECIATION </t>
  </si>
  <si>
    <t>STORM DAMAGE EXPENSE - BENEFITS</t>
  </si>
  <si>
    <r>
      <t>CHELAN PUD (</t>
    </r>
    <r>
      <rPr>
        <sz val="10"/>
        <color rgb="FF0000FF"/>
        <rFont val="Times New Roman"/>
        <family val="1"/>
      </rPr>
      <t>Ends Oct 2031</t>
    </r>
    <r>
      <rPr>
        <sz val="10"/>
        <rFont val="Times New Roman"/>
        <family val="1"/>
      </rPr>
      <t>)</t>
    </r>
  </si>
  <si>
    <t>ACCUMULATED DEPRECIATION</t>
  </si>
  <si>
    <t>REVENUES</t>
  </si>
  <si>
    <t>DEFERRALS</t>
  </si>
  <si>
    <t>PURCHASED POWER (555)</t>
  </si>
  <si>
    <t>DEFERRED INCOME TAX LIABILITY</t>
  </si>
  <si>
    <t>STORM DAMAGE EXPENSE - PAYROLL TAX</t>
  </si>
  <si>
    <r>
      <t>CHELAN - ROCK ISLAND SECURITY DEPOSIT (</t>
    </r>
    <r>
      <rPr>
        <sz val="10"/>
        <color rgb="FF0000FF"/>
        <rFont val="Times New Roman"/>
        <family val="1"/>
      </rPr>
      <t>Est. End Nov 2031</t>
    </r>
    <r>
      <rPr>
        <sz val="10"/>
        <rFont val="Times New Roman"/>
        <family val="1"/>
      </rPr>
      <t>)</t>
    </r>
  </si>
  <si>
    <t xml:space="preserve">    ENCOGEN PLANT IN SERVICE</t>
  </si>
  <si>
    <t>DR PPA DEFERRAL</t>
  </si>
  <si>
    <t>DEMAND RESPONSE (557)</t>
  </si>
  <si>
    <t>NET WH SOLAR PLANT RATEBASE</t>
  </si>
  <si>
    <r>
      <t>LOWER SNAKE RIVER PP TRANSM PRINCIPAL $99.8M (</t>
    </r>
    <r>
      <rPr>
        <sz val="10"/>
        <color rgb="FF0000FF"/>
        <rFont val="Times New Roman"/>
        <family val="1"/>
      </rPr>
      <t>Est. End Aug 2031</t>
    </r>
    <r>
      <rPr>
        <sz val="10"/>
        <rFont val="Times New Roman"/>
        <family val="1"/>
      </rPr>
      <t>)</t>
    </r>
  </si>
  <si>
    <t xml:space="preserve">TOTAL NET PLANT </t>
  </si>
  <si>
    <t xml:space="preserve">    MINT FARM PLANT IN SERVICE</t>
  </si>
  <si>
    <t>OTHER POWER EXPENSE (557)</t>
  </si>
  <si>
    <t>SUBTOTAL RESTATING</t>
  </si>
  <si>
    <r>
      <t>CARRYING CHARGES ON LSR PP TRANSM $99.8M (FERC 407.3) (</t>
    </r>
    <r>
      <rPr>
        <sz val="10"/>
        <color rgb="FF0000FF"/>
        <rFont val="Times New Roman"/>
        <family val="1"/>
      </rPr>
      <t>Est. End Jun 2037</t>
    </r>
    <r>
      <rPr>
        <sz val="10"/>
        <rFont val="Times New Roman"/>
        <family val="1"/>
      </rPr>
      <t>)</t>
    </r>
  </si>
  <si>
    <t xml:space="preserve">    FERNDALE PLANT IN SERVICE</t>
  </si>
  <si>
    <t xml:space="preserve">          TOTAL CETA PPA DEFERRAL</t>
  </si>
  <si>
    <t>BROKERAGE FEES (557 VARIABLE)</t>
  </si>
  <si>
    <t>WILD HORSE SOLAR OPERATING EXPENSE</t>
  </si>
  <si>
    <t>WHITE RIVER PLANT COSTS (2004 GRC)</t>
  </si>
  <si>
    <t>GREEN DIRECT OPERATING EXPENSE</t>
  </si>
  <si>
    <t>REGULATORY ASSETS</t>
  </si>
  <si>
    <t>TOTAL PLANT IN RATEBASE</t>
  </si>
  <si>
    <t>WHEELING  (565)</t>
  </si>
  <si>
    <r>
      <t>SPI BIOMASS PPA (FERC 407.3) (</t>
    </r>
    <r>
      <rPr>
        <sz val="10"/>
        <color rgb="FF0000FF"/>
        <rFont val="Times New Roman"/>
        <family val="1"/>
      </rPr>
      <t>Ends Jun 2023</t>
    </r>
    <r>
      <rPr>
        <sz val="10"/>
        <rFont val="Times New Roman"/>
        <family val="1"/>
      </rPr>
      <t>)</t>
    </r>
  </si>
  <si>
    <t>DEFERRED STORM DAMAGE AMORTIZATION EXPENSE</t>
  </si>
  <si>
    <t>COLSTRIP 1&amp;2 REGULATORY ASSET</t>
  </si>
  <si>
    <t>ACCUM AMORT ON PPA DEFERRAL</t>
  </si>
  <si>
    <t>SALES TO OTHER UTILITIES (447)</t>
  </si>
  <si>
    <r>
      <t>PRODUCTION UNPROTECTED EDIT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</si>
  <si>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ADMIN AND GENERAL</t>
  </si>
  <si>
    <t>COLSTRIP 3&amp;4 REGULATORY ASSET</t>
  </si>
  <si>
    <t>PURCHASES / (SALES) OF NON -CORE GAS (456)</t>
  </si>
  <si>
    <r>
      <t>UNPROTECTED EDIT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</si>
  <si>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COLSTRIP 3&amp;4 FERC ADJUSTMENTS (NET)</t>
  </si>
  <si>
    <t xml:space="preserve">    ENCOGEN ACCUM DEPR</t>
  </si>
  <si>
    <t xml:space="preserve">          TOTAL ACCUM AMORT ON CETA PPA DEFERRAL</t>
  </si>
  <si>
    <t>REMOVE TEST YEAR CEIP EXPENSES DEFERRAL</t>
  </si>
  <si>
    <t>INCREASE / (DECREASE) EXPENSE</t>
  </si>
  <si>
    <r>
      <t>AMI- DEPRECIATION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</si>
  <si>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t>DFIT ON 1&amp;2 REGULATORY ASSET</t>
  </si>
  <si>
    <t xml:space="preserve">    MINT FARM ACCUM DEPR</t>
  </si>
  <si>
    <t xml:space="preserve">CEIP - DEFERRED O&amp;M EXPENSE </t>
  </si>
  <si>
    <r>
      <t>GTZ- DEPRECIATION (</t>
    </r>
    <r>
      <rPr>
        <sz val="10"/>
        <color rgb="FF0000FF"/>
        <rFont val="Times New Roman"/>
        <family val="1"/>
      </rPr>
      <t>Ends T1 Oct 2023, T1a Dec 2025, T2 Dec 2026)</t>
    </r>
  </si>
  <si>
    <t>DFIT ON 3&amp;4 REGULATORY ASSET</t>
  </si>
  <si>
    <t xml:space="preserve">    FERNDALE ACCUM DEPR</t>
  </si>
  <si>
    <t>RATE BASE SUMMARY</t>
  </si>
  <si>
    <t>DFIT ON PPA DEFERRAL</t>
  </si>
  <si>
    <t xml:space="preserve">CEIP - DEFERRED DEPRECIATION EXPENSE </t>
  </si>
  <si>
    <t>OTHER PRODUCTION COSTS</t>
  </si>
  <si>
    <r>
      <t>ELECTRIC VEHICLE- UE-220066 (</t>
    </r>
    <r>
      <rPr>
        <sz val="10"/>
        <color rgb="FF0000FF"/>
        <rFont val="Times New Roman"/>
        <family val="1"/>
      </rPr>
      <t>Ends Dec 2026</t>
    </r>
    <r>
      <rPr>
        <sz val="10"/>
        <rFont val="Times New Roman"/>
        <family val="1"/>
      </rPr>
      <t>)</t>
    </r>
  </si>
  <si>
    <t>TOTAL REGULATORY ASSETS</t>
  </si>
  <si>
    <t>TOTAL ACCUMULATED DEPRECIATION</t>
  </si>
  <si>
    <t>GROSS UTILITY PLANT</t>
  </si>
  <si>
    <t>PRODUCTION O&amp;M</t>
  </si>
  <si>
    <r>
      <t>AMR - (</t>
    </r>
    <r>
      <rPr>
        <sz val="10"/>
        <color rgb="FF0000FF"/>
        <rFont val="Times New Roman"/>
        <family val="1"/>
      </rPr>
      <t>Ends Nov 2043</t>
    </r>
    <r>
      <rPr>
        <sz val="10"/>
        <rFont val="Times New Roman"/>
        <family val="1"/>
      </rPr>
      <t>)</t>
    </r>
  </si>
  <si>
    <t xml:space="preserve">          TOTAL DFIT ON CETA PPA DEFERRAL</t>
  </si>
  <si>
    <t>500KV TRANSMISSION EXPENSE</t>
  </si>
  <si>
    <t xml:space="preserve">D&amp;R </t>
  </si>
  <si>
    <t>DEFERRED DEBITS AND CREDITS 18231361</t>
  </si>
  <si>
    <t>AMORTIZATION EXPENSE</t>
  </si>
  <si>
    <t>TRANSMISSION REVENUE - COLSTRIP, 3RD AC &amp; NI</t>
  </si>
  <si>
    <t>108-TGRANT RCW 80.84</t>
  </si>
  <si>
    <t>ACCUMULATED DEFERRED TAXES</t>
  </si>
  <si>
    <t>CEIP - DEFERRED COSTS AMORTIZATION</t>
  </si>
  <si>
    <t>RETURN ON CETA DR PPAs</t>
  </si>
  <si>
    <t>Starting with EOP Balance because already restated EOP to AMA RB Adjustment</t>
  </si>
  <si>
    <t>COLSTRIP 1&amp;2 D&amp;R SPEND</t>
  </si>
  <si>
    <t>NET RATE BASE</t>
  </si>
  <si>
    <t>EQUITY RETURN ON CENTRALIA COAL TRANSITION PPA</t>
  </si>
  <si>
    <t>COLSTRIP 1&amp;2 D&amp;R RECOVERY</t>
  </si>
  <si>
    <t>AMORTIZATION OF ENCOGEN</t>
  </si>
  <si>
    <t>FOR INPUT INTO DETAILED SUMMARY:</t>
  </si>
  <si>
    <t>PRE 2023 3&amp;4 RECOVERED D&amp;R</t>
  </si>
  <si>
    <t>AMORTIZATION OF MINT FARM</t>
  </si>
  <si>
    <t>AMORTIZATION OF PPA DEFERRAL</t>
  </si>
  <si>
    <t>BALANCE OF REGULATORY ASSET OR LIABILITY</t>
  </si>
  <si>
    <t>Reg A/L</t>
  </si>
  <si>
    <t>COLSTRIP 3&amp;4 D&amp;R SPEND</t>
  </si>
  <si>
    <t>AMORTIZATION OF FERNDALE</t>
  </si>
  <si>
    <t>NET OPERATING INCOME FOR:</t>
  </si>
  <si>
    <t>AMORTIZATION OF RETURN ON PPA DEFERRAL</t>
  </si>
  <si>
    <t>STATE UTILITY TAX INCREASE ON HIGHER TRANSM REV</t>
  </si>
  <si>
    <t>ADIT</t>
  </si>
  <si>
    <t>COLSTRIP 3&amp;4 D&amp;R RECOVERY</t>
  </si>
  <si>
    <t>A&amp;G</t>
  </si>
  <si>
    <t xml:space="preserve">NET INCREASE / (DECREASE) PRODUCTION EXPENSE </t>
  </si>
  <si>
    <t>TOTAL REGULATORY ASSETS SUMMARIZED</t>
  </si>
  <si>
    <t>Total</t>
  </si>
  <si>
    <t>TOTAL 1-4 D&amp;R</t>
  </si>
  <si>
    <t>INCREASE / (DECREASE) FIT @ 21%</t>
  </si>
  <si>
    <t>PTC'S</t>
  </si>
  <si>
    <t>INCREASE / (DECREASE) NOI</t>
  </si>
  <si>
    <t>MONTEIZED PTCS</t>
  </si>
  <si>
    <t>REMOVE TEST YEAR REVENUE TRACKER ENTRIES</t>
  </si>
  <si>
    <t>PTC ACCRUED INTEREST</t>
  </si>
  <si>
    <t>REMOVE TEST YEAR O&amp;M TRACKER ENTRIES</t>
  </si>
  <si>
    <t>|------------  (Note 1)  ------------|</t>
  </si>
  <si>
    <t>MONTANA TRANSITION FUND</t>
  </si>
  <si>
    <t>REMOVE TEST YEAR DEPRECIATION TRACKER ENTRIES</t>
  </si>
  <si>
    <r>
      <t>LOWER SNAKE RIVER PP TRANSM PRINCIPAL $99.8M (</t>
    </r>
    <r>
      <rPr>
        <sz val="10"/>
        <color rgb="FF0000FF"/>
        <rFont val="Times New Roman"/>
        <family val="1"/>
      </rPr>
      <t>Est. End Aug 2031</t>
    </r>
    <r>
      <rPr>
        <sz val="10"/>
        <color theme="1"/>
        <rFont val="Times New Roman"/>
        <family val="1"/>
      </rPr>
      <t>)</t>
    </r>
  </si>
  <si>
    <t>DFIT MONETIZED PTCS</t>
  </si>
  <si>
    <t>DFIT MONETIZED PTC INTEREST ACCRUAL</t>
  </si>
  <si>
    <t>WHITE RIVER PLANT COSTS</t>
  </si>
  <si>
    <t>DFIT ON UNITS 1&amp;2 PTC APPLICATION</t>
  </si>
  <si>
    <t>DFIT ON UNITS 3&amp;4 PTC APPLICATION</t>
  </si>
  <si>
    <t>EDIT (PRODUCTION AND NON-PRODUCTION)</t>
  </si>
  <si>
    <t>|------------  (Note 2)  ------------|</t>
  </si>
  <si>
    <t>TOTAL PTC'S</t>
  </si>
  <si>
    <r>
      <t>AMI- DEPRECIATION UE-190529 (FERC 407.3)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</si>
  <si>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r>
      <t>AMI- DEPRECIATION UE-220066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</si>
  <si>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AMI- RETURN ON DEBT EQUITY UE-220066 (FERC 456)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 xml:space="preserve">) </t>
    </r>
    <r>
      <rPr>
        <sz val="10"/>
        <color rgb="FFFF0000"/>
        <rFont val="Times New Roman"/>
        <family val="1"/>
      </rPr>
      <t>Revenue line</t>
    </r>
  </si>
  <si>
    <r>
      <t>GTZ- T1 DEPRECIATION (FERC 407.3)(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</si>
  <si>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r>
      <t>GTZ- T1 CARRYING CHARGES (FERC 407.3) (</t>
    </r>
    <r>
      <rPr>
        <sz val="10"/>
        <color rgb="FF0000FF"/>
        <rFont val="Times New Roman"/>
        <family val="1"/>
      </rPr>
      <t>Ends Sept 2023</t>
    </r>
    <r>
      <rPr>
        <sz val="10"/>
        <rFont val="Times New Roman"/>
        <family val="1"/>
      </rPr>
      <t>)</t>
    </r>
  </si>
  <si>
    <r>
      <t>GTZ- T1a DEPRECIATION UE-22066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</si>
  <si>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GTZ- T1a CARRYING CHARGES UE-220066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</si>
  <si>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GTZ- T2 DEPRECIATION UE-220066 (FERC 407.3) 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</si>
  <si>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r>
      <t>GTZ- T2 CARRYING CHARGES UE-220066 (FERC 407.3)(</t>
    </r>
    <r>
      <rPr>
        <sz val="10"/>
        <color rgb="FF0000FF"/>
        <rFont val="Times New Roman"/>
        <family val="1"/>
      </rPr>
      <t>Ends Jan 2026</t>
    </r>
    <r>
      <rPr>
        <sz val="10"/>
        <rFont val="Times New Roman"/>
        <family val="1"/>
      </rPr>
      <t>)</t>
    </r>
  </si>
  <si>
    <t>REVENUES (FINANCIAL STATEMENT SIGN):</t>
  </si>
  <si>
    <r>
      <t>ELECTRIC VEHICLE DEPRECIATION- UE-220066 (FERC 407.3)(</t>
    </r>
    <r>
      <rPr>
        <sz val="10"/>
        <color rgb="FF0000FF"/>
        <rFont val="Times New Roman"/>
        <family val="1"/>
      </rPr>
      <t>Ends Jan 2027</t>
    </r>
    <r>
      <rPr>
        <sz val="10"/>
        <rFont val="Times New Roman"/>
        <family val="1"/>
      </rPr>
      <t>)</t>
    </r>
  </si>
  <si>
    <t>SCHEDULE 141COL</t>
  </si>
  <si>
    <r>
      <t>ELECTRIC VEHICLE CARRYING CHARGES - UE-220066 (FERC 407.3)(</t>
    </r>
    <r>
      <rPr>
        <sz val="10"/>
        <color rgb="FF0000FF"/>
        <rFont val="Times New Roman"/>
        <family val="1"/>
      </rPr>
      <t>Ends Jan 2027</t>
    </r>
    <r>
      <rPr>
        <sz val="10"/>
        <rFont val="Times New Roman"/>
        <family val="1"/>
      </rPr>
      <t>)</t>
    </r>
  </si>
  <si>
    <t>EXPENSES (FINANCIAL STATEMENT SIGN):</t>
  </si>
  <si>
    <r>
      <t>ELECTRIC VEHICLE RETURN ON RATE DEF - UE-220066 (FERC 407.3) (</t>
    </r>
    <r>
      <rPr>
        <sz val="10"/>
        <color rgb="FF0000FF"/>
        <rFont val="Times New Roman"/>
        <family val="1"/>
      </rPr>
      <t>Ends Jan 2027</t>
    </r>
    <r>
      <rPr>
        <sz val="10"/>
        <rFont val="Times New Roman"/>
        <family val="1"/>
      </rPr>
      <t>)</t>
    </r>
  </si>
  <si>
    <t>PRODUCTION O&amp;M EXPENSE</t>
  </si>
  <si>
    <r>
      <t>AMR UE-220066 (</t>
    </r>
    <r>
      <rPr>
        <sz val="10"/>
        <color rgb="FF0000FF"/>
        <rFont val="Times New Roman"/>
        <family val="1"/>
      </rPr>
      <t>Ends Nov 2043</t>
    </r>
    <r>
      <rPr>
        <sz val="10"/>
        <rFont val="Times New Roman"/>
        <family val="1"/>
      </rPr>
      <t>)</t>
    </r>
  </si>
  <si>
    <t>MONTANA ENERGY TAX</t>
  </si>
  <si>
    <t>PROPERTY AND LIABILITY INSURANCE</t>
  </si>
  <si>
    <t>COLSTRIP TRACKER TRUE-UP DEFERRAL ENTRIES</t>
  </si>
  <si>
    <t>BAD DEBT</t>
  </si>
  <si>
    <t>FILING FEE</t>
  </si>
  <si>
    <t>(NOTE 1) THE ADJUSTMENTS FOR AMORTIZATION OF POWER COST RELATED REGULATORY ASSETS AND LIABILITIES ARE PERFORMED IN THE POWER COST ADJUSTMENT (ADJUSTMENT NO. 9.01) AND THEREFORE ARE NOT ADJUSTED HERE.</t>
  </si>
  <si>
    <t>UTILITY TAX</t>
  </si>
  <si>
    <t>EDIT REVERSAL / FLOW-THROUGH ITEMS</t>
  </si>
  <si>
    <t>(NOTE 2) THE ADJUSTMENTS FOR AMORTIZATION OF UNPROTECTED EDIT RELATED REGULATORY ASSETS AND LIABILITIES IS HANDLED THROUGH ANNUAL FILINGS AND NOT A PART OF THIS GENERAL RATE CASE AND IS REMOVED IN THE FIT ADJUSTMENT.</t>
  </si>
  <si>
    <t>TAX BENEFIT OF TREASURY GRANT AMORTIZATION</t>
  </si>
  <si>
    <t>DIFFERENCE</t>
  </si>
  <si>
    <t>PUGET SOUND ENERGY - NET OPERATING INCOME AND RATE BASE BY ADJUSTMENT</t>
  </si>
  <si>
    <t>ELECTRIC NOI BUILDUP FOR 2025</t>
  </si>
  <si>
    <t>ELECTRIC NOI</t>
  </si>
  <si>
    <t>ELECTRIC RATE BASE BUILDUP FOR 2025</t>
  </si>
  <si>
    <t>ELECTRIC RATE BASE</t>
  </si>
  <si>
    <t>Adj. No.
(a)</t>
  </si>
  <si>
    <t>Adjustment Description
(b)</t>
  </si>
  <si>
    <t>Test Year
(c)</t>
  </si>
  <si>
    <t>Proforma
(d)</t>
  </si>
  <si>
    <t>2024
(e)</t>
  </si>
  <si>
    <t>2025
(f)</t>
  </si>
  <si>
    <t>2025
(g)=∑(c) thru (f)</t>
  </si>
  <si>
    <t>2026
(h)</t>
  </si>
  <si>
    <t>Test Year
(i)</t>
  </si>
  <si>
    <t>Proforma
(j)</t>
  </si>
  <si>
    <t>2024
(k)</t>
  </si>
  <si>
    <t>2025
(l)</t>
  </si>
  <si>
    <t>2025
(m)=∑(i) thru (l)</t>
  </si>
  <si>
    <t>2026
(n)</t>
  </si>
  <si>
    <t>Test Year</t>
  </si>
  <si>
    <t>6&amp;11.01</t>
  </si>
  <si>
    <t>Revenues And Expenses</t>
  </si>
  <si>
    <t>6&amp;11.02</t>
  </si>
  <si>
    <t>Pass-Through Revenue &amp; Expense</t>
  </si>
  <si>
    <t>6&amp;11.03</t>
  </si>
  <si>
    <t>Temperature Normalization</t>
  </si>
  <si>
    <t>6&amp;11.04</t>
  </si>
  <si>
    <t>Federal Income Tax</t>
  </si>
  <si>
    <t>6&amp;11.05</t>
  </si>
  <si>
    <t>Tax Benefit Of Interest</t>
  </si>
  <si>
    <t>6&amp;11.06</t>
  </si>
  <si>
    <t>Bad Debt Expense</t>
  </si>
  <si>
    <t>6&amp;11.07</t>
  </si>
  <si>
    <t>Rate Case Expense</t>
  </si>
  <si>
    <t>6&amp;11.08</t>
  </si>
  <si>
    <t xml:space="preserve">Excise Tax </t>
  </si>
  <si>
    <t>6&amp;11.09</t>
  </si>
  <si>
    <t>Employee Insurance</t>
  </si>
  <si>
    <t>6&amp;11.10</t>
  </si>
  <si>
    <t>Injuries &amp; Damages</t>
  </si>
  <si>
    <t>6&amp;11.11</t>
  </si>
  <si>
    <t>Incentive Pay</t>
  </si>
  <si>
    <t>6&amp;11.12</t>
  </si>
  <si>
    <t>Investment Plan</t>
  </si>
  <si>
    <t>6&amp;11.13</t>
  </si>
  <si>
    <t>Interest On  Customer Deposits</t>
  </si>
  <si>
    <t>6&amp;11.14</t>
  </si>
  <si>
    <t>Property And Liab Insurance</t>
  </si>
  <si>
    <t>6&amp;11.15</t>
  </si>
  <si>
    <t>Deferred Gains And Losses On Property Sales</t>
  </si>
  <si>
    <t>6&amp;11.16</t>
  </si>
  <si>
    <t>D&amp;O Insurance</t>
  </si>
  <si>
    <t>6&amp;11.17</t>
  </si>
  <si>
    <t>Pension Plan</t>
  </si>
  <si>
    <t>6&amp;11.18</t>
  </si>
  <si>
    <t>Wage Increase</t>
  </si>
  <si>
    <t>6&amp;11.19</t>
  </si>
  <si>
    <t>AMA To EOP Rate Base</t>
  </si>
  <si>
    <t>6&amp;11.20</t>
  </si>
  <si>
    <t>Update Depr Rates</t>
  </si>
  <si>
    <t>6&amp;11.21</t>
  </si>
  <si>
    <t>WUTC Filing Fee</t>
  </si>
  <si>
    <t>6&amp;11.22</t>
  </si>
  <si>
    <t>Pro Forma O&amp;M</t>
  </si>
  <si>
    <t>6&amp;11.23</t>
  </si>
  <si>
    <t>Remove AMR Plant and Depreciation</t>
  </si>
  <si>
    <t>6&amp;11.24</t>
  </si>
  <si>
    <t>AMI Plant And Deferral</t>
  </si>
  <si>
    <t>6&amp;11.25</t>
  </si>
  <si>
    <t>Environmental Remediation</t>
  </si>
  <si>
    <t>6&amp;11.26</t>
  </si>
  <si>
    <t>Estimated Plant Retirements Rate Base</t>
  </si>
  <si>
    <t>6&amp;11.27</t>
  </si>
  <si>
    <t>Test Year Plant Roll Forward</t>
  </si>
  <si>
    <t>6&amp;11.28</t>
  </si>
  <si>
    <t>Provisional Proforma Retirements Depreciation</t>
  </si>
  <si>
    <t>6&amp;11.29</t>
  </si>
  <si>
    <t>Programmatic Provisional Proforma</t>
  </si>
  <si>
    <t>6&amp;11.30</t>
  </si>
  <si>
    <t>Customer Driven Programmatic Provisional Proforma</t>
  </si>
  <si>
    <t>6&amp;11.31</t>
  </si>
  <si>
    <t>Specific Provisional Proforma</t>
  </si>
  <si>
    <t>6&amp;11.32</t>
  </si>
  <si>
    <t>Projected Provisional Proforma</t>
  </si>
  <si>
    <t>6&amp;11.33</t>
  </si>
  <si>
    <t>Remove Test Year Deferrals</t>
  </si>
  <si>
    <t>6&amp;11.34</t>
  </si>
  <si>
    <t>Regulatory Filing Fee Deferral</t>
  </si>
  <si>
    <t>6&amp;11.35</t>
  </si>
  <si>
    <t>Participatory Funding Grants</t>
  </si>
  <si>
    <t>Targeted Electrification Activities Deferral Amortization</t>
  </si>
  <si>
    <t>6&amp;11.37</t>
  </si>
  <si>
    <t>Power Costs</t>
  </si>
  <si>
    <t>Wild Horse Solar</t>
  </si>
  <si>
    <t>Storm Expense Normalization</t>
  </si>
  <si>
    <t>Electric Regulatory  Assets &amp; Liab</t>
  </si>
  <si>
    <t>Green Direct</t>
  </si>
  <si>
    <t>Storm Deferral Amortization</t>
  </si>
  <si>
    <t>Colstrip Removal</t>
  </si>
  <si>
    <t>Acquisition Adjustment</t>
  </si>
  <si>
    <t>TEP Tracker</t>
  </si>
  <si>
    <t>CETA DR PPA Deferrals</t>
  </si>
  <si>
    <t>CEIP Deferral</t>
  </si>
  <si>
    <t>Finance Leases</t>
  </si>
  <si>
    <t>Change To Base Rates</t>
  </si>
  <si>
    <t>PUGET SOUND ENERGY - NET REVENUE CHANGE BY ADJUSTMENT</t>
  </si>
  <si>
    <t>6&amp;11.49</t>
  </si>
  <si>
    <t>Increased Rate Of Return</t>
  </si>
  <si>
    <t>Adjustments To Other Price Schedules</t>
  </si>
  <si>
    <t>Net Revenue Change</t>
  </si>
  <si>
    <t>PROGRAMMATC (ADJUSTMENT 6.29)</t>
  </si>
  <si>
    <t>CUSTOMER DRIVEN PROGRAMMATIC PROVISIONAL PROFORMA (ADJUSTMENT 6.30)</t>
  </si>
  <si>
    <t>SPECIFIC (ADJUSTMENT 6.31)</t>
  </si>
  <si>
    <t>PROJECTED (ADJUSTMENT 6.32)</t>
  </si>
  <si>
    <t>CEIP DEFERRAL</t>
  </si>
  <si>
    <t>CETA DR PPA DEFERRALS</t>
  </si>
  <si>
    <t>TEP TRACKER</t>
  </si>
  <si>
    <t>ACQUISITION ADJUSTMENT</t>
  </si>
  <si>
    <t>COLSTRIP REMOVAL</t>
  </si>
  <si>
    <t>STORM DEFERRAL AMORTIZATION</t>
  </si>
  <si>
    <t>GREEN DIRECT</t>
  </si>
  <si>
    <t>ELECTRIC REGULATORY  ASSETS &amp; LIAB</t>
  </si>
  <si>
    <t>STORM EXPENSE NORMALIZATION</t>
  </si>
  <si>
    <t>WILD HORSE SOLAR</t>
  </si>
  <si>
    <t>POWER COSTS</t>
  </si>
  <si>
    <t>TARGETED ELECTRIFICATION ACTIVITIES DEFERRAL AMORTIZATION</t>
  </si>
  <si>
    <t>PARTICIPATORY FUNDING GRANTS</t>
  </si>
  <si>
    <t>REGULATORY FILING FEE DEFERRAL</t>
  </si>
  <si>
    <t>REMOVE TEST YEAR DEFERRALS</t>
  </si>
  <si>
    <t>PROJECTED PROVISIONAL PROFORMA</t>
  </si>
  <si>
    <t>SPECIFIC PROVISIONAL PROFORMA</t>
  </si>
  <si>
    <t>CUSTOMER DRIVEN PROGRAMMATIC PROVISIONAL PROFORMA</t>
  </si>
  <si>
    <t>PROGRAMMATIC PROVISIONAL PROFORMA</t>
  </si>
  <si>
    <t>PROVISIONAL PROFORMA RETIREMENTS DEPRECIATION</t>
  </si>
  <si>
    <t>TEST YEAR PLANT ROLL FORWARD</t>
  </si>
  <si>
    <t>ESTIMATED PLANT RETIREMENTS RATE BASE</t>
  </si>
  <si>
    <t>ENVIRONMENTAL REMEDIATION</t>
  </si>
  <si>
    <t>AMI PLANT AND DEFERRAL</t>
  </si>
  <si>
    <t>REMOVE AMR PLANT AND DEPRECIATION</t>
  </si>
  <si>
    <t>PRO FORMA O&amp;M</t>
  </si>
  <si>
    <t>UPDATE DEPR RATES</t>
  </si>
  <si>
    <t>AMA TO EOP RATE BASE</t>
  </si>
  <si>
    <t>WAGE INCREASE</t>
  </si>
  <si>
    <t>PENSION PLAN</t>
  </si>
  <si>
    <t>D&amp;O INSURANCE</t>
  </si>
  <si>
    <t>DEFERRED GAINS AND LOSSES ON PROPERTY SALES</t>
  </si>
  <si>
    <t>PROPERTY AND LIAB INSURANCE</t>
  </si>
  <si>
    <t>INTEREST ON  CUSTOMER DEPOSITS</t>
  </si>
  <si>
    <t>INVESTMENT PLAN</t>
  </si>
  <si>
    <t>INCENTIVE PAY</t>
  </si>
  <si>
    <t>INJURIES &amp; DAMAGES</t>
  </si>
  <si>
    <t>EMPLOYEE INSURANCE</t>
  </si>
  <si>
    <t xml:space="preserve">EXCISE TAX </t>
  </si>
  <si>
    <t>RATE CASE EXPENSE</t>
  </si>
  <si>
    <t>BAD DEBT EXPENSE</t>
  </si>
  <si>
    <t>TAX BENEFIT OF INTEREST</t>
  </si>
  <si>
    <t>FEDERAL INCOME TAX</t>
  </si>
  <si>
    <t>TEMPERATURE NORMALIZATION</t>
  </si>
  <si>
    <t>PASS-THROUGH REVENUE &amp; EXPENSE</t>
  </si>
  <si>
    <t>REVENUES AND EXPENSES</t>
  </si>
  <si>
    <t>PUGET SOUND ENERGY - ELECTRIC</t>
  </si>
  <si>
    <t>EXH. SEF-29 page 1 of 2</t>
  </si>
  <si>
    <t>EXH. SEF-29 page 2 of 2</t>
  </si>
  <si>
    <t>EXH. SEF-31</t>
  </si>
  <si>
    <t>c</t>
  </si>
  <si>
    <t>e</t>
  </si>
  <si>
    <t>g</t>
  </si>
  <si>
    <t>i</t>
  </si>
  <si>
    <t>k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</si>
  <si>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</si>
  <si>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</si>
  <si>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</si>
  <si>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</si>
  <si>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</si>
  <si>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</si>
  <si>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</si>
  <si>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</si>
  <si>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</si>
  <si>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</si>
  <si>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</si>
  <si>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</si>
  <si>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</si>
  <si>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</si>
  <si>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</si>
  <si>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</si>
  <si>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</si>
  <si>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</si>
  <si>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</si>
  <si>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</si>
  <si>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</si>
  <si>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</si>
  <si>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</si>
  <si>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</si>
  <si>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</si>
  <si>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</si>
  <si>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</si>
  <si>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</si>
  <si>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</si>
  <si>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</si>
  <si>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</si>
  <si>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</si>
  <si>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</si>
  <si>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</si>
  <si>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</si>
  <si>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</si>
  <si>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</si>
  <si>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</si>
  <si>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</si>
  <si>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</si>
  <si>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</si>
  <si>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</si>
  <si>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</si>
  <si>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</si>
  <si>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</si>
  <si>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</si>
  <si>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 = ∑ e thru bf</t>
  </si>
  <si>
    <t>bh = d + bg</t>
  </si>
  <si>
    <t>FIT</t>
  </si>
  <si>
    <t>&lt;=== links to JDT-6</t>
  </si>
  <si>
    <t>Note: Amounts in bold and italics are different from February 15, 2024 Original filing</t>
  </si>
  <si>
    <t>NET REVENUE CHANGE BY RATE YEAR</t>
  </si>
  <si>
    <t>SCHEDULE 141DCARB</t>
  </si>
  <si>
    <t>NEW TARIFF SCHEDULES:</t>
  </si>
  <si>
    <t>SCHEDULE 141R (RATES SUBJECT TO REF ADJ)</t>
  </si>
  <si>
    <t>SCHEDULE 141N (RATES NOT SUBJ TO REF ADJ)</t>
  </si>
  <si>
    <r>
      <t xml:space="preserve">CHANGES TO OTHER PRICE SCHEDULES FROM EXH. JDT-6: </t>
    </r>
    <r>
      <rPr>
        <b/>
        <i/>
        <sz val="12"/>
        <rFont val="Times New Roman"/>
        <family val="1"/>
      </rPr>
      <t xml:space="preserve"> </t>
    </r>
  </si>
  <si>
    <t>Restating through December 2024</t>
  </si>
  <si>
    <t>GAS RESULTS OF OPERATIONS</t>
  </si>
  <si>
    <t>PUGET SOUND ENERGY - GAS</t>
  </si>
  <si>
    <t>EXH. SEF-33 page 2 of 2</t>
  </si>
  <si>
    <t>EXH. SEF-33 page 1 of 2</t>
  </si>
  <si>
    <t>Check Net Revenue Change to COS</t>
  </si>
  <si>
    <t>Check Rate Base to Detailed Summary</t>
  </si>
  <si>
    <t>Check NOI to Detailed Summary</t>
  </si>
  <si>
    <t>SUBJECT TO REFUND (SCH. 141R)</t>
  </si>
  <si>
    <t>NOT SUBJECT TO REFUND (SCH. 141N)</t>
  </si>
  <si>
    <t>BEG OF RY 4 →</t>
  </si>
  <si>
    <t>BEG OF RY 3 →</t>
  </si>
  <si>
    <t>AMA DEC 2028</t>
  </si>
  <si>
    <t>AMA 2028</t>
  </si>
  <si>
    <t>AMA DEC 2027</t>
  </si>
  <si>
    <t>AMA 2027</t>
  </si>
  <si>
    <t>GAS STATEMENT OF OPERATING INCOME</t>
  </si>
  <si>
    <t>EXH. SEF-33 page 3 of 3</t>
  </si>
  <si>
    <t>404 GAS PORTION OF COMMON</t>
  </si>
  <si>
    <t>404 GAS AMORTIZATION EXPENSE</t>
  </si>
  <si>
    <t>403 GAS PORTION OF COMMON</t>
  </si>
  <si>
    <t>403 GAS DEPRECIATION EXPENSE</t>
  </si>
  <si>
    <t>TOTAL PROVISIONAL PROFORMA ADJSUTMENTS</t>
  </si>
  <si>
    <t>Note 3 Adjustment to move Puget LNG revenues from Sch. 87T to proposed Sch. 88T.</t>
  </si>
  <si>
    <t>Note 2 Adjustment to remove large Sch. 87T customer shutting down operations in 2023.</t>
  </si>
  <si>
    <t>Note 1 2022 GRC rates effective January 7, 2023 (UG-220067)</t>
  </si>
  <si>
    <t>PURCHASED AND INTERCHANGED</t>
  </si>
  <si>
    <t>PROJECTED (ADJUSTMENT 11.32)</t>
  </si>
  <si>
    <t>DECOUPLED THERMS</t>
  </si>
  <si>
    <t>INCREASE (DECREASE) TAXES OTHER THAN FIT</t>
  </si>
  <si>
    <t>INCREASE (DECREASE) FIT  (LINE 30 * 21%)</t>
  </si>
  <si>
    <t> ✔</t>
  </si>
  <si>
    <t>REMOVE GAS COSTS ASSOCIATED WITH STORAGE RENT REVENUE</t>
  </si>
  <si>
    <t>REMOVE MUNICIPAL TAXES ASSOC WITH SALES TO CUSTOMERS</t>
  </si>
  <si>
    <t>REMOVE GAS COSTS ASSOCIATED WITH PGA CURTAILMENT REVENUES</t>
  </si>
  <si>
    <t>REMOVE CARBON OFFSET 926 EXPENSE - SCHEDULE 138</t>
  </si>
  <si>
    <t>OPERATING EXPENSES:</t>
  </si>
  <si>
    <t>REMOVE CARBON OFFSET 4081 EXPENSE - SCHEDULE 138</t>
  </si>
  <si>
    <t>REMOVE CARBON OFFSET 909 EXPENSE - SCHEDULE 138</t>
  </si>
  <si>
    <t>REMOVE CARBON OFFSET 908 EXPENSE - SCHEDULE 138</t>
  </si>
  <si>
    <t>TOTAL INCREASE (DECREASE) IN REVENUES</t>
  </si>
  <si>
    <t>REMOVE CARBON OFFSET 805 EXPENSE - SCHEDULE 138</t>
  </si>
  <si>
    <t>REMOVE CARBON OFFSET 926 EXPENSE - SCHEDULE 137</t>
  </si>
  <si>
    <t xml:space="preserve">          SUB-TOTAL OTHER OPERATING REVNUE</t>
  </si>
  <si>
    <t>REMOVE CARBON OFFSET 4081 EXPENSE - SCHEDULE 137</t>
  </si>
  <si>
    <t>REMOVE STORAGE RENT REVENUE (6)</t>
  </si>
  <si>
    <t>REMOVE CARBON OFFSET 909 EXPENSE - SCHEDULE 137</t>
  </si>
  <si>
    <t>SPECIFIC (ADJUSTMENT 11.31)</t>
  </si>
  <si>
    <t>REMOVE CARBON OFFSET 908 EXPENSE - SCHEDULE 137</t>
  </si>
  <si>
    <t>INCREASE (DECREASE ) OPERATING INCOME</t>
  </si>
  <si>
    <t>REMOVE CARBON OFFSET 805 EXPENSE - SCHEDULE 137</t>
  </si>
  <si>
    <t>REMOVE PLR DEFERRAL (3)</t>
  </si>
  <si>
    <t>REMOVE PGA DEFERRAL AMORTIZATION EXP - SCHEDULE 106</t>
  </si>
  <si>
    <t>REMOVE PGA CURTAILMENT REVENUE (2)</t>
  </si>
  <si>
    <t>REMOVE DECOUPLING DEFERRALS</t>
  </si>
  <si>
    <t>REMOVE RENTALS REVENUE (1)</t>
  </si>
  <si>
    <t>REMOVE ERF SCH. 141 - RENTALS</t>
  </si>
  <si>
    <t>REMOVE PGA GAS COSTS SCHEDULE 101</t>
  </si>
  <si>
    <t>REMOVE TAX REFORM SCH. 141Y - RENTALS</t>
  </si>
  <si>
    <t>REMOVE PP EDIT SCH. 141X - RENTALS</t>
  </si>
  <si>
    <t>REMOVE CONSERVATION AMORTIZATION - SCHEDULE 120</t>
  </si>
  <si>
    <t>REMOVE PP EDIT SCH. 141RA_G - RENTALS</t>
  </si>
  <si>
    <t>REMOVE PP EDIT SCH. 141N_G - RENTALS</t>
  </si>
  <si>
    <t>REMOVE SCH. 141D REVENUE RESERVE</t>
  </si>
  <si>
    <t>CHANGE IN REVENUE SENSITIVE ITEMS FOR CHANGE IN REVENUES:</t>
  </si>
  <si>
    <t>Remove Test Year Entries for Deferred Return (495)</t>
  </si>
  <si>
    <t>FORECAST VOL. ADJUSTMENT</t>
  </si>
  <si>
    <t xml:space="preserve">ADJUSTMENT TO ACCUM. DEPREC. </t>
  </si>
  <si>
    <t>ADJUSTMENT TO ACCUM. DEPREC. AT 100% DEPREC. EXP. LINE 25</t>
  </si>
  <si>
    <t>EMISSION EXPENSE DEFERRAL</t>
  </si>
  <si>
    <t>CUSTOMER DRIVEN PROGRAMMATIC PROVISIONAL PROFORMA (ADJUSTMENT 11.30)</t>
  </si>
  <si>
    <t xml:space="preserve">ADJUSTMENT TO ACCUM. DEPREC. AT 100% DEPREC. EXP. </t>
  </si>
  <si>
    <t>TOTAL GAS AMI ADIT</t>
  </si>
  <si>
    <t>LARGE CUSTOMER ADJUSTMENT (2)</t>
  </si>
  <si>
    <t>EMISSION EXPENSE</t>
  </si>
  <si>
    <t>INCREASE (DECREASE) FIT @ 21%</t>
  </si>
  <si>
    <t>REMOVE MUNICIPAL TAXES ASSOC WITH OTHER OPRTG REV</t>
  </si>
  <si>
    <t>2022 GRC ADJUSTMENT (1)</t>
  </si>
  <si>
    <t>GAS PORTION OF COMMON AMI</t>
  </si>
  <si>
    <t>REMOVE PROPERTY TAX TRACKER ASSOC WITH OTHER OPRG REV</t>
  </si>
  <si>
    <t>REMOVE RATE PLAN SCH. 141R</t>
  </si>
  <si>
    <t>GAS AMI</t>
  </si>
  <si>
    <t>REMOVE RATE PLAN SCH. 141N</t>
  </si>
  <si>
    <t>9800 - GTZ DEPR EXP DEFERRAL (NOTE 1)</t>
  </si>
  <si>
    <t>REMOVE ERF SCH. 141 - SALES</t>
  </si>
  <si>
    <t>REMOVE DIST. PIPE SCH. 141D</t>
  </si>
  <si>
    <t>OTHER ADJUSTMENTS</t>
  </si>
  <si>
    <t>TACOMA LNG UPGRADES DEP DEF &gt; 9/2020 (NOTE 1)</t>
  </si>
  <si>
    <t>TOTAL GAS AMI ACCUM DEPRECIATION</t>
  </si>
  <si>
    <t>NOTE: ADJUSTMENTS TO ADIT ARE MADE IN ALL OTHER ADJUSTMENTS WITH RATE BASE COMPONENTS</t>
  </si>
  <si>
    <t>REMOVE CRM SCH. 149</t>
  </si>
  <si>
    <t>REMOVE UP EDIT SCH. 141Z - SALES</t>
  </si>
  <si>
    <t>REMOVE OTHER ASSOC WITH vRNG - SCHEDULE 138</t>
  </si>
  <si>
    <t>REMOVE TAX REFORM SCH. 141Y - SALES</t>
  </si>
  <si>
    <t>411.10 GAS ASSET RETIREMENT OBLIGATION ACCRETION</t>
  </si>
  <si>
    <t>411.10 GAS PORTION OF COMMON ASSET RETIRE OBLIG ACCRETION</t>
  </si>
  <si>
    <t>THESE PREMIUMS ARE REMOVED FROM THE REVENUE REQUIREMENT IN THE O&amp;M ADJUSTMENT, AS O&amp;M AMOUNTS FOR 2025 AND 2026 DO NOT CONTAIN WILDFIRE PREMIUMS.</t>
  </si>
  <si>
    <t>REMOVE vRNG - SCHEDULE 138</t>
  </si>
  <si>
    <t>REMOVE PP EDIT SCH. 141X - SALES</t>
  </si>
  <si>
    <t>REMOVE TEST YEAR GAS FILING FEE DEFERRAL</t>
  </si>
  <si>
    <t>403.1 GAS PORTION OF COMMON</t>
  </si>
  <si>
    <t>ACCUMULATED DEPRECIATION:</t>
  </si>
  <si>
    <t>REMOVE OTHER ASSOC WITH CARBON OFFSET - SCHEDULE 137</t>
  </si>
  <si>
    <t>403.1 GAS ASSET RETIREMENT COST DEPRECIATION</t>
  </si>
  <si>
    <t>REMOVE CARBON OFFSET - SCHEDULE 137</t>
  </si>
  <si>
    <t>ANNUALIZE RATE PLAN SCH. 141R</t>
  </si>
  <si>
    <t>TOTAL GAS AMI PLANT</t>
  </si>
  <si>
    <t>NETGAS AMR PLANT</t>
  </si>
  <si>
    <t>REMOVE REVENUE ASSOC WITH PGA AMORTIZATION - SCHEDULE 106</t>
  </si>
  <si>
    <t>REMOVE SCH. 141RA_G - SALES</t>
  </si>
  <si>
    <t>INCREASE(DECREASE) OPERATING EXPENSE (LINE 18)</t>
  </si>
  <si>
    <t>TEMP. NORM ADJUSTMENT FOR NON-DECOUPLED / DECOUPLED  REVENUES</t>
  </si>
  <si>
    <t>REMOVE PGA REVNUES SCHEDULE 101</t>
  </si>
  <si>
    <t>ANNUALIZE RATE PLAN SCH. 141N</t>
  </si>
  <si>
    <t>ACCUMULATED DEPRECIATION FOR GAS AMR</t>
  </si>
  <si>
    <t>STORAGE, LNG T&amp;G</t>
  </si>
  <si>
    <t xml:space="preserve">INCREASE (DECREASE) EXPENSE </t>
  </si>
  <si>
    <t>REMOVE SCH. 141N_G - SALES</t>
  </si>
  <si>
    <t>GAS AMR PLANT IN SERVICE</t>
  </si>
  <si>
    <t>OTHER GAS SUPPLY</t>
  </si>
  <si>
    <t>WATER HEATERS PROPERTY LOSS (2 yr amort)</t>
  </si>
  <si>
    <t>AVERAGE PRICING PER THERM</t>
  </si>
  <si>
    <t>REMOVE CONSERVATION TRACKER - SCHEDULE 120</t>
  </si>
  <si>
    <t>ANNUALIZE DIST. PIPE SCH. 141D</t>
  </si>
  <si>
    <r>
      <t>ENVIRONMENTAL AMORTIZATION (</t>
    </r>
    <r>
      <rPr>
        <sz val="9"/>
        <color rgb="FF0000CC"/>
        <rFont val="Times New Roman"/>
        <family val="1"/>
      </rPr>
      <t>DEFERRED COSTS &amp; RECOVERIES</t>
    </r>
    <r>
      <rPr>
        <sz val="11"/>
        <rFont val="Times New Roman"/>
        <family val="1"/>
      </rPr>
      <t>)</t>
    </r>
  </si>
  <si>
    <t>PRODUCTION MANUF. GAS</t>
  </si>
  <si>
    <t>APPROVED IN  UE-190531 &amp; PENDING APPROVAL</t>
  </si>
  <si>
    <t>LIABILITY INSURANCE EXPENSE (NOTE 1)</t>
  </si>
  <si>
    <t xml:space="preserve">UNCOLLECTIBLES CHARGED TO EXPENSE </t>
  </si>
  <si>
    <t>REMOVE SCH. 141D - SALES</t>
  </si>
  <si>
    <r>
      <t>LTIP  EXPENSE [</t>
    </r>
    <r>
      <rPr>
        <sz val="8"/>
        <color rgb="FF0000FF"/>
        <rFont val="Times New Roman"/>
        <family val="1"/>
      </rPr>
      <t>FERC 926</t>
    </r>
    <r>
      <rPr>
        <sz val="10"/>
        <color theme="1"/>
        <rFont val="Times New Roman"/>
        <family val="1"/>
      </rPr>
      <t>]</t>
    </r>
  </si>
  <si>
    <t xml:space="preserve">AMORTIZATION OF NET DEFERRED GAIN </t>
  </si>
  <si>
    <t>NON-DECOUPLED THERMS / DECOUPLED THERMS</t>
  </si>
  <si>
    <t>PROGRAMMATC (ADJUSTMENT 11.29)</t>
  </si>
  <si>
    <t>NON-DECOUPLED THERMS</t>
  </si>
  <si>
    <t>11.29, 11.30, 11.31, 11.32</t>
  </si>
  <si>
    <t>Exh. SEF-36 page __ of __</t>
  </si>
  <si>
    <t>UG-__________</t>
  </si>
  <si>
    <t>AND ARE FURTHER ADJUSTED TO ZERO IN THE O&amp;M ADJUSTMENT.</t>
  </si>
  <si>
    <t>NET TO ZERO WITH THE ORIGINATING ENTRIES RECOGNIZED WITHIN THE SAME FERC ACCOUNTS</t>
  </si>
  <si>
    <t xml:space="preserve">FERC ACCOUNTS (FERC 842, ETC.). THEREFORE, NO REMOVAL IS NECESSARY AS THEY </t>
  </si>
  <si>
    <t xml:space="preserve">(NOTE 1) TEST YEAR ENTRIES TO DEFER TACOMA LNG O&amp;M WERE BOOKED TO THE ORIGINATING </t>
  </si>
  <si>
    <t>HANDLED THROUGH ANNUAL FILINGS AND NOT A PART OF THIS GENERAL RATE CASE AND IS REMOVED IN THE FIT ADJUSTMENT</t>
  </si>
  <si>
    <t xml:space="preserve">(NOTE 1) THE ADJUSTMENTS FOR AMORTIZATION OF UNPROTECTED EDIT RELATED REGULATORY ASSETS AND LIABILITIES IS </t>
  </si>
  <si>
    <r>
      <t>AMR- UG-220067 (</t>
    </r>
    <r>
      <rPr>
        <sz val="10"/>
        <color rgb="FF0000FF"/>
        <rFont val="Times New Roman"/>
        <family val="1"/>
      </rPr>
      <t>End Nov 2043</t>
    </r>
    <r>
      <rPr>
        <sz val="10"/>
        <rFont val="Times New Roman"/>
        <family val="1"/>
      </rPr>
      <t>)</t>
    </r>
  </si>
  <si>
    <r>
      <t>GTZ- T2 CARRYING CHARGES UG-220067 (FERC 407.3) (</t>
    </r>
    <r>
      <rPr>
        <sz val="10"/>
        <color rgb="FF0000FF"/>
        <rFont val="Times New Roman"/>
        <family val="1"/>
      </rPr>
      <t>End Jan 2027</t>
    </r>
    <r>
      <rPr>
        <sz val="10"/>
        <rFont val="Times New Roman"/>
        <family val="1"/>
      </rPr>
      <t>)</t>
    </r>
  </si>
  <si>
    <t>REMOVE DEPRECIATION EXPENSE</t>
  </si>
  <si>
    <r>
      <t>GTZ- T2 DEPRECIATION UG-220067 (FERC 407.3) (</t>
    </r>
    <r>
      <rPr>
        <sz val="10"/>
        <color rgb="FF0000FF"/>
        <rFont val="Times New Roman"/>
        <family val="1"/>
      </rPr>
      <t>End Jan 2027</t>
    </r>
    <r>
      <rPr>
        <sz val="10"/>
        <rFont val="Times New Roman"/>
        <family val="1"/>
      </rPr>
      <t>)</t>
    </r>
  </si>
  <si>
    <r>
      <t>GTZ- T1a CARRYING CHARGES UG-220067 (FERC 407.3) (</t>
    </r>
    <r>
      <rPr>
        <sz val="10"/>
        <color rgb="FF0000FF"/>
        <rFont val="Times New Roman"/>
        <family val="1"/>
      </rPr>
      <t>End Jan 2026</t>
    </r>
    <r>
      <rPr>
        <sz val="10"/>
        <rFont val="Times New Roman"/>
        <family val="1"/>
      </rPr>
      <t>)</t>
    </r>
  </si>
  <si>
    <r>
      <t>GTZ- T1a DEPRECIATION UG-220067 (FERC 407.3) (</t>
    </r>
    <r>
      <rPr>
        <sz val="10"/>
        <color rgb="FF0000FF"/>
        <rFont val="Times New Roman"/>
        <family val="1"/>
      </rPr>
      <t>End Jan 2026</t>
    </r>
    <r>
      <rPr>
        <sz val="10"/>
        <rFont val="Times New Roman"/>
        <family val="1"/>
      </rPr>
      <t>)</t>
    </r>
  </si>
  <si>
    <t>TEST YEAR ENTRIES FOR O&amp;M DEFERRAL (NOTE 1)</t>
  </si>
  <si>
    <r>
      <t>GTZ- T1 CARRYING CHARGES UG-190530 (FERC 407.3) (</t>
    </r>
    <r>
      <rPr>
        <sz val="10"/>
        <color rgb="FF0000FF"/>
        <rFont val="Times New Roman"/>
        <family val="1"/>
      </rPr>
      <t>End Sept 2023</t>
    </r>
    <r>
      <rPr>
        <sz val="10"/>
        <rFont val="Times New Roman"/>
        <family val="1"/>
      </rPr>
      <t>)</t>
    </r>
  </si>
  <si>
    <t>REMOVE TEST YEAR ENTRIES FOR DEPRECIATION DEFERRAL</t>
  </si>
  <si>
    <r>
      <t>GTZ- T1 DEPRECIATION UG-190530 (FERC 407.3) (</t>
    </r>
    <r>
      <rPr>
        <sz val="10"/>
        <color rgb="FF0000FF"/>
        <rFont val="Times New Roman"/>
        <family val="1"/>
      </rPr>
      <t>End Sept 2023</t>
    </r>
    <r>
      <rPr>
        <sz val="10"/>
        <rFont val="Times New Roman"/>
        <family val="1"/>
      </rPr>
      <t>)</t>
    </r>
  </si>
  <si>
    <t>OPERATING EXPENSES  (FINANCIAL STATEMENT SIGN)</t>
  </si>
  <si>
    <r>
      <t>AMI- RETURN ON DEBT EQUITY UG-220067 (FERC 495) (</t>
    </r>
    <r>
      <rPr>
        <sz val="10"/>
        <color rgb="FF0000FF"/>
        <rFont val="Times New Roman"/>
        <family val="1"/>
      </rPr>
      <t>End Jan 2026</t>
    </r>
    <r>
      <rPr>
        <sz val="10"/>
        <rFont val="Times New Roman"/>
        <family val="1"/>
      </rPr>
      <t xml:space="preserve">) </t>
    </r>
    <r>
      <rPr>
        <sz val="10"/>
        <color rgb="FFFF0000"/>
        <rFont val="Times New Roman"/>
        <family val="1"/>
      </rPr>
      <t>Revenue line</t>
    </r>
  </si>
  <si>
    <t>REMOVE TEST YEAR LNG RETURN DEFERRAL ENTRIES</t>
  </si>
  <si>
    <r>
      <t>AMI- DEPRECIATION UG-220067 (FERC 407.3) (</t>
    </r>
    <r>
      <rPr>
        <sz val="10"/>
        <color rgb="FF0000FF"/>
        <rFont val="Times New Roman"/>
        <family val="1"/>
      </rPr>
      <t>End Jan 2026</t>
    </r>
    <r>
      <rPr>
        <sz val="10"/>
        <rFont val="Times New Roman"/>
        <family val="1"/>
      </rPr>
      <t>)</t>
    </r>
  </si>
  <si>
    <t>OPERATING REVENUES (FINANCIAL STATEMENT SIGN)</t>
  </si>
  <si>
    <r>
      <t>AMI- DEPRECIATION UG-190530 (FERC 407.4) (</t>
    </r>
    <r>
      <rPr>
        <sz val="10"/>
        <color rgb="FF0000FF"/>
        <rFont val="Times New Roman"/>
        <family val="1"/>
      </rPr>
      <t>End Sept 2023</t>
    </r>
    <r>
      <rPr>
        <sz val="10"/>
        <rFont val="Times New Roman"/>
        <family val="1"/>
      </rPr>
      <t>)</t>
    </r>
  </si>
  <si>
    <r>
      <t>LNG UPGRADE- RETURN DEF UG-220067 (FERC 495) (</t>
    </r>
    <r>
      <rPr>
        <sz val="10"/>
        <color rgb="FF0000FF"/>
        <rFont val="Times New Roman"/>
        <family val="1"/>
      </rPr>
      <t>End Jan 2026</t>
    </r>
    <r>
      <rPr>
        <sz val="10"/>
        <rFont val="Times New Roman"/>
        <family val="1"/>
      </rPr>
      <t xml:space="preserve">) </t>
    </r>
    <r>
      <rPr>
        <sz val="10"/>
        <color rgb="FFFF0000"/>
        <rFont val="Times New Roman"/>
        <family val="1"/>
      </rPr>
      <t>Revenue Line</t>
    </r>
  </si>
  <si>
    <r>
      <t>LNG UPGRADE- DEPRECIATION DEF UG-220067 (FERC 407.3) (</t>
    </r>
    <r>
      <rPr>
        <sz val="10"/>
        <color rgb="FF0000FF"/>
        <rFont val="Times New Roman"/>
        <family val="1"/>
      </rPr>
      <t>End Jan 2026</t>
    </r>
    <r>
      <rPr>
        <sz val="10"/>
        <rFont val="Times New Roman"/>
        <family val="1"/>
      </rPr>
      <t>)</t>
    </r>
  </si>
  <si>
    <r>
      <t>EDIT (PRODUCTION AND NON-PRODUCTION) (</t>
    </r>
    <r>
      <rPr>
        <sz val="10"/>
        <color rgb="FF0000FF"/>
        <rFont val="Times New Roman"/>
        <family val="1"/>
      </rPr>
      <t>End Sept 2023</t>
    </r>
    <r>
      <rPr>
        <sz val="10"/>
        <rFont val="Times New Roman"/>
        <family val="1"/>
      </rPr>
      <t>)</t>
    </r>
  </si>
  <si>
    <t>TOTAL DEPRECIATION DEFERRALS</t>
  </si>
  <si>
    <t xml:space="preserve">DFIT ON O&amp;M DEFERRAL </t>
  </si>
  <si>
    <t xml:space="preserve">DFIT ON DEPRECIATION DEFERRAL </t>
  </si>
  <si>
    <t>ck</t>
  </si>
  <si>
    <t>ACCUM AMORT ON O&amp;M DEFERRAL</t>
  </si>
  <si>
    <t>ACCUM AMORT ON DEPRECIATION DEFERRAL</t>
  </si>
  <si>
    <t>O&amp;M DEFERRAL</t>
  </si>
  <si>
    <t>DEPRECIATION DEFERRAL</t>
  </si>
  <si>
    <t>TOTAL UTILITY PLANT</t>
  </si>
  <si>
    <t>ACCUMULATED AMORTIZATION</t>
  </si>
  <si>
    <r>
      <t>GTZ- DEPRECIATION (</t>
    </r>
    <r>
      <rPr>
        <sz val="10"/>
        <color rgb="FF0000FF"/>
        <rFont val="Times New Roman"/>
        <family val="1"/>
      </rPr>
      <t>End Sept 2023, Jan 2026 &amp; 2027</t>
    </r>
    <r>
      <rPr>
        <sz val="10"/>
        <rFont val="Times New Roman"/>
        <family val="1"/>
      </rPr>
      <t>)</t>
    </r>
  </si>
  <si>
    <t>ACCUM DEPRECIATION</t>
  </si>
  <si>
    <r>
      <t>AMI- DEPRECIATION (</t>
    </r>
    <r>
      <rPr>
        <sz val="10"/>
        <color rgb="FF0000FF"/>
        <rFont val="Times New Roman"/>
        <family val="1"/>
      </rPr>
      <t>End Sept 2023, Jan 2026</t>
    </r>
    <r>
      <rPr>
        <sz val="10"/>
        <rFont val="Times New Roman"/>
        <family val="1"/>
      </rPr>
      <t>)</t>
    </r>
  </si>
  <si>
    <r>
      <t>LNG UPGRADE DEPRECIATION (</t>
    </r>
    <r>
      <rPr>
        <sz val="10"/>
        <color rgb="FF0000FF"/>
        <rFont val="Times New Roman"/>
        <family val="1"/>
      </rPr>
      <t>End Jan 2026</t>
    </r>
    <r>
      <rPr>
        <sz val="10"/>
        <rFont val="Times New Roman"/>
        <family val="1"/>
      </rPr>
      <t>)</t>
    </r>
  </si>
  <si>
    <t>UTILITY PLANT</t>
  </si>
  <si>
    <r>
      <t>UNPROTECTED EDIT (</t>
    </r>
    <r>
      <rPr>
        <sz val="10"/>
        <color rgb="FF0000FF"/>
        <rFont val="Times New Roman"/>
        <family val="1"/>
      </rPr>
      <t>End Sept 2023</t>
    </r>
    <r>
      <rPr>
        <sz val="10"/>
        <rFont val="Times New Roman"/>
        <family val="1"/>
      </rPr>
      <t>)</t>
    </r>
  </si>
  <si>
    <t>FROM EOP ADJ</t>
  </si>
  <si>
    <t>REMOVAL OF TACOMA LNG PROJECT 4 MILE 16-INCH PIPELINE</t>
  </si>
  <si>
    <t>GAS REGULATORY ASSETS &amp; LIAB</t>
  </si>
  <si>
    <t>TACOMA LNG PLANT AND DEFERRAL - REMOVAL</t>
  </si>
  <si>
    <t>Open E7</t>
  </si>
  <si>
    <t>Open E6</t>
  </si>
  <si>
    <t>N/A</t>
  </si>
  <si>
    <t>Removal of Tacoma LNG Project 4 Mile 16-Inch Pipeline</t>
  </si>
  <si>
    <t>Gas Regulatory Assets &amp; Liab</t>
  </si>
  <si>
    <t>Tacoma LNG Plant and Deferral - Removal</t>
  </si>
  <si>
    <t>6&amp;11.36</t>
  </si>
  <si>
    <t>Natural Gas RATE BASE</t>
  </si>
  <si>
    <t>Natural Gas RATE BASE BUILDUP FOR 2025</t>
  </si>
  <si>
    <t>Natural Gas NOI</t>
  </si>
  <si>
    <t>Natural Gas NOI BUILDUP FOR 2025</t>
  </si>
  <si>
    <t>Rev. Requirement or (Surplus)</t>
  </si>
  <si>
    <t>Surplus / (Deficiency)</t>
  </si>
  <si>
    <t>Conversion Factor</t>
  </si>
  <si>
    <t>ROR</t>
  </si>
  <si>
    <t>2026 Increased Rate of Return Calculation</t>
  </si>
  <si>
    <t xml:space="preserve">6&amp;11.49 </t>
  </si>
  <si>
    <t>NATURAL GAS</t>
  </si>
  <si>
    <t>GAS</t>
  </si>
  <si>
    <t>o = k + n</t>
  </si>
  <si>
    <t xml:space="preserve">ba = ∑ e thru </t>
  </si>
  <si>
    <t>bb = d + ba</t>
  </si>
  <si>
    <t>REVENUES PER EXH. CTM-15 BILL IMPACTS</t>
  </si>
  <si>
    <t>REVENUES PER EXH. JDT-12 BILL IMPACTS</t>
  </si>
  <si>
    <t>Exh. SEF-32 page 46 of 46</t>
  </si>
  <si>
    <t>Exh. SEF-32 page 1 of 46</t>
  </si>
  <si>
    <t>Exh. SEF-32 page 2 of 46</t>
  </si>
  <si>
    <t>Exh. SEF-32 page 3 of 46</t>
  </si>
  <si>
    <t>Exh. SEF-32 page 4 of 46</t>
  </si>
  <si>
    <t>Exh. SEF-32 page 5 of 46</t>
  </si>
  <si>
    <t>Exh. SEF-32 page 6 of 46</t>
  </si>
  <si>
    <t>Exh. SEF-32 page 7 of 46</t>
  </si>
  <si>
    <t>Exh. SEF-32 page 8 of 46</t>
  </si>
  <si>
    <t>Exh. SEF-32 page 9 of 46</t>
  </si>
  <si>
    <t>Exh. SEF-32 page 10 of 46</t>
  </si>
  <si>
    <t>Exh. SEF-32 page 11 of 46</t>
  </si>
  <si>
    <t>Exh. SEF-32 page 12 of 46</t>
  </si>
  <si>
    <t>Exh. SEF-32 page 13 of 46</t>
  </si>
  <si>
    <t>Exh. SEF-32 page 14 of 46</t>
  </si>
  <si>
    <t>Exh. SEF-32 page 15 of 46</t>
  </si>
  <si>
    <t>Exh. SEF-32 page 16 of 46</t>
  </si>
  <si>
    <t>Exh. SEF-32 page 17 of 46</t>
  </si>
  <si>
    <t>Exh. SEF-32 page 18 of 46</t>
  </si>
  <si>
    <t>Exh. SEF-32 page 19 of 46</t>
  </si>
  <si>
    <t>Exh. SEF-32 page 20 of 46</t>
  </si>
  <si>
    <t>Exh. SEF-32 page 21 of 46</t>
  </si>
  <si>
    <t>Exh. SEF-32 page 22 of 46</t>
  </si>
  <si>
    <t>Exh. SEF-32 page 23 of 46</t>
  </si>
  <si>
    <t>Exh. SEF-32 page 24 of 46</t>
  </si>
  <si>
    <t>Exh. SEF-32 page 25 of 46</t>
  </si>
  <si>
    <t>Exh. SEF-32 page 26 of 46</t>
  </si>
  <si>
    <t>Exh. SEF-32 page 27 of 46</t>
  </si>
  <si>
    <t>Exh. SEF-32 page 28 of 46</t>
  </si>
  <si>
    <t>Exh. SEF-32 page 29 of 46</t>
  </si>
  <si>
    <t>Exh. SEF-32 page 30 of 46</t>
  </si>
  <si>
    <t>Exh. SEF-32 page 31 of 46</t>
  </si>
  <si>
    <t>Exh. SEF-32 page 32 of 46</t>
  </si>
  <si>
    <t>Exh. SEF-32 page 33 of 46</t>
  </si>
  <si>
    <t>Exh. SEF-32 page 34 of 46</t>
  </si>
  <si>
    <t>Exh. SEF-32 page 35 of 46</t>
  </si>
  <si>
    <t>Exh. SEF-32 page 36 of 46</t>
  </si>
  <si>
    <t>Exh. SEF-32 page 37 of 46</t>
  </si>
  <si>
    <t>Exh. SEF-32 page 38 of 46</t>
  </si>
  <si>
    <t>Exh. SEF-32 page 39 of 46</t>
  </si>
  <si>
    <t>Exh. SEF-32 page 40 of 46</t>
  </si>
  <si>
    <t>Exh. SEF-32 page 41 of 46</t>
  </si>
  <si>
    <t>Exh. SEF-32 page 42 of 46</t>
  </si>
  <si>
    <t>Exh. SEF-32 page 43 of 46</t>
  </si>
  <si>
    <t>Exh. SEF-32 page 44 of 46</t>
  </si>
  <si>
    <t>Exh. SEF-32 page 45 of 46</t>
  </si>
  <si>
    <t>Exh. SEF-36 page 51 of 37</t>
  </si>
  <si>
    <t>Exh. SEF-36 page 52 of 37</t>
  </si>
  <si>
    <t>Exh. SEF-36 page 34 of 37</t>
  </si>
  <si>
    <t>Exh. SEF-36 page 35 of 37</t>
  </si>
  <si>
    <t>Exh. SEF-36 page 36 of 37</t>
  </si>
  <si>
    <t>Exh. SEF-36 page 1 of 37</t>
  </si>
  <si>
    <t>Exh. SEF-36 page 2 of 37</t>
  </si>
  <si>
    <t>Exh. SEF-36 page 3 of 37</t>
  </si>
  <si>
    <t>Exh. SEF-36 page 4 of 37</t>
  </si>
  <si>
    <t>Exh. SEF-36 page 5 of 37</t>
  </si>
  <si>
    <t>Exh. SEF-36 page 6 of 37</t>
  </si>
  <si>
    <t>Exh. SEF-36 page 7 of 37</t>
  </si>
  <si>
    <t>Exh. SEF-36 page 8 of 37</t>
  </si>
  <si>
    <t>Exh. SEF-36 page 9 of 37</t>
  </si>
  <si>
    <t>Exh. SEF-36 page 10 of 37</t>
  </si>
  <si>
    <t>Exh. SEF-36 page 11 of 37</t>
  </si>
  <si>
    <t>Exh. SEF-36 page 12 of 37</t>
  </si>
  <si>
    <t>Exh. SEF-36 page 13 of 37</t>
  </si>
  <si>
    <t>Exh. SEF-36 page 14 of 37</t>
  </si>
  <si>
    <t>Exh. SEF-36 page 15 of 37</t>
  </si>
  <si>
    <t>Exh. SEF-36 page 16 of 37</t>
  </si>
  <si>
    <t>Exh. SEF-36 page 17 of 37</t>
  </si>
  <si>
    <t>Exh. SEF-36 page 18 of 37</t>
  </si>
  <si>
    <t>Exh. SEF-36 page 19 of 37</t>
  </si>
  <si>
    <t>Exh. SEF-36 page 20 of 37</t>
  </si>
  <si>
    <t>Exh. SEF-36 page 21 of 37</t>
  </si>
  <si>
    <t>Exh. SEF-36 page 22 of 37</t>
  </si>
  <si>
    <t>Exh. SEF-36 page 23 of 37</t>
  </si>
  <si>
    <t>Exh. SEF-36 page 24 of 37</t>
  </si>
  <si>
    <t>Exh. SEF-36 page 25 of 37</t>
  </si>
  <si>
    <t>Exh. SEF-36 page 26 of 37</t>
  </si>
  <si>
    <t>Exh. SEF-36 page 27 of 37</t>
  </si>
  <si>
    <t>Exh. SEF-36 page 28 of 37</t>
  </si>
  <si>
    <t>Exh. SEF-36 page 29 of 37</t>
  </si>
  <si>
    <t>Exh. SEF-36 page 32 of 37</t>
  </si>
  <si>
    <t>Exh. SEF-36 page 30 of 37</t>
  </si>
  <si>
    <t>Exh. SEF-36 page 31 of 37</t>
  </si>
  <si>
    <t>Exh. SEF-36 page 33 of 37</t>
  </si>
  <si>
    <t>Exh. SEF-36 page 37 of 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</si>
</sst>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0.0000%"/>
    <numFmt numFmtId="166" formatCode="_(* #,##0_);_(* \(#,##0\);_(* &quot;-&quot;??_);_(@_)"/>
    <numFmt numFmtId="167" formatCode="_(* #,##0.000000_);_(* \(#,##0.000000\);_(* &quot;-&quot;??????_);_(@_)"/>
    <numFmt numFmtId="168" formatCode="_(&quot;$&quot;* #,##0_);_(&quot;$&quot;* \(#,##0\);_(&quot;$&quot;* &quot;-&quot;??_);_(@_)"/>
    <numFmt numFmtId="169" formatCode="0.0%"/>
    <numFmt numFmtId="170" formatCode="_(* #,##0.000000_);_(* \(#,##0.000000\);_(* &quot;-&quot;??_);_(@_)"/>
    <numFmt numFmtId="171" formatCode="&quot;Link to&quot;\-\ yyyy"/>
    <numFmt numFmtId="172" formatCode="0.00\ "/>
    <numFmt numFmtId="173" formatCode="0.00\ &quot;P&quot;"/>
    <numFmt numFmtId="174" formatCode="&quot;$&quot;#,##0"/>
    <numFmt numFmtId="175" formatCode="_(&quot;$&quot;* #,##0_);[Red]_(&quot;$&quot;* \(#,##0\);_(&quot;$&quot;* &quot;-&quot;_);_(@_)"/>
    <numFmt numFmtId="176" formatCode="&quot;$&quot;#,##0.00"/>
    <numFmt numFmtId="177" formatCode="&quot;ADJ&quot;\ 0.00\ &quot;ER&quot;"/>
    <numFmt numFmtId="178" formatCode="yyyy"/>
    <numFmt numFmtId="179" formatCode="#,##0;\(#,##0\)"/>
    <numFmt numFmtId="180" formatCode="_(&quot;$&quot;* #,##0.000000_);_(&quot;$&quot;* \(#,##0.000000\);_(&quot;$&quot;* &quot;-&quot;??????_);_(@_)"/>
    <numFmt numFmtId="181" formatCode="0.00000%"/>
    <numFmt numFmtId="182" formatCode="#,##0.0000"/>
    <numFmt numFmtId="183" formatCode="0.0000000"/>
    <numFmt numFmtId="184" formatCode="0_);\(0\)"/>
    <numFmt numFmtId="185" formatCode="#,##0.000000;\(#,##0.000000\)"/>
    <numFmt numFmtId="186" formatCode="#,##0.000;\(#,##0.000\)"/>
    <numFmt numFmtId="187" formatCode="0.000000%"/>
    <numFmt numFmtId="188" formatCode="0.0000"/>
    <numFmt numFmtId="189" formatCode="_(* #,##0.000000_);_(* \(#,##0.000000\);_(* &quot;-&quot;_);_(@_)"/>
  </numFmts>
  <fonts count="10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i/>
      <sz val="10"/>
      <color rgb="FF7030A0"/>
      <name val="Times New Roman"/>
      <family val="1"/>
    </font>
    <font>
      <sz val="10"/>
      <name val="Times New Roman"/>
      <family val="1"/>
    </font>
    <font>
      <b/>
      <i/>
      <sz val="10"/>
      <color rgb="FF0000FF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i/>
      <sz val="10"/>
      <name val="Times New Roman"/>
      <family val="1"/>
    </font>
    <font>
      <sz val="11"/>
      <color theme="1"/>
      <name val="Times New Roman"/>
      <family val="1"/>
    </font>
    <font>
      <sz val="10"/>
      <color theme="0" tint="-0.249977111117893"/>
      <name val="Times New Roman"/>
      <family val="1"/>
    </font>
    <font>
      <b/>
      <i/>
      <sz val="10"/>
      <color theme="0" tint="-0.249977111117893"/>
      <name val="Times New Roman"/>
      <family val="1"/>
    </font>
    <font>
      <sz val="10"/>
      <color rgb="FF9C0006"/>
      <name val="Times New Roman"/>
      <family val="1"/>
    </font>
    <font>
      <sz val="11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rgb="FF0070C0"/>
      <name val="Times New Roman"/>
      <family val="1"/>
    </font>
    <font>
      <b/>
      <sz val="12"/>
      <color rgb="FFFF0000"/>
      <name val="Times New Roman"/>
      <family val="1"/>
    </font>
    <font>
      <sz val="10"/>
      <color theme="0" tint="-0.34998626667073579"/>
      <name val="Times New Roman"/>
      <family val="1"/>
    </font>
    <font>
      <sz val="9"/>
      <color rgb="FFFF0000"/>
      <name val="Times New Roman"/>
      <family val="1"/>
    </font>
    <font>
      <sz val="9"/>
      <color rgb="FF00B050"/>
      <name val="Times New Roman"/>
      <family val="1"/>
    </font>
    <font>
      <sz val="11"/>
      <color theme="0" tint="-0.14999847407452621"/>
      <name val="Calibri"/>
      <family val="2"/>
      <scheme val="minor"/>
    </font>
    <font>
      <sz val="9"/>
      <color rgb="FF0000FF"/>
      <name val="Times New Roman"/>
      <family val="1"/>
    </font>
    <font>
      <sz val="11"/>
      <color rgb="FFFF0000"/>
      <name val="Times New Roman"/>
      <family val="1"/>
    </font>
    <font>
      <b/>
      <sz val="11"/>
      <color rgb="FFFF00FF"/>
      <name val="Times New Roman"/>
      <family val="1"/>
    </font>
    <font>
      <b/>
      <sz val="11"/>
      <color rgb="FF00B050"/>
      <name val="Times New Roman"/>
      <family val="1"/>
    </font>
    <font>
      <b/>
      <sz val="11"/>
      <name val="Times New Roman"/>
      <family val="1"/>
    </font>
    <font>
      <b/>
      <i/>
      <sz val="14"/>
      <color rgb="FF0000FF"/>
      <name val="Times New Roman"/>
      <family val="1"/>
    </font>
    <font>
      <sz val="11"/>
      <color theme="0" tint="-0.34998626667073579"/>
      <name val="Times New Roman"/>
      <family val="1"/>
    </font>
    <font>
      <b/>
      <sz val="11"/>
      <color rgb="FFFF0000"/>
      <name val="Times New Roman"/>
      <family val="1"/>
    </font>
    <font>
      <b/>
      <i/>
      <sz val="11"/>
      <color rgb="FF0000FF"/>
      <name val="Times New Roman"/>
      <family val="1"/>
    </font>
    <font>
      <sz val="11"/>
      <color rgb="FF0000FF"/>
      <name val="Times New Roman"/>
      <family val="1"/>
    </font>
    <font>
      <b/>
      <sz val="11"/>
      <color theme="0" tint="-0.14999847407452621"/>
      <name val="Calibri"/>
      <family val="2"/>
      <scheme val="minor"/>
    </font>
    <font>
      <b/>
      <sz val="11"/>
      <color rgb="FF0000FF"/>
      <name val="Times New Roman"/>
      <family val="1"/>
    </font>
    <font>
      <b/>
      <sz val="11"/>
      <color theme="0" tint="-0.34998626667073579"/>
      <name val="Times New Roman"/>
      <family val="1"/>
    </font>
    <font>
      <sz val="11"/>
      <name val="Times New Roman"/>
      <family val="1"/>
    </font>
    <font>
      <sz val="10"/>
      <color theme="0"/>
      <name val="Times New Roman"/>
      <family val="1"/>
    </font>
    <font>
      <b/>
      <u/>
      <sz val="10"/>
      <color theme="1"/>
      <name val="Times New Roman"/>
      <family val="1"/>
    </font>
    <font>
      <i/>
      <sz val="10"/>
      <color theme="1"/>
      <name val="Times New Roman"/>
      <family val="1"/>
    </font>
    <font>
      <u/>
      <sz val="10"/>
      <color theme="1"/>
      <name val="Times New Roman"/>
      <family val="1"/>
    </font>
    <font>
      <b/>
      <i/>
      <sz val="10"/>
      <color rgb="FFFF0000"/>
      <name val="Times New Roman"/>
      <family val="1"/>
    </font>
    <font>
      <b/>
      <sz val="10"/>
      <name val="Times New Roman"/>
      <family val="1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i/>
      <sz val="10"/>
      <color rgb="FF0000FF"/>
      <name val="Calibri"/>
      <family val="2"/>
      <scheme val="minor"/>
    </font>
    <font>
      <u/>
      <sz val="10"/>
      <name val="Times New Roman"/>
      <family val="1"/>
    </font>
    <font>
      <b/>
      <sz val="11"/>
      <color rgb="FF000000"/>
      <name val="Times New Roman"/>
      <family val="1"/>
    </font>
    <font>
      <sz val="10"/>
      <color rgb="FF0000FF"/>
      <name val="Times New Roman"/>
      <family val="1"/>
    </font>
    <font>
      <sz val="8"/>
      <color rgb="FFFF0000"/>
      <name val="Times New Roman"/>
      <family val="1"/>
    </font>
    <font>
      <b/>
      <i/>
      <sz val="10"/>
      <color rgb="FF0070C0"/>
      <name val="Times New Roman"/>
      <family val="1"/>
    </font>
    <font>
      <b/>
      <i/>
      <sz val="11"/>
      <color rgb="FF0070C0"/>
      <name val="Times New Roman"/>
      <family val="1"/>
    </font>
    <font>
      <b/>
      <i/>
      <sz val="11"/>
      <color rgb="FFFF000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B0F0"/>
      <name val="Times New Roman"/>
      <family val="1"/>
    </font>
    <font>
      <b/>
      <sz val="12"/>
      <color rgb="FF000000"/>
      <name val="Times New Roman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rgb="FF0000FF"/>
      <name val="Times New Roman"/>
      <family val="1"/>
    </font>
    <font>
      <u/>
      <sz val="10"/>
      <color rgb="FF00B0F0"/>
      <name val="Times New Roman"/>
      <family val="1"/>
    </font>
    <font>
      <sz val="12"/>
      <color rgb="FF000000"/>
      <name val="Times New Roman"/>
      <family val="1"/>
    </font>
    <font>
      <sz val="10"/>
      <color rgb="FF000000"/>
      <name val="Calibri"/>
      <family val="2"/>
    </font>
    <font>
      <b/>
      <sz val="9"/>
      <color theme="1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i/>
      <sz val="12"/>
      <name val="Times New Roman"/>
      <family val="1"/>
    </font>
    <font>
      <b/>
      <i/>
      <sz val="10"/>
      <color theme="1"/>
      <name val="Times New Roman"/>
      <family val="1"/>
    </font>
    <font>
      <sz val="10"/>
      <name val="Arial"/>
      <family val="2"/>
    </font>
    <font>
      <sz val="10"/>
      <color rgb="FF040C28"/>
      <name val="Roboto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sz val="10"/>
      <color theme="1"/>
      <name val="Calibri"/>
      <family val="2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8"/>
      <name val="Helv"/>
    </font>
    <font>
      <u/>
      <sz val="11"/>
      <name val="Times New Roman"/>
      <family val="1"/>
    </font>
    <font>
      <b/>
      <i/>
      <sz val="10"/>
      <color rgb="FF0000FF"/>
      <name val="Arial"/>
      <family val="2"/>
    </font>
    <font>
      <sz val="8"/>
      <color theme="1"/>
      <name val="Times New Roman"/>
      <family val="1"/>
    </font>
    <font>
      <b/>
      <i/>
      <sz val="11"/>
      <color rgb="FF3333FF"/>
      <name val="Times New Roman"/>
      <family val="1"/>
    </font>
    <font>
      <sz val="9"/>
      <color theme="1"/>
      <name val="Times New Roman"/>
      <family val="1"/>
    </font>
    <font>
      <sz val="10"/>
      <color indexed="8"/>
      <name val="Times New Roman"/>
      <family val="1"/>
    </font>
    <font>
      <sz val="11"/>
      <name val="Arial"/>
      <family val="2"/>
    </font>
    <font>
      <sz val="9"/>
      <color rgb="FF0000CC"/>
      <name val="Times New Roman"/>
      <family val="1"/>
    </font>
    <font>
      <sz val="8"/>
      <color rgb="FF0000FF"/>
      <name val="Times New Roman"/>
      <family val="1"/>
    </font>
    <font>
      <b/>
      <u/>
      <sz val="10"/>
      <name val="Times New Roman"/>
      <family val="1"/>
    </font>
    <font>
      <b/>
      <sz val="12"/>
      <name val="Times New Roman"/>
      <family val="1"/>
    </font>
    <font>
      <b/>
      <i/>
      <sz val="12"/>
      <color rgb="FF3333FF"/>
      <name val="Times New Roman"/>
      <family val="1"/>
    </font>
    <font>
      <b/>
      <i/>
      <sz val="10"/>
      <color rgb="FF3333FF"/>
      <name val="Times New Roman"/>
      <family val="1"/>
    </font>
    <font>
      <b/>
      <i/>
      <sz val="11"/>
      <color rgb="FF3333FF"/>
      <name val="Calibri"/>
      <family val="2"/>
      <scheme val="minor"/>
    </font>
    <font>
      <i/>
      <sz val="10"/>
      <color theme="0" tint="-0.34998626667073579"/>
      <name val="Times New Roman"/>
      <family val="1"/>
    </font>
    <font>
      <b/>
      <u/>
      <sz val="11"/>
      <name val="Times New Roman"/>
      <family val="1"/>
    </font>
    <font>
      <i/>
      <sz val="10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FF"/>
      <name val="Times New Roman"/>
      <family val="1"/>
    </font>
  </fonts>
  <fills count="2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CCFF3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99"/>
        <bgColor indexed="64"/>
      </patternFill>
    </fill>
    <fill>
      <patternFill patternType="gray0625">
        <bgColor rgb="FFFFFFCC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lightDown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ashed">
        <color auto="1"/>
      </top>
      <bottom/>
      <diagonal/>
    </border>
    <border>
      <left style="thin">
        <color indexed="64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</cellStyleXfs>
  <cellXfs count="1949">
    <xf numFmtId="0" fontId="0" fillId="0" borderId="0" xfId="0"/>
    <xf numFmtId="0" fontId="4" fillId="0" borderId="0" xfId="0" applyFont="1" applyFill="1"/>
    <xf numFmtId="0" fontId="5" fillId="0" borderId="1" xfId="0" applyFont="1" applyFill="1" applyBorder="1" applyAlignment="1">
      <alignment horizontal="centerContinuous"/>
    </xf>
    <xf numFmtId="0" fontId="5" fillId="0" borderId="2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left"/>
    </xf>
    <xf numFmtId="0" fontId="4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left"/>
    </xf>
    <xf numFmtId="0" fontId="7" fillId="0" borderId="0" xfId="0" applyFont="1" applyFill="1"/>
    <xf numFmtId="0" fontId="8" fillId="0" borderId="0" xfId="0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4" xfId="0" applyNumberFormat="1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4" fillId="0" borderId="4" xfId="0" applyFont="1" applyFill="1" applyBorder="1"/>
    <xf numFmtId="0" fontId="0" fillId="0" borderId="0" xfId="0" applyFont="1" applyFill="1"/>
    <xf numFmtId="0" fontId="0" fillId="0" borderId="0" xfId="0" applyFill="1"/>
    <xf numFmtId="0" fontId="4" fillId="0" borderId="0" xfId="0" applyFont="1" applyFill="1" applyBorder="1"/>
    <xf numFmtId="42" fontId="4" fillId="0" borderId="0" xfId="0" applyNumberFormat="1" applyFont="1" applyFill="1" applyBorder="1"/>
    <xf numFmtId="0" fontId="4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/>
    <xf numFmtId="42" fontId="9" fillId="0" borderId="0" xfId="0" applyNumberFormat="1" applyFont="1" applyFill="1"/>
    <xf numFmtId="0" fontId="6" fillId="0" borderId="5" xfId="0" applyFont="1" applyFill="1" applyBorder="1" applyAlignment="1">
      <alignment horizontal="left"/>
    </xf>
    <xf numFmtId="0" fontId="4" fillId="0" borderId="6" xfId="0" applyFont="1" applyFill="1" applyBorder="1"/>
    <xf numFmtId="0" fontId="4" fillId="0" borderId="7" xfId="0" applyFont="1" applyFill="1" applyBorder="1"/>
    <xf numFmtId="0" fontId="4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/>
    <xf numFmtId="0" fontId="4" fillId="0" borderId="0" xfId="0" applyNumberFormat="1" applyFont="1" applyFill="1" applyBorder="1" applyAlignment="1">
      <alignment horizontal="center"/>
    </xf>
    <xf numFmtId="10" fontId="9" fillId="0" borderId="0" xfId="0" applyNumberFormat="1" applyFont="1" applyFill="1"/>
    <xf numFmtId="10" fontId="4" fillId="0" borderId="0" xfId="0" applyNumberFormat="1" applyFont="1" applyFill="1"/>
    <xf numFmtId="0" fontId="4" fillId="0" borderId="8" xfId="0" applyNumberFormat="1" applyFont="1" applyFill="1" applyBorder="1" applyAlignment="1"/>
    <xf numFmtId="10" fontId="4" fillId="0" borderId="0" xfId="0" applyNumberFormat="1" applyFont="1" applyFill="1" applyBorder="1"/>
    <xf numFmtId="10" fontId="4" fillId="0" borderId="9" xfId="0" applyNumberFormat="1" applyFont="1" applyFill="1" applyBorder="1"/>
    <xf numFmtId="0" fontId="9" fillId="0" borderId="6" xfId="0" applyFont="1" applyFill="1" applyBorder="1"/>
    <xf numFmtId="165" fontId="4" fillId="0" borderId="0" xfId="0" applyNumberFormat="1" applyFont="1" applyFill="1" applyAlignment="1"/>
    <xf numFmtId="164" fontId="4" fillId="0" borderId="4" xfId="0" applyNumberFormat="1" applyFont="1" applyFill="1" applyBorder="1" applyAlignment="1"/>
    <xf numFmtId="166" fontId="9" fillId="0" borderId="0" xfId="0" applyNumberFormat="1" applyFont="1" applyFill="1"/>
    <xf numFmtId="9" fontId="4" fillId="0" borderId="6" xfId="0" applyNumberFormat="1" applyFont="1" applyFill="1" applyBorder="1"/>
    <xf numFmtId="164" fontId="4" fillId="0" borderId="0" xfId="0" applyNumberFormat="1" applyFont="1" applyFill="1" applyBorder="1" applyAlignment="1"/>
    <xf numFmtId="166" fontId="4" fillId="0" borderId="0" xfId="0" applyNumberFormat="1" applyFont="1" applyFill="1" applyBorder="1"/>
    <xf numFmtId="0" fontId="9" fillId="0" borderId="0" xfId="0" applyFont="1" applyFill="1"/>
    <xf numFmtId="0" fontId="4" fillId="0" borderId="9" xfId="0" applyFont="1" applyFill="1" applyBorder="1"/>
    <xf numFmtId="164" fontId="10" fillId="0" borderId="0" xfId="0" applyNumberFormat="1" applyFont="1" applyFill="1" applyAlignment="1"/>
    <xf numFmtId="166" fontId="10" fillId="0" borderId="0" xfId="0" applyNumberFormat="1" applyFont="1" applyFill="1"/>
    <xf numFmtId="166" fontId="10" fillId="0" borderId="6" xfId="0" applyNumberFormat="1" applyFont="1" applyFill="1" applyBorder="1"/>
    <xf numFmtId="166" fontId="9" fillId="0" borderId="6" xfId="0" applyNumberFormat="1" applyFont="1" applyFill="1" applyBorder="1"/>
    <xf numFmtId="41" fontId="9" fillId="0" borderId="0" xfId="0" applyNumberFormat="1" applyFont="1" applyFill="1"/>
    <xf numFmtId="41" fontId="4" fillId="0" borderId="0" xfId="0" applyNumberFormat="1" applyFont="1" applyFill="1"/>
    <xf numFmtId="42" fontId="4" fillId="0" borderId="0" xfId="0" applyNumberFormat="1" applyFont="1" applyFill="1"/>
    <xf numFmtId="0" fontId="4" fillId="0" borderId="10" xfId="0" applyNumberFormat="1" applyFont="1" applyFill="1" applyBorder="1" applyAlignment="1"/>
    <xf numFmtId="9" fontId="4" fillId="0" borderId="3" xfId="0" applyNumberFormat="1" applyFont="1" applyFill="1" applyBorder="1"/>
    <xf numFmtId="0" fontId="4" fillId="0" borderId="3" xfId="0" applyFont="1" applyFill="1" applyBorder="1"/>
    <xf numFmtId="10" fontId="4" fillId="0" borderId="2" xfId="0" applyNumberFormat="1" applyFont="1" applyFill="1" applyBorder="1"/>
    <xf numFmtId="9" fontId="4" fillId="0" borderId="0" xfId="0" applyNumberFormat="1" applyFont="1" applyFill="1" applyAlignment="1"/>
    <xf numFmtId="167" fontId="10" fillId="0" borderId="4" xfId="0" applyNumberFormat="1" applyFont="1" applyFill="1" applyBorder="1"/>
    <xf numFmtId="167" fontId="4" fillId="0" borderId="4" xfId="0" applyNumberFormat="1" applyFont="1" applyFill="1" applyBorder="1"/>
    <xf numFmtId="164" fontId="10" fillId="0" borderId="11" xfId="0" applyNumberFormat="1" applyFont="1" applyFill="1" applyBorder="1" applyAlignment="1" applyProtection="1">
      <protection locked="0"/>
    </xf>
    <xf numFmtId="167" fontId="4" fillId="0" borderId="0" xfId="0" applyNumberFormat="1" applyFont="1" applyFill="1" applyBorder="1"/>
    <xf numFmtId="168" fontId="10" fillId="0" borderId="11" xfId="0" applyNumberFormat="1" applyFont="1" applyFill="1" applyBorder="1" applyAlignment="1"/>
    <xf numFmtId="168" fontId="9" fillId="0" borderId="11" xfId="0" applyNumberFormat="1" applyFont="1" applyFill="1" applyBorder="1" applyAlignment="1"/>
    <xf numFmtId="41" fontId="4" fillId="0" borderId="0" xfId="0" applyNumberFormat="1" applyFont="1" applyFill="1" applyBorder="1" applyAlignment="1"/>
    <xf numFmtId="41" fontId="9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/>
    </xf>
    <xf numFmtId="168" fontId="10" fillId="0" borderId="0" xfId="0" applyNumberFormat="1" applyFont="1" applyFill="1" applyBorder="1" applyAlignment="1"/>
    <xf numFmtId="168" fontId="9" fillId="0" borderId="0" xfId="0" applyNumberFormat="1" applyFont="1" applyFill="1" applyBorder="1" applyAlignment="1"/>
    <xf numFmtId="41" fontId="9" fillId="0" borderId="6" xfId="0" applyNumberFormat="1" applyFont="1" applyFill="1" applyBorder="1" applyAlignment="1"/>
    <xf numFmtId="41" fontId="4" fillId="0" borderId="6" xfId="0" applyNumberFormat="1" applyFont="1" applyFill="1" applyBorder="1" applyAlignment="1"/>
    <xf numFmtId="169" fontId="4" fillId="0" borderId="6" xfId="0" applyNumberFormat="1" applyFont="1" applyFill="1" applyBorder="1"/>
    <xf numFmtId="0" fontId="12" fillId="0" borderId="0" xfId="0" applyFont="1" applyFill="1"/>
    <xf numFmtId="0" fontId="9" fillId="0" borderId="0" xfId="0" applyFont="1" applyFill="1" applyBorder="1"/>
    <xf numFmtId="0" fontId="9" fillId="0" borderId="0" xfId="0" applyFont="1" applyFill="1" applyAlignment="1">
      <alignment horizontal="left" indent="1"/>
    </xf>
    <xf numFmtId="166" fontId="4" fillId="0" borderId="0" xfId="0" applyNumberFormat="1" applyFont="1" applyFill="1"/>
    <xf numFmtId="0" fontId="9" fillId="0" borderId="0" xfId="0" applyFont="1" applyFill="1" applyAlignment="1">
      <alignment horizontal="left" indent="2"/>
    </xf>
    <xf numFmtId="166" fontId="13" fillId="0" borderId="0" xfId="0" applyNumberFormat="1" applyFont="1" applyFill="1" applyAlignment="1">
      <alignment horizontal="right"/>
    </xf>
    <xf numFmtId="0" fontId="4" fillId="4" borderId="0" xfId="0" applyFont="1" applyFill="1"/>
    <xf numFmtId="41" fontId="4" fillId="0" borderId="0" xfId="0" applyNumberFormat="1" applyFont="1" applyFill="1" applyBorder="1"/>
    <xf numFmtId="10" fontId="4" fillId="0" borderId="6" xfId="0" applyNumberFormat="1" applyFont="1" applyFill="1" applyBorder="1"/>
    <xf numFmtId="10" fontId="14" fillId="0" borderId="0" xfId="0" applyNumberFormat="1" applyFont="1" applyFill="1"/>
    <xf numFmtId="10" fontId="14" fillId="5" borderId="12" xfId="0" applyNumberFormat="1" applyFont="1" applyFill="1" applyBorder="1"/>
    <xf numFmtId="0" fontId="14" fillId="0" borderId="0" xfId="0" applyFont="1" applyFill="1" applyAlignment="1">
      <alignment horizontal="center"/>
    </xf>
    <xf numFmtId="166" fontId="15" fillId="0" borderId="0" xfId="0" applyNumberFormat="1" applyFont="1" applyFill="1"/>
    <xf numFmtId="166" fontId="13" fillId="0" borderId="0" xfId="0" applyNumberFormat="1" applyFont="1" applyFill="1"/>
    <xf numFmtId="0" fontId="15" fillId="0" borderId="0" xfId="0" applyFont="1" applyFill="1"/>
    <xf numFmtId="0" fontId="4" fillId="6" borderId="0" xfId="0" applyFont="1" applyFill="1"/>
    <xf numFmtId="166" fontId="16" fillId="0" borderId="0" xfId="0" applyNumberFormat="1" applyFont="1" applyFill="1"/>
    <xf numFmtId="0" fontId="10" fillId="0" borderId="0" xfId="0" applyFont="1" applyFill="1"/>
    <xf numFmtId="0" fontId="0" fillId="0" borderId="0" xfId="0" applyFont="1" applyFill="1" applyBorder="1"/>
    <xf numFmtId="166" fontId="15" fillId="0" borderId="6" xfId="0" applyNumberFormat="1" applyFont="1" applyFill="1" applyBorder="1"/>
    <xf numFmtId="170" fontId="9" fillId="0" borderId="0" xfId="0" applyNumberFormat="1" applyFont="1" applyFill="1"/>
    <xf numFmtId="42" fontId="10" fillId="0" borderId="13" xfId="0" applyNumberFormat="1" applyFont="1" applyFill="1" applyBorder="1"/>
    <xf numFmtId="42" fontId="9" fillId="0" borderId="13" xfId="0" applyNumberFormat="1" applyFont="1" applyFill="1" applyBorder="1"/>
    <xf numFmtId="10" fontId="10" fillId="0" borderId="0" xfId="0" applyNumberFormat="1" applyFont="1" applyFill="1"/>
    <xf numFmtId="42" fontId="10" fillId="0" borderId="0" xfId="0" applyNumberFormat="1" applyFont="1" applyFill="1"/>
    <xf numFmtId="42" fontId="17" fillId="2" borderId="0" xfId="4" applyNumberFormat="1" applyFont="1"/>
    <xf numFmtId="0" fontId="10" fillId="0" borderId="0" xfId="0" applyFont="1" applyFill="1" applyBorder="1" applyAlignment="1"/>
    <xf numFmtId="168" fontId="9" fillId="0" borderId="0" xfId="0" applyNumberFormat="1" applyFont="1" applyFill="1"/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Alignment="1"/>
    <xf numFmtId="0" fontId="4" fillId="0" borderId="0" xfId="0" applyFont="1"/>
    <xf numFmtId="0" fontId="19" fillId="0" borderId="0" xfId="0" applyFont="1" applyFill="1"/>
    <xf numFmtId="0" fontId="20" fillId="0" borderId="0" xfId="0" applyNumberFormat="1" applyFont="1" applyFill="1" applyAlignment="1">
      <alignment horizontal="center"/>
    </xf>
    <xf numFmtId="0" fontId="19" fillId="0" borderId="0" xfId="0" applyNumberFormat="1" applyFont="1" applyFill="1" applyAlignment="1">
      <alignment horizontal="center"/>
    </xf>
    <xf numFmtId="0" fontId="6" fillId="0" borderId="5" xfId="0" applyFont="1" applyBorder="1" applyAlignment="1"/>
    <xf numFmtId="0" fontId="4" fillId="0" borderId="7" xfId="0" applyFont="1" applyBorder="1"/>
    <xf numFmtId="0" fontId="6" fillId="7" borderId="1" xfId="0" applyFont="1" applyFill="1" applyBorder="1" applyAlignment="1">
      <alignment horizontal="centerContinuous"/>
    </xf>
    <xf numFmtId="0" fontId="4" fillId="7" borderId="3" xfId="0" applyFont="1" applyFill="1" applyBorder="1" applyAlignment="1">
      <alignment horizontal="centerContinuous"/>
    </xf>
    <xf numFmtId="0" fontId="4" fillId="7" borderId="2" xfId="0" applyFont="1" applyFill="1" applyBorder="1" applyAlignment="1">
      <alignment horizontal="centerContinuous"/>
    </xf>
    <xf numFmtId="0" fontId="4" fillId="4" borderId="3" xfId="0" applyFont="1" applyFill="1" applyBorder="1" applyAlignment="1">
      <alignment horizontal="centerContinuous"/>
    </xf>
    <xf numFmtId="0" fontId="4" fillId="4" borderId="2" xfId="0" applyFont="1" applyFill="1" applyBorder="1" applyAlignment="1">
      <alignment horizontal="centerContinuous"/>
    </xf>
    <xf numFmtId="0" fontId="4" fillId="6" borderId="3" xfId="0" applyFont="1" applyFill="1" applyBorder="1" applyAlignment="1">
      <alignment horizontal="centerContinuous"/>
    </xf>
    <xf numFmtId="0" fontId="4" fillId="6" borderId="2" xfId="0" applyFont="1" applyFill="1" applyBorder="1" applyAlignment="1">
      <alignment horizontal="centerContinuous"/>
    </xf>
    <xf numFmtId="0" fontId="6" fillId="0" borderId="8" xfId="0" applyFont="1" applyBorder="1" applyAlignment="1"/>
    <xf numFmtId="0" fontId="4" fillId="0" borderId="9" xfId="0" applyFont="1" applyBorder="1"/>
    <xf numFmtId="0" fontId="4" fillId="7" borderId="14" xfId="0" applyFont="1" applyFill="1" applyBorder="1"/>
    <xf numFmtId="0" fontId="4" fillId="0" borderId="15" xfId="0" applyFont="1" applyBorder="1"/>
    <xf numFmtId="0" fontId="4" fillId="7" borderId="15" xfId="0" applyFont="1" applyFill="1" applyBorder="1"/>
    <xf numFmtId="17" fontId="6" fillId="0" borderId="15" xfId="0" applyNumberFormat="1" applyFont="1" applyBorder="1" applyAlignment="1">
      <alignment horizontal="center"/>
    </xf>
    <xf numFmtId="0" fontId="6" fillId="7" borderId="7" xfId="0" quotePrefix="1" applyFont="1" applyFill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7" borderId="15" xfId="0" applyFont="1" applyFill="1" applyBorder="1" applyAlignment="1">
      <alignment horizontal="center"/>
    </xf>
    <xf numFmtId="0" fontId="6" fillId="7" borderId="16" xfId="0" applyFont="1" applyFill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4" borderId="15" xfId="0" applyFont="1" applyFill="1" applyBorder="1" applyAlignment="1">
      <alignment horizontal="center"/>
    </xf>
    <xf numFmtId="0" fontId="6" fillId="6" borderId="14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0" borderId="8" xfId="0" applyFont="1" applyBorder="1"/>
    <xf numFmtId="0" fontId="6" fillId="0" borderId="9" xfId="0" applyFont="1" applyBorder="1"/>
    <xf numFmtId="0" fontId="6" fillId="7" borderId="18" xfId="0" applyFont="1" applyFill="1" applyBorder="1" applyAlignment="1">
      <alignment horizontal="center"/>
    </xf>
    <xf numFmtId="0" fontId="6" fillId="0" borderId="19" xfId="0" applyFont="1" applyBorder="1"/>
    <xf numFmtId="0" fontId="6" fillId="7" borderId="19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7" borderId="9" xfId="0" applyFont="1" applyFill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7" borderId="20" xfId="0" applyFont="1" applyFill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4" borderId="18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6" fillId="6" borderId="18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7" borderId="24" xfId="0" applyFont="1" applyFill="1" applyBorder="1" applyAlignment="1">
      <alignment horizontal="center"/>
    </xf>
    <xf numFmtId="0" fontId="6" fillId="7" borderId="22" xfId="0" applyFont="1" applyFill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7" borderId="25" xfId="0" applyFont="1" applyFill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4" borderId="2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6" fillId="6" borderId="23" xfId="0" applyFont="1" applyFill="1" applyBorder="1" applyAlignment="1">
      <alignment horizontal="center"/>
    </xf>
    <xf numFmtId="0" fontId="6" fillId="6" borderId="24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4" fillId="7" borderId="18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7" borderId="19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7" borderId="18" xfId="0" applyFont="1" applyFill="1" applyBorder="1"/>
    <xf numFmtId="0" fontId="4" fillId="0" borderId="19" xfId="0" applyFont="1" applyBorder="1"/>
    <xf numFmtId="0" fontId="4" fillId="7" borderId="19" xfId="0" applyFont="1" applyFill="1" applyBorder="1"/>
    <xf numFmtId="0" fontId="4" fillId="7" borderId="9" xfId="0" applyFont="1" applyFill="1" applyBorder="1"/>
    <xf numFmtId="0" fontId="4" fillId="0" borderId="18" xfId="0" applyFont="1" applyBorder="1"/>
    <xf numFmtId="0" fontId="4" fillId="7" borderId="20" xfId="0" applyFont="1" applyFill="1" applyBorder="1"/>
    <xf numFmtId="0" fontId="4" fillId="0" borderId="21" xfId="0" applyFont="1" applyBorder="1"/>
    <xf numFmtId="42" fontId="4" fillId="7" borderId="18" xfId="0" applyNumberFormat="1" applyFont="1" applyFill="1" applyBorder="1"/>
    <xf numFmtId="41" fontId="10" fillId="0" borderId="19" xfId="0" applyNumberFormat="1" applyFont="1" applyFill="1" applyBorder="1" applyAlignment="1" applyProtection="1">
      <protection locked="0"/>
    </xf>
    <xf numFmtId="168" fontId="10" fillId="7" borderId="19" xfId="0" applyNumberFormat="1" applyFont="1" applyFill="1" applyBorder="1"/>
    <xf numFmtId="168" fontId="4" fillId="0" borderId="19" xfId="0" applyNumberFormat="1" applyFont="1" applyBorder="1"/>
    <xf numFmtId="168" fontId="10" fillId="0" borderId="18" xfId="0" applyNumberFormat="1" applyFont="1" applyBorder="1"/>
    <xf numFmtId="168" fontId="4" fillId="7" borderId="19" xfId="0" applyNumberFormat="1" applyFont="1" applyFill="1" applyBorder="1"/>
    <xf numFmtId="168" fontId="4" fillId="0" borderId="18" xfId="0" applyNumberFormat="1" applyFont="1" applyBorder="1"/>
    <xf numFmtId="168" fontId="4" fillId="7" borderId="20" xfId="0" applyNumberFormat="1" applyFont="1" applyFill="1" applyBorder="1"/>
    <xf numFmtId="41" fontId="4" fillId="7" borderId="18" xfId="0" applyNumberFormat="1" applyFont="1" applyFill="1" applyBorder="1" applyAlignment="1" applyProtection="1">
      <protection locked="0"/>
    </xf>
    <xf numFmtId="166" fontId="4" fillId="0" borderId="19" xfId="0" applyNumberFormat="1" applyFont="1" applyBorder="1"/>
    <xf numFmtId="166" fontId="4" fillId="7" borderId="19" xfId="0" applyNumberFormat="1" applyFont="1" applyFill="1" applyBorder="1"/>
    <xf numFmtId="166" fontId="4" fillId="7" borderId="9" xfId="0" applyNumberFormat="1" applyFont="1" applyFill="1" applyBorder="1"/>
    <xf numFmtId="166" fontId="4" fillId="0" borderId="18" xfId="0" applyNumberFormat="1" applyFont="1" applyBorder="1"/>
    <xf numFmtId="166" fontId="4" fillId="7" borderId="20" xfId="0" applyNumberFormat="1" applyFont="1" applyFill="1" applyBorder="1"/>
    <xf numFmtId="166" fontId="10" fillId="0" borderId="18" xfId="0" applyNumberFormat="1" applyFont="1" applyBorder="1"/>
    <xf numFmtId="166" fontId="10" fillId="7" borderId="19" xfId="0" applyNumberFormat="1" applyFont="1" applyFill="1" applyBorder="1"/>
    <xf numFmtId="166" fontId="10" fillId="7" borderId="20" xfId="0" applyNumberFormat="1" applyFont="1" applyFill="1" applyBorder="1"/>
    <xf numFmtId="0" fontId="4" fillId="0" borderId="9" xfId="0" applyNumberFormat="1" applyFont="1" applyFill="1" applyBorder="1" applyAlignment="1">
      <alignment horizontal="left"/>
    </xf>
    <xf numFmtId="42" fontId="4" fillId="7" borderId="14" xfId="0" applyNumberFormat="1" applyFont="1" applyFill="1" applyBorder="1"/>
    <xf numFmtId="42" fontId="10" fillId="0" borderId="15" xfId="0" applyNumberFormat="1" applyFont="1" applyFill="1" applyBorder="1"/>
    <xf numFmtId="42" fontId="10" fillId="7" borderId="15" xfId="0" applyNumberFormat="1" applyFont="1" applyFill="1" applyBorder="1"/>
    <xf numFmtId="42" fontId="4" fillId="0" borderId="15" xfId="0" applyNumberFormat="1" applyFont="1" applyFill="1" applyBorder="1"/>
    <xf numFmtId="42" fontId="10" fillId="0" borderId="14" xfId="0" applyNumberFormat="1" applyFont="1" applyFill="1" applyBorder="1"/>
    <xf numFmtId="42" fontId="4" fillId="7" borderId="15" xfId="0" applyNumberFormat="1" applyFont="1" applyFill="1" applyBorder="1"/>
    <xf numFmtId="42" fontId="10" fillId="7" borderId="16" xfId="0" applyNumberFormat="1" applyFont="1" applyFill="1" applyBorder="1"/>
    <xf numFmtId="41" fontId="4" fillId="7" borderId="14" xfId="0" applyNumberFormat="1" applyFont="1" applyFill="1" applyBorder="1" applyAlignment="1" applyProtection="1">
      <protection locked="0"/>
    </xf>
    <xf numFmtId="41" fontId="4" fillId="0" borderId="15" xfId="0" applyNumberFormat="1" applyFont="1" applyFill="1" applyBorder="1" applyAlignment="1" applyProtection="1">
      <protection locked="0"/>
    </xf>
    <xf numFmtId="41" fontId="4" fillId="7" borderId="15" xfId="0" applyNumberFormat="1" applyFont="1" applyFill="1" applyBorder="1" applyAlignment="1" applyProtection="1">
      <protection locked="0"/>
    </xf>
    <xf numFmtId="41" fontId="4" fillId="7" borderId="16" xfId="0" applyNumberFormat="1" applyFont="1" applyFill="1" applyBorder="1" applyAlignment="1" applyProtection="1">
      <protection locked="0"/>
    </xf>
    <xf numFmtId="166" fontId="4" fillId="0" borderId="14" xfId="0" applyNumberFormat="1" applyFont="1" applyFill="1" applyBorder="1" applyAlignment="1" applyProtection="1">
      <protection locked="0"/>
    </xf>
    <xf numFmtId="166" fontId="4" fillId="7" borderId="15" xfId="0" applyNumberFormat="1" applyFont="1" applyFill="1" applyBorder="1" applyAlignment="1" applyProtection="1">
      <protection locked="0"/>
    </xf>
    <xf numFmtId="166" fontId="10" fillId="0" borderId="14" xfId="0" applyNumberFormat="1" applyFont="1" applyFill="1" applyBorder="1" applyAlignment="1" applyProtection="1">
      <protection locked="0"/>
    </xf>
    <xf numFmtId="166" fontId="10" fillId="7" borderId="15" xfId="0" applyNumberFormat="1" applyFont="1" applyFill="1" applyBorder="1" applyAlignment="1" applyProtection="1">
      <protection locked="0"/>
    </xf>
    <xf numFmtId="166" fontId="10" fillId="7" borderId="16" xfId="0" applyNumberFormat="1" applyFont="1" applyFill="1" applyBorder="1" applyAlignment="1" applyProtection="1">
      <protection locked="0"/>
    </xf>
    <xf numFmtId="41" fontId="4" fillId="0" borderId="19" xfId="0" applyNumberFormat="1" applyFont="1" applyFill="1" applyBorder="1" applyAlignment="1" applyProtection="1">
      <protection locked="0"/>
    </xf>
    <xf numFmtId="41" fontId="4" fillId="7" borderId="19" xfId="0" applyNumberFormat="1" applyFont="1" applyFill="1" applyBorder="1" applyAlignment="1" applyProtection="1">
      <protection locked="0"/>
    </xf>
    <xf numFmtId="41" fontId="4" fillId="7" borderId="9" xfId="0" applyNumberFormat="1" applyFont="1" applyFill="1" applyBorder="1" applyAlignment="1" applyProtection="1">
      <protection locked="0"/>
    </xf>
    <xf numFmtId="166" fontId="4" fillId="0" borderId="18" xfId="0" applyNumberFormat="1" applyFont="1" applyFill="1" applyBorder="1" applyAlignment="1" applyProtection="1">
      <protection locked="0"/>
    </xf>
    <xf numFmtId="166" fontId="4" fillId="7" borderId="19" xfId="0" applyNumberFormat="1" applyFont="1" applyFill="1" applyBorder="1" applyAlignment="1" applyProtection="1">
      <protection locked="0"/>
    </xf>
    <xf numFmtId="166" fontId="4" fillId="7" borderId="20" xfId="0" applyNumberFormat="1" applyFont="1" applyFill="1" applyBorder="1" applyAlignment="1" applyProtection="1">
      <protection locked="0"/>
    </xf>
    <xf numFmtId="41" fontId="10" fillId="7" borderId="19" xfId="0" applyNumberFormat="1" applyFont="1" applyFill="1" applyBorder="1" applyAlignment="1" applyProtection="1">
      <protection locked="0"/>
    </xf>
    <xf numFmtId="41" fontId="10" fillId="7" borderId="9" xfId="0" applyNumberFormat="1" applyFont="1" applyFill="1" applyBorder="1" applyAlignment="1" applyProtection="1">
      <protection locked="0"/>
    </xf>
    <xf numFmtId="166" fontId="10" fillId="0" borderId="18" xfId="0" applyNumberFormat="1" applyFont="1" applyFill="1" applyBorder="1" applyAlignment="1" applyProtection="1">
      <protection locked="0"/>
    </xf>
    <xf numFmtId="166" fontId="10" fillId="7" borderId="19" xfId="0" applyNumberFormat="1" applyFont="1" applyFill="1" applyBorder="1" applyAlignment="1" applyProtection="1">
      <protection locked="0"/>
    </xf>
    <xf numFmtId="166" fontId="10" fillId="7" borderId="20" xfId="0" applyNumberFormat="1" applyFont="1" applyFill="1" applyBorder="1" applyAlignment="1" applyProtection="1">
      <protection locked="0"/>
    </xf>
    <xf numFmtId="41" fontId="4" fillId="7" borderId="27" xfId="0" applyNumberFormat="1" applyFont="1" applyFill="1" applyBorder="1" applyAlignment="1" applyProtection="1">
      <protection locked="0"/>
    </xf>
    <xf numFmtId="41" fontId="10" fillId="0" borderId="28" xfId="0" applyNumberFormat="1" applyFont="1" applyFill="1" applyBorder="1" applyAlignment="1" applyProtection="1">
      <protection locked="0"/>
    </xf>
    <xf numFmtId="41" fontId="10" fillId="7" borderId="28" xfId="0" applyNumberFormat="1" applyFont="1" applyFill="1" applyBorder="1" applyAlignment="1" applyProtection="1">
      <protection locked="0"/>
    </xf>
    <xf numFmtId="41" fontId="10" fillId="7" borderId="2" xfId="0" applyNumberFormat="1" applyFont="1" applyFill="1" applyBorder="1" applyAlignment="1" applyProtection="1">
      <protection locked="0"/>
    </xf>
    <xf numFmtId="41" fontId="10" fillId="0" borderId="27" xfId="0" applyNumberFormat="1" applyFont="1" applyFill="1" applyBorder="1" applyAlignment="1" applyProtection="1">
      <protection locked="0"/>
    </xf>
    <xf numFmtId="41" fontId="10" fillId="7" borderId="29" xfId="0" applyNumberFormat="1" applyFont="1" applyFill="1" applyBorder="1" applyAlignment="1" applyProtection="1">
      <protection locked="0"/>
    </xf>
    <xf numFmtId="0" fontId="10" fillId="0" borderId="15" xfId="0" applyFont="1" applyFill="1" applyBorder="1"/>
    <xf numFmtId="0" fontId="10" fillId="7" borderId="15" xfId="0" applyFont="1" applyFill="1" applyBorder="1"/>
    <xf numFmtId="41" fontId="10" fillId="7" borderId="15" xfId="0" applyNumberFormat="1" applyFont="1" applyFill="1" applyBorder="1"/>
    <xf numFmtId="0" fontId="10" fillId="0" borderId="14" xfId="0" applyFont="1" applyFill="1" applyBorder="1"/>
    <xf numFmtId="41" fontId="10" fillId="7" borderId="16" xfId="0" applyNumberFormat="1" applyFont="1" applyFill="1" applyBorder="1"/>
    <xf numFmtId="0" fontId="4" fillId="0" borderId="17" xfId="0" applyFont="1" applyFill="1" applyBorder="1"/>
    <xf numFmtId="0" fontId="4" fillId="0" borderId="14" xfId="0" applyFont="1" applyFill="1" applyBorder="1"/>
    <xf numFmtId="0" fontId="4" fillId="0" borderId="9" xfId="0" applyNumberFormat="1" applyFont="1" applyFill="1" applyBorder="1" applyAlignment="1">
      <alignment horizontal="left" indent="1"/>
    </xf>
    <xf numFmtId="42" fontId="4" fillId="7" borderId="30" xfId="0" applyNumberFormat="1" applyFont="1" applyFill="1" applyBorder="1" applyAlignment="1" applyProtection="1">
      <protection locked="0"/>
    </xf>
    <xf numFmtId="42" fontId="10" fillId="0" borderId="31" xfId="0" applyNumberFormat="1" applyFont="1" applyFill="1" applyBorder="1" applyAlignment="1" applyProtection="1">
      <protection locked="0"/>
    </xf>
    <xf numFmtId="42" fontId="10" fillId="7" borderId="31" xfId="0" applyNumberFormat="1" applyFont="1" applyFill="1" applyBorder="1" applyAlignment="1" applyProtection="1">
      <protection locked="0"/>
    </xf>
    <xf numFmtId="42" fontId="10" fillId="7" borderId="32" xfId="0" applyNumberFormat="1" applyFont="1" applyFill="1" applyBorder="1" applyAlignment="1" applyProtection="1">
      <protection locked="0"/>
    </xf>
    <xf numFmtId="42" fontId="10" fillId="0" borderId="30" xfId="0" applyNumberFormat="1" applyFont="1" applyFill="1" applyBorder="1" applyAlignment="1" applyProtection="1">
      <protection locked="0"/>
    </xf>
    <xf numFmtId="42" fontId="10" fillId="7" borderId="33" xfId="0" applyNumberFormat="1" applyFont="1" applyFill="1" applyBorder="1" applyAlignment="1" applyProtection="1">
      <protection locked="0"/>
    </xf>
    <xf numFmtId="42" fontId="4" fillId="7" borderId="31" xfId="0" applyNumberFormat="1" applyFont="1" applyFill="1" applyBorder="1" applyAlignment="1" applyProtection="1">
      <protection locked="0"/>
    </xf>
    <xf numFmtId="42" fontId="4" fillId="0" borderId="30" xfId="0" applyNumberFormat="1" applyFont="1" applyFill="1" applyBorder="1" applyAlignment="1" applyProtection="1">
      <protection locked="0"/>
    </xf>
    <xf numFmtId="0" fontId="4" fillId="7" borderId="35" xfId="0" applyFont="1" applyFill="1" applyBorder="1"/>
    <xf numFmtId="10" fontId="6" fillId="7" borderId="18" xfId="0" applyNumberFormat="1" applyFont="1" applyFill="1" applyBorder="1"/>
    <xf numFmtId="10" fontId="4" fillId="0" borderId="19" xfId="0" applyNumberFormat="1" applyFont="1" applyBorder="1"/>
    <xf numFmtId="10" fontId="10" fillId="7" borderId="19" xfId="0" applyNumberFormat="1" applyFont="1" applyFill="1" applyBorder="1"/>
    <xf numFmtId="10" fontId="10" fillId="7" borderId="9" xfId="0" applyNumberFormat="1" applyFont="1" applyFill="1" applyBorder="1"/>
    <xf numFmtId="10" fontId="4" fillId="0" borderId="18" xfId="0" applyNumberFormat="1" applyFont="1" applyBorder="1"/>
    <xf numFmtId="10" fontId="10" fillId="7" borderId="20" xfId="0" applyNumberFormat="1" applyFont="1" applyFill="1" applyBorder="1"/>
    <xf numFmtId="10" fontId="4" fillId="0" borderId="21" xfId="0" applyNumberFormat="1" applyFont="1" applyBorder="1"/>
    <xf numFmtId="42" fontId="4" fillId="0" borderId="19" xfId="0" applyNumberFormat="1" applyFont="1" applyBorder="1"/>
    <xf numFmtId="42" fontId="4" fillId="7" borderId="19" xfId="0" applyNumberFormat="1" applyFont="1" applyFill="1" applyBorder="1"/>
    <xf numFmtId="42" fontId="4" fillId="7" borderId="9" xfId="0" applyNumberFormat="1" applyFont="1" applyFill="1" applyBorder="1"/>
    <xf numFmtId="42" fontId="4" fillId="0" borderId="18" xfId="0" applyNumberFormat="1" applyFont="1" applyBorder="1"/>
    <xf numFmtId="42" fontId="4" fillId="7" borderId="20" xfId="0" applyNumberFormat="1" applyFont="1" applyFill="1" applyBorder="1"/>
    <xf numFmtId="42" fontId="4" fillId="0" borderId="21" xfId="0" applyNumberFormat="1" applyFont="1" applyBorder="1"/>
    <xf numFmtId="41" fontId="4" fillId="0" borderId="18" xfId="0" applyNumberFormat="1" applyFont="1" applyFill="1" applyBorder="1" applyAlignment="1" applyProtection="1">
      <protection locked="0"/>
    </xf>
    <xf numFmtId="41" fontId="4" fillId="7" borderId="20" xfId="0" applyNumberFormat="1" applyFont="1" applyFill="1" applyBorder="1" applyAlignment="1" applyProtection="1">
      <protection locked="0"/>
    </xf>
    <xf numFmtId="41" fontId="4" fillId="7" borderId="25" xfId="0" applyNumberFormat="1" applyFont="1" applyFill="1" applyBorder="1" applyAlignment="1" applyProtection="1">
      <protection locked="0"/>
    </xf>
    <xf numFmtId="0" fontId="4" fillId="0" borderId="15" xfId="0" applyFont="1" applyFill="1" applyBorder="1"/>
    <xf numFmtId="0" fontId="4" fillId="7" borderId="7" xfId="0" applyFont="1" applyFill="1" applyBorder="1"/>
    <xf numFmtId="0" fontId="4" fillId="7" borderId="16" xfId="0" applyFont="1" applyFill="1" applyBorder="1"/>
    <xf numFmtId="42" fontId="4" fillId="0" borderId="31" xfId="0" applyNumberFormat="1" applyFont="1" applyFill="1" applyBorder="1" applyAlignment="1" applyProtection="1">
      <protection locked="0"/>
    </xf>
    <xf numFmtId="42" fontId="4" fillId="7" borderId="32" xfId="0" applyNumberFormat="1" applyFont="1" applyFill="1" applyBorder="1" applyAlignment="1" applyProtection="1">
      <protection locked="0"/>
    </xf>
    <xf numFmtId="42" fontId="4" fillId="7" borderId="33" xfId="0" applyNumberFormat="1" applyFont="1" applyFill="1" applyBorder="1" applyAlignment="1" applyProtection="1">
      <protection locked="0"/>
    </xf>
    <xf numFmtId="10" fontId="4" fillId="7" borderId="18" xfId="0" applyNumberFormat="1" applyFont="1" applyFill="1" applyBorder="1"/>
    <xf numFmtId="10" fontId="4" fillId="7" borderId="19" xfId="0" applyNumberFormat="1" applyFont="1" applyFill="1" applyBorder="1"/>
    <xf numFmtId="10" fontId="4" fillId="7" borderId="9" xfId="0" applyNumberFormat="1" applyFont="1" applyFill="1" applyBorder="1"/>
    <xf numFmtId="10" fontId="4" fillId="7" borderId="20" xfId="0" applyNumberFormat="1" applyFont="1" applyFill="1" applyBorder="1"/>
    <xf numFmtId="166" fontId="4" fillId="7" borderId="18" xfId="0" applyNumberFormat="1" applyFont="1" applyFill="1" applyBorder="1"/>
    <xf numFmtId="166" fontId="10" fillId="0" borderId="19" xfId="0" applyNumberFormat="1" applyFont="1" applyFill="1" applyBorder="1"/>
    <xf numFmtId="166" fontId="10" fillId="7" borderId="9" xfId="0" applyNumberFormat="1" applyFont="1" applyFill="1" applyBorder="1"/>
    <xf numFmtId="166" fontId="10" fillId="0" borderId="18" xfId="0" applyNumberFormat="1" applyFont="1" applyFill="1" applyBorder="1"/>
    <xf numFmtId="170" fontId="10" fillId="7" borderId="18" xfId="0" applyNumberFormat="1" applyFont="1" applyFill="1" applyBorder="1"/>
    <xf numFmtId="170" fontId="10" fillId="0" borderId="19" xfId="0" applyNumberFormat="1" applyFont="1" applyBorder="1"/>
    <xf numFmtId="170" fontId="10" fillId="7" borderId="19" xfId="0" applyNumberFormat="1" applyFont="1" applyFill="1" applyBorder="1"/>
    <xf numFmtId="170" fontId="10" fillId="7" borderId="9" xfId="0" applyNumberFormat="1" applyFont="1" applyFill="1" applyBorder="1"/>
    <xf numFmtId="170" fontId="10" fillId="0" borderId="18" xfId="0" applyNumberFormat="1" applyFont="1" applyBorder="1"/>
    <xf numFmtId="170" fontId="10" fillId="7" borderId="20" xfId="0" applyNumberFormat="1" applyFont="1" applyFill="1" applyBorder="1"/>
    <xf numFmtId="0" fontId="4" fillId="0" borderId="9" xfId="0" applyFont="1" applyBorder="1" applyAlignment="1">
      <alignment horizontal="left" indent="1"/>
    </xf>
    <xf numFmtId="42" fontId="10" fillId="7" borderId="30" xfId="0" applyNumberFormat="1" applyFont="1" applyFill="1" applyBorder="1" applyAlignment="1" applyProtection="1">
      <protection locked="0"/>
    </xf>
    <xf numFmtId="42" fontId="10" fillId="7" borderId="9" xfId="0" applyNumberFormat="1" applyFont="1" applyFill="1" applyBorder="1" applyAlignment="1" applyProtection="1">
      <protection locked="0"/>
    </xf>
    <xf numFmtId="42" fontId="10" fillId="7" borderId="20" xfId="0" applyNumberFormat="1" applyFont="1" applyFill="1" applyBorder="1" applyAlignment="1" applyProtection="1">
      <protection locked="0"/>
    </xf>
    <xf numFmtId="42" fontId="10" fillId="0" borderId="34" xfId="0" applyNumberFormat="1" applyFont="1" applyFill="1" applyBorder="1" applyAlignment="1" applyProtection="1">
      <protection locked="0"/>
    </xf>
    <xf numFmtId="42" fontId="10" fillId="7" borderId="19" xfId="0" applyNumberFormat="1" applyFont="1" applyFill="1" applyBorder="1" applyAlignment="1" applyProtection="1">
      <protection locked="0"/>
    </xf>
    <xf numFmtId="42" fontId="4" fillId="7" borderId="20" xfId="0" applyNumberFormat="1" applyFont="1" applyFill="1" applyBorder="1" applyAlignment="1" applyProtection="1">
      <protection locked="0"/>
    </xf>
    <xf numFmtId="42" fontId="4" fillId="7" borderId="19" xfId="0" applyNumberFormat="1" applyFont="1" applyFill="1" applyBorder="1" applyAlignment="1" applyProtection="1">
      <protection locked="0"/>
    </xf>
    <xf numFmtId="0" fontId="4" fillId="0" borderId="21" xfId="0" quotePrefix="1" applyFont="1" applyBorder="1" applyAlignment="1">
      <alignment horizontal="center"/>
    </xf>
    <xf numFmtId="0" fontId="4" fillId="0" borderId="0" xfId="0" quotePrefix="1" applyFont="1" applyBorder="1" applyAlignment="1">
      <alignment horizontal="center"/>
    </xf>
    <xf numFmtId="0" fontId="4" fillId="0" borderId="0" xfId="0" applyFont="1" applyBorder="1"/>
    <xf numFmtId="42" fontId="4" fillId="7" borderId="9" xfId="0" applyNumberFormat="1" applyFont="1" applyFill="1" applyBorder="1" applyAlignment="1" applyProtection="1">
      <protection locked="0"/>
    </xf>
    <xf numFmtId="0" fontId="4" fillId="0" borderId="0" xfId="0" quotePrefix="1" applyFont="1" applyBorder="1" applyAlignment="1">
      <alignment horizontal="right"/>
    </xf>
    <xf numFmtId="42" fontId="9" fillId="7" borderId="20" xfId="0" applyNumberFormat="1" applyFont="1" applyFill="1" applyBorder="1" applyAlignment="1" applyProtection="1">
      <protection locked="0"/>
    </xf>
    <xf numFmtId="0" fontId="4" fillId="0" borderId="0" xfId="0" applyFont="1" applyBorder="1" applyAlignment="1">
      <alignment horizontal="right"/>
    </xf>
    <xf numFmtId="41" fontId="4" fillId="0" borderId="0" xfId="0" applyNumberFormat="1" applyFont="1" applyBorder="1" applyAlignment="1">
      <alignment horizontal="right"/>
    </xf>
    <xf numFmtId="41" fontId="9" fillId="7" borderId="20" xfId="0" applyNumberFormat="1" applyFont="1" applyFill="1" applyBorder="1" applyAlignment="1" applyProtection="1">
      <protection locked="0"/>
    </xf>
    <xf numFmtId="41" fontId="10" fillId="7" borderId="20" xfId="0" applyNumberFormat="1" applyFont="1" applyFill="1" applyBorder="1" applyAlignment="1" applyProtection="1">
      <protection locked="0"/>
    </xf>
    <xf numFmtId="166" fontId="4" fillId="0" borderId="0" xfId="0" applyNumberFormat="1" applyFont="1" applyBorder="1" applyAlignment="1">
      <alignment horizontal="right"/>
    </xf>
    <xf numFmtId="0" fontId="4" fillId="0" borderId="9" xfId="0" applyFont="1" applyBorder="1" applyAlignment="1"/>
    <xf numFmtId="41" fontId="10" fillId="7" borderId="16" xfId="0" applyNumberFormat="1" applyFont="1" applyFill="1" applyBorder="1" applyAlignment="1" applyProtection="1">
      <protection locked="0"/>
    </xf>
    <xf numFmtId="42" fontId="4" fillId="7" borderId="0" xfId="0" applyNumberFormat="1" applyFont="1" applyFill="1" applyBorder="1" applyAlignment="1" applyProtection="1">
      <protection locked="0"/>
    </xf>
    <xf numFmtId="42" fontId="9" fillId="7" borderId="16" xfId="0" applyNumberFormat="1" applyFont="1" applyFill="1" applyBorder="1" applyAlignment="1" applyProtection="1">
      <protection locked="0"/>
    </xf>
    <xf numFmtId="0" fontId="9" fillId="0" borderId="0" xfId="0" applyFont="1" applyBorder="1" applyAlignment="1">
      <alignment horizontal="right"/>
    </xf>
    <xf numFmtId="0" fontId="10" fillId="0" borderId="22" xfId="0" applyFont="1" applyFill="1" applyBorder="1" applyAlignment="1"/>
    <xf numFmtId="0" fontId="4" fillId="0" borderId="36" xfId="0" applyFont="1" applyBorder="1"/>
    <xf numFmtId="0" fontId="4" fillId="7" borderId="23" xfId="0" applyFont="1" applyFill="1" applyBorder="1"/>
    <xf numFmtId="0" fontId="4" fillId="0" borderId="24" xfId="0" applyFont="1" applyBorder="1"/>
    <xf numFmtId="0" fontId="4" fillId="7" borderId="24" xfId="0" applyFont="1" applyFill="1" applyBorder="1"/>
    <xf numFmtId="0" fontId="4" fillId="7" borderId="22" xfId="0" applyFont="1" applyFill="1" applyBorder="1"/>
    <xf numFmtId="0" fontId="4" fillId="0" borderId="23" xfId="0" applyFont="1" applyBorder="1"/>
    <xf numFmtId="0" fontId="4" fillId="7" borderId="25" xfId="0" applyFont="1" applyFill="1" applyBorder="1"/>
    <xf numFmtId="0" fontId="4" fillId="0" borderId="4" xfId="0" quotePrefix="1" applyFont="1" applyBorder="1" applyAlignment="1">
      <alignment horizontal="center"/>
    </xf>
    <xf numFmtId="42" fontId="4" fillId="7" borderId="25" xfId="0" applyNumberFormat="1" applyFont="1" applyFill="1" applyBorder="1"/>
    <xf numFmtId="0" fontId="4" fillId="0" borderId="0" xfId="0" applyFont="1" applyAlignment="1">
      <alignment horizontal="left" indent="1"/>
    </xf>
    <xf numFmtId="42" fontId="4" fillId="0" borderId="0" xfId="0" applyNumberFormat="1" applyFont="1"/>
    <xf numFmtId="0" fontId="5" fillId="0" borderId="0" xfId="0" applyFont="1" applyFill="1" applyAlignment="1">
      <alignment horizontal="left"/>
    </xf>
    <xf numFmtId="0" fontId="14" fillId="0" borderId="0" xfId="0" applyFont="1" applyFill="1" applyAlignment="1">
      <alignment horizontal="right"/>
    </xf>
    <xf numFmtId="3" fontId="2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vertical="center"/>
    </xf>
    <xf numFmtId="0" fontId="14" fillId="0" borderId="0" xfId="0" applyFont="1" applyFill="1"/>
    <xf numFmtId="0" fontId="5" fillId="0" borderId="0" xfId="0" applyFont="1" applyFill="1"/>
    <xf numFmtId="0" fontId="14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5" fontId="27" fillId="0" borderId="0" xfId="0" applyNumberFormat="1" applyFont="1" applyFill="1"/>
    <xf numFmtId="0" fontId="5" fillId="0" borderId="0" xfId="0" applyNumberFormat="1" applyFont="1" applyFill="1" applyAlignment="1">
      <alignment horizontal="center" vertical="center" wrapText="1"/>
    </xf>
    <xf numFmtId="5" fontId="14" fillId="0" borderId="0" xfId="0" applyNumberFormat="1" applyFont="1" applyFill="1"/>
    <xf numFmtId="0" fontId="2" fillId="2" borderId="0" xfId="4" applyNumberFormat="1" applyAlignment="1">
      <alignment horizontal="center" vertical="center"/>
    </xf>
    <xf numFmtId="3" fontId="14" fillId="0" borderId="0" xfId="0" applyNumberFormat="1" applyFont="1" applyFill="1"/>
    <xf numFmtId="17" fontId="14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0" fontId="5" fillId="5" borderId="37" xfId="0" applyNumberFormat="1" applyFont="1" applyFill="1" applyBorder="1" applyAlignment="1">
      <alignment horizontal="center"/>
    </xf>
    <xf numFmtId="172" fontId="5" fillId="0" borderId="0" xfId="0" applyNumberFormat="1" applyFont="1" applyFill="1" applyAlignment="1" applyProtection="1">
      <alignment horizontal="center"/>
      <protection locked="0"/>
    </xf>
    <xf numFmtId="0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5" borderId="12" xfId="0" applyNumberFormat="1" applyFont="1" applyFill="1" applyBorder="1" applyAlignment="1">
      <alignment horizontal="center" vertical="center" wrapText="1"/>
    </xf>
    <xf numFmtId="43" fontId="5" fillId="0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Fill="1" applyAlignment="1" applyProtection="1">
      <alignment horizontal="center" vertical="center" wrapText="1"/>
      <protection locked="0"/>
    </xf>
    <xf numFmtId="0" fontId="5" fillId="0" borderId="0" xfId="0" quotePrefix="1" applyNumberFormat="1" applyFont="1" applyFill="1" applyAlignment="1">
      <alignment horizontal="center" vertical="center" wrapText="1"/>
    </xf>
    <xf numFmtId="0" fontId="30" fillId="0" borderId="0" xfId="0" applyNumberFormat="1" applyFont="1" applyFill="1" applyAlignment="1">
      <alignment horizontal="center" vertical="center" wrapText="1"/>
    </xf>
    <xf numFmtId="43" fontId="30" fillId="0" borderId="0" xfId="0" applyNumberFormat="1" applyFont="1" applyFill="1" applyAlignment="1">
      <alignment horizontal="center" vertical="center" wrapText="1"/>
    </xf>
    <xf numFmtId="0" fontId="31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4" fillId="5" borderId="12" xfId="0" applyFont="1" applyFill="1" applyBorder="1" applyAlignment="1">
      <alignment horizontal="center"/>
    </xf>
    <xf numFmtId="0" fontId="14" fillId="10" borderId="0" xfId="0" applyFont="1" applyFill="1"/>
    <xf numFmtId="0" fontId="32" fillId="10" borderId="0" xfId="0" applyFont="1" applyFill="1"/>
    <xf numFmtId="0" fontId="33" fillId="10" borderId="0" xfId="0" applyNumberFormat="1" applyFont="1" applyFill="1" applyAlignment="1">
      <alignment horizontal="center"/>
    </xf>
    <xf numFmtId="17" fontId="33" fillId="10" borderId="0" xfId="0" applyNumberFormat="1" applyFont="1" applyFill="1" applyAlignment="1">
      <alignment horizontal="center"/>
    </xf>
    <xf numFmtId="17" fontId="14" fillId="10" borderId="0" xfId="0" applyNumberFormat="1" applyFont="1" applyFill="1" applyAlignment="1">
      <alignment horizontal="center"/>
    </xf>
    <xf numFmtId="3" fontId="32" fillId="10" borderId="0" xfId="0" applyNumberFormat="1" applyFont="1" applyFill="1"/>
    <xf numFmtId="173" fontId="5" fillId="10" borderId="0" xfId="0" applyNumberFormat="1" applyFont="1" applyFill="1" applyAlignment="1" applyProtection="1">
      <alignment horizontal="center"/>
      <protection locked="0"/>
    </xf>
    <xf numFmtId="0" fontId="14" fillId="0" borderId="0" xfId="0" applyNumberFormat="1" applyFont="1" applyFill="1" applyAlignment="1">
      <alignment horizontal="left"/>
    </xf>
    <xf numFmtId="0" fontId="27" fillId="0" borderId="0" xfId="0" applyNumberFormat="1" applyFont="1" applyFill="1" applyAlignment="1">
      <alignment horizontal="left"/>
    </xf>
    <xf numFmtId="0" fontId="14" fillId="5" borderId="12" xfId="0" applyFont="1" applyFill="1" applyBorder="1"/>
    <xf numFmtId="42" fontId="14" fillId="5" borderId="12" xfId="0" applyNumberFormat="1" applyFont="1" applyFill="1" applyBorder="1" applyAlignment="1" applyProtection="1">
      <protection locked="0"/>
    </xf>
    <xf numFmtId="42" fontId="14" fillId="0" borderId="0" xfId="0" applyNumberFormat="1" applyFont="1" applyFill="1" applyAlignment="1" applyProtection="1">
      <protection locked="0"/>
    </xf>
    <xf numFmtId="42" fontId="34" fillId="0" borderId="0" xfId="0" applyNumberFormat="1" applyFont="1" applyFill="1" applyAlignment="1" applyProtection="1">
      <protection locked="0"/>
    </xf>
    <xf numFmtId="42" fontId="34" fillId="5" borderId="12" xfId="0" applyNumberFormat="1" applyFont="1" applyFill="1" applyBorder="1" applyAlignment="1" applyProtection="1">
      <protection locked="0"/>
    </xf>
    <xf numFmtId="42" fontId="14" fillId="0" borderId="0" xfId="0" applyNumberFormat="1" applyFont="1" applyFill="1"/>
    <xf numFmtId="41" fontId="14" fillId="5" borderId="12" xfId="0" applyNumberFormat="1" applyFont="1" applyFill="1" applyBorder="1" applyAlignment="1" applyProtection="1">
      <protection locked="0"/>
    </xf>
    <xf numFmtId="41" fontId="14" fillId="0" borderId="0" xfId="0" applyNumberFormat="1" applyFont="1" applyFill="1" applyAlignment="1" applyProtection="1">
      <protection locked="0"/>
    </xf>
    <xf numFmtId="166" fontId="14" fillId="5" borderId="37" xfId="0" applyNumberFormat="1" applyFont="1" applyFill="1" applyBorder="1"/>
    <xf numFmtId="166" fontId="14" fillId="0" borderId="6" xfId="0" applyNumberFormat="1" applyFont="1" applyFill="1" applyBorder="1"/>
    <xf numFmtId="166" fontId="34" fillId="0" borderId="6" xfId="0" applyNumberFormat="1" applyFont="1" applyFill="1" applyBorder="1"/>
    <xf numFmtId="166" fontId="34" fillId="5" borderId="37" xfId="0" applyNumberFormat="1" applyFont="1" applyFill="1" applyBorder="1"/>
    <xf numFmtId="174" fontId="14" fillId="0" borderId="0" xfId="0" applyNumberFormat="1" applyFont="1" applyFill="1" applyAlignment="1"/>
    <xf numFmtId="174" fontId="14" fillId="0" borderId="0" xfId="0" applyNumberFormat="1" applyFont="1" applyFill="1" applyBorder="1"/>
    <xf numFmtId="0" fontId="14" fillId="0" borderId="0" xfId="0" applyNumberFormat="1" applyFont="1" applyFill="1" applyAlignment="1"/>
    <xf numFmtId="42" fontId="14" fillId="5" borderId="12" xfId="0" applyNumberFormat="1" applyFont="1" applyFill="1" applyBorder="1"/>
    <xf numFmtId="168" fontId="14" fillId="5" borderId="37" xfId="0" applyNumberFormat="1" applyFont="1" applyFill="1" applyBorder="1"/>
    <xf numFmtId="168" fontId="14" fillId="0" borderId="6" xfId="0" applyNumberFormat="1" applyFont="1" applyFill="1" applyBorder="1"/>
    <xf numFmtId="0" fontId="14" fillId="0" borderId="0" xfId="0" quotePrefix="1" applyNumberFormat="1" applyFont="1" applyFill="1" applyAlignment="1">
      <alignment horizontal="left"/>
    </xf>
    <xf numFmtId="41" fontId="34" fillId="0" borderId="0" xfId="0" applyNumberFormat="1" applyFont="1" applyFill="1" applyAlignment="1" applyProtection="1">
      <protection locked="0"/>
    </xf>
    <xf numFmtId="41" fontId="34" fillId="5" borderId="12" xfId="0" applyNumberFormat="1" applyFont="1" applyFill="1" applyBorder="1" applyAlignment="1" applyProtection="1">
      <protection locked="0"/>
    </xf>
    <xf numFmtId="168" fontId="34" fillId="0" borderId="6" xfId="0" applyNumberFormat="1" applyFont="1" applyFill="1" applyBorder="1"/>
    <xf numFmtId="168" fontId="34" fillId="5" borderId="37" xfId="0" applyNumberFormat="1" applyFont="1" applyFill="1" applyBorder="1"/>
    <xf numFmtId="0" fontId="14" fillId="5" borderId="37" xfId="0" applyFont="1" applyFill="1" applyBorder="1"/>
    <xf numFmtId="0" fontId="14" fillId="0" borderId="6" xfId="0" applyFont="1" applyFill="1" applyBorder="1"/>
    <xf numFmtId="42" fontId="14" fillId="5" borderId="38" xfId="0" applyNumberFormat="1" applyFont="1" applyFill="1" applyBorder="1" applyAlignment="1" applyProtection="1">
      <protection locked="0"/>
    </xf>
    <xf numFmtId="42" fontId="34" fillId="0" borderId="13" xfId="0" applyNumberFormat="1" applyFont="1" applyFill="1" applyBorder="1" applyAlignment="1" applyProtection="1">
      <protection locked="0"/>
    </xf>
    <xf numFmtId="42" fontId="14" fillId="0" borderId="13" xfId="0" applyNumberFormat="1" applyFont="1" applyFill="1" applyBorder="1" applyAlignment="1" applyProtection="1">
      <protection locked="0"/>
    </xf>
    <xf numFmtId="42" fontId="34" fillId="5" borderId="38" xfId="0" applyNumberFormat="1" applyFont="1" applyFill="1" applyBorder="1" applyAlignment="1" applyProtection="1">
      <protection locked="0"/>
    </xf>
    <xf numFmtId="42" fontId="0" fillId="5" borderId="39" xfId="0" applyNumberFormat="1" applyFont="1" applyFill="1" applyBorder="1"/>
    <xf numFmtId="42" fontId="0" fillId="0" borderId="0" xfId="0" applyNumberFormat="1" applyFont="1" applyFill="1"/>
    <xf numFmtId="166" fontId="14" fillId="0" borderId="0" xfId="0" applyNumberFormat="1" applyFont="1" applyFill="1"/>
    <xf numFmtId="10" fontId="14" fillId="5" borderId="12" xfId="0" applyNumberFormat="1" applyFont="1" applyFill="1" applyBorder="1" applyAlignment="1" applyProtection="1">
      <protection locked="0"/>
    </xf>
    <xf numFmtId="175" fontId="14" fillId="0" borderId="0" xfId="0" applyNumberFormat="1" applyFont="1" applyFill="1" applyAlignment="1" applyProtection="1">
      <alignment horizontal="left"/>
    </xf>
    <xf numFmtId="41" fontId="14" fillId="0" borderId="0" xfId="0" applyNumberFormat="1" applyFont="1" applyFill="1"/>
    <xf numFmtId="174" fontId="14" fillId="5" borderId="12" xfId="0" applyNumberFormat="1" applyFont="1" applyFill="1" applyBorder="1" applyAlignment="1" applyProtection="1">
      <protection locked="0"/>
    </xf>
    <xf numFmtId="176" fontId="14" fillId="5" borderId="12" xfId="0" applyNumberFormat="1" applyFont="1" applyFill="1" applyBorder="1" applyAlignment="1" applyProtection="1">
      <protection locked="0"/>
    </xf>
    <xf numFmtId="42" fontId="14" fillId="5" borderId="40" xfId="0" applyNumberFormat="1" applyFont="1" applyFill="1" applyBorder="1"/>
    <xf numFmtId="42" fontId="14" fillId="0" borderId="11" xfId="0" applyNumberFormat="1" applyFont="1" applyFill="1" applyBorder="1"/>
    <xf numFmtId="0" fontId="34" fillId="5" borderId="12" xfId="0" applyFont="1" applyFill="1" applyBorder="1"/>
    <xf numFmtId="0" fontId="34" fillId="0" borderId="0" xfId="0" applyFont="1" applyFill="1"/>
    <xf numFmtId="166" fontId="34" fillId="0" borderId="0" xfId="0" applyNumberFormat="1" applyFont="1" applyFill="1"/>
    <xf numFmtId="41" fontId="14" fillId="5" borderId="36" xfId="0" applyNumberFormat="1" applyFont="1" applyFill="1" applyBorder="1" applyAlignment="1" applyProtection="1">
      <protection locked="0"/>
    </xf>
    <xf numFmtId="0" fontId="14" fillId="0" borderId="0" xfId="0" applyNumberFormat="1" applyFont="1" applyFill="1" applyAlignment="1">
      <alignment horizontal="center"/>
    </xf>
    <xf numFmtId="0" fontId="32" fillId="0" borderId="0" xfId="0" applyFont="1"/>
    <xf numFmtId="3" fontId="32" fillId="11" borderId="0" xfId="0" applyNumberFormat="1" applyFont="1" applyFill="1"/>
    <xf numFmtId="3" fontId="36" fillId="12" borderId="3" xfId="0" applyNumberFormat="1" applyFont="1" applyFill="1" applyBorder="1" applyAlignment="1">
      <alignment horizontal="right"/>
    </xf>
    <xf numFmtId="0" fontId="32" fillId="11" borderId="3" xfId="0" applyFont="1" applyFill="1" applyBorder="1"/>
    <xf numFmtId="0" fontId="32" fillId="0" borderId="0" xfId="0" applyFont="1" applyFill="1"/>
    <xf numFmtId="0" fontId="33" fillId="10" borderId="0" xfId="0" applyFont="1" applyFill="1"/>
    <xf numFmtId="0" fontId="27" fillId="10" borderId="0" xfId="0" applyNumberFormat="1" applyFont="1" applyFill="1" applyAlignment="1">
      <alignment horizontal="left"/>
    </xf>
    <xf numFmtId="17" fontId="35" fillId="0" borderId="0" xfId="0" applyNumberFormat="1" applyFont="1" applyFill="1" applyAlignment="1">
      <alignment horizontal="left"/>
    </xf>
    <xf numFmtId="10" fontId="34" fillId="5" borderId="12" xfId="0" applyNumberFormat="1" applyFont="1" applyFill="1" applyBorder="1" applyAlignment="1" applyProtection="1">
      <protection locked="0"/>
    </xf>
    <xf numFmtId="0" fontId="27" fillId="0" borderId="0" xfId="0" applyFont="1" applyFill="1" applyAlignment="1">
      <alignment horizontal="left"/>
    </xf>
    <xf numFmtId="0" fontId="37" fillId="10" borderId="0" xfId="0" applyNumberFormat="1" applyFont="1" applyFill="1" applyAlignment="1">
      <alignment horizontal="center"/>
    </xf>
    <xf numFmtId="0" fontId="35" fillId="0" borderId="0" xfId="0" applyNumberFormat="1" applyFont="1" applyFill="1" applyAlignment="1">
      <alignment horizontal="left"/>
    </xf>
    <xf numFmtId="42" fontId="39" fillId="0" borderId="0" xfId="0" applyNumberFormat="1" applyFont="1" applyFill="1" applyAlignment="1" applyProtection="1">
      <protection locked="0"/>
    </xf>
    <xf numFmtId="41" fontId="39" fillId="0" borderId="0" xfId="0" applyNumberFormat="1" applyFont="1" applyFill="1" applyAlignment="1" applyProtection="1">
      <protection locked="0"/>
    </xf>
    <xf numFmtId="168" fontId="39" fillId="0" borderId="6" xfId="0" applyNumberFormat="1" applyFont="1" applyFill="1" applyBorder="1"/>
    <xf numFmtId="166" fontId="39" fillId="0" borderId="6" xfId="0" applyNumberFormat="1" applyFont="1" applyFill="1" applyBorder="1"/>
    <xf numFmtId="0" fontId="39" fillId="0" borderId="0" xfId="0" applyFont="1" applyFill="1"/>
    <xf numFmtId="42" fontId="39" fillId="0" borderId="0" xfId="0" applyNumberFormat="1" applyFont="1" applyFill="1"/>
    <xf numFmtId="42" fontId="34" fillId="5" borderId="12" xfId="0" applyNumberFormat="1" applyFont="1" applyFill="1" applyBorder="1"/>
    <xf numFmtId="166" fontId="39" fillId="0" borderId="0" xfId="0" applyNumberFormat="1" applyFont="1" applyFill="1"/>
    <xf numFmtId="166" fontId="39" fillId="0" borderId="0" xfId="1" applyNumberFormat="1" applyFont="1" applyFill="1"/>
    <xf numFmtId="41" fontId="39" fillId="0" borderId="0" xfId="0" applyNumberFormat="1" applyFont="1" applyFill="1"/>
    <xf numFmtId="0" fontId="39" fillId="0" borderId="6" xfId="0" applyFont="1" applyFill="1" applyBorder="1"/>
    <xf numFmtId="0" fontId="34" fillId="0" borderId="6" xfId="0" applyFont="1" applyFill="1" applyBorder="1"/>
    <xf numFmtId="42" fontId="39" fillId="0" borderId="13" xfId="0" applyNumberFormat="1" applyFont="1" applyFill="1" applyBorder="1" applyAlignment="1" applyProtection="1">
      <protection locked="0"/>
    </xf>
    <xf numFmtId="42" fontId="18" fillId="0" borderId="0" xfId="0" applyNumberFormat="1" applyFont="1" applyFill="1"/>
    <xf numFmtId="42" fontId="39" fillId="0" borderId="11" xfId="0" applyNumberFormat="1" applyFont="1" applyFill="1" applyBorder="1"/>
    <xf numFmtId="10" fontId="39" fillId="0" borderId="0" xfId="0" applyNumberFormat="1" applyFont="1" applyFill="1"/>
    <xf numFmtId="42" fontId="34" fillId="0" borderId="0" xfId="0" applyNumberFormat="1" applyFont="1" applyFill="1"/>
    <xf numFmtId="0" fontId="0" fillId="0" borderId="0" xfId="0" applyFont="1"/>
    <xf numFmtId="41" fontId="14" fillId="13" borderId="41" xfId="0" applyNumberFormat="1" applyFont="1" applyFill="1" applyBorder="1" applyAlignment="1" applyProtection="1">
      <protection locked="0"/>
    </xf>
    <xf numFmtId="3" fontId="32" fillId="9" borderId="0" xfId="0" applyNumberFormat="1" applyFont="1" applyFill="1"/>
    <xf numFmtId="3" fontId="25" fillId="14" borderId="3" xfId="0" applyNumberFormat="1" applyFont="1" applyFill="1" applyBorder="1" applyAlignment="1">
      <alignment horizontal="right"/>
    </xf>
    <xf numFmtId="0" fontId="32" fillId="11" borderId="0" xfId="0" applyFont="1" applyFill="1"/>
    <xf numFmtId="3" fontId="25" fillId="12" borderId="3" xfId="0" applyNumberFormat="1" applyFont="1" applyFill="1" applyBorder="1" applyAlignment="1">
      <alignment horizontal="right"/>
    </xf>
    <xf numFmtId="0" fontId="33" fillId="0" borderId="0" xfId="0" applyFont="1"/>
    <xf numFmtId="3" fontId="32" fillId="0" borderId="0" xfId="0" applyNumberFormat="1" applyFont="1"/>
    <xf numFmtId="0" fontId="30" fillId="15" borderId="0" xfId="0" applyNumberFormat="1" applyFont="1" applyFill="1" applyBorder="1" applyAlignment="1">
      <alignment horizontal="left"/>
    </xf>
    <xf numFmtId="0" fontId="14" fillId="15" borderId="0" xfId="0" applyFont="1" applyFill="1"/>
    <xf numFmtId="0" fontId="39" fillId="0" borderId="5" xfId="0" applyFont="1" applyFill="1" applyBorder="1" applyAlignment="1">
      <alignment horizontal="left"/>
    </xf>
    <xf numFmtId="5" fontId="14" fillId="0" borderId="5" xfId="0" applyNumberFormat="1" applyFont="1" applyFill="1" applyBorder="1"/>
    <xf numFmtId="5" fontId="14" fillId="0" borderId="6" xfId="0" applyNumberFormat="1" applyFont="1" applyFill="1" applyBorder="1"/>
    <xf numFmtId="0" fontId="39" fillId="0" borderId="8" xfId="0" applyFont="1" applyFill="1" applyBorder="1" applyAlignment="1"/>
    <xf numFmtId="5" fontId="14" fillId="0" borderId="8" xfId="0" applyNumberFormat="1" applyFont="1" applyFill="1" applyBorder="1"/>
    <xf numFmtId="0" fontId="39" fillId="0" borderId="10" xfId="0" applyFont="1" applyFill="1" applyBorder="1" applyAlignment="1"/>
    <xf numFmtId="5" fontId="14" fillId="0" borderId="10" xfId="0" applyNumberFormat="1" applyFont="1" applyFill="1" applyBorder="1"/>
    <xf numFmtId="0" fontId="14" fillId="0" borderId="7" xfId="0" applyFont="1" applyFill="1" applyBorder="1"/>
    <xf numFmtId="0" fontId="14" fillId="0" borderId="9" xfId="0" applyFont="1" applyFill="1" applyBorder="1"/>
    <xf numFmtId="0" fontId="14" fillId="0" borderId="22" xfId="0" applyFont="1" applyFill="1" applyBorder="1"/>
    <xf numFmtId="5" fontId="34" fillId="0" borderId="6" xfId="0" applyNumberFormat="1" applyFont="1" applyFill="1" applyBorder="1"/>
    <xf numFmtId="5" fontId="34" fillId="0" borderId="0" xfId="0" applyNumberFormat="1" applyFont="1" applyFill="1"/>
    <xf numFmtId="5" fontId="14" fillId="0" borderId="7" xfId="0" applyNumberFormat="1" applyFont="1" applyFill="1" applyBorder="1"/>
    <xf numFmtId="5" fontId="14" fillId="0" borderId="0" xfId="0" applyNumberFormat="1" applyFont="1" applyFill="1" applyBorder="1"/>
    <xf numFmtId="5" fontId="14" fillId="0" borderId="9" xfId="0" applyNumberFormat="1" applyFont="1" applyFill="1" applyBorder="1"/>
    <xf numFmtId="0" fontId="39" fillId="16" borderId="5" xfId="0" applyFont="1" applyFill="1" applyBorder="1" applyAlignment="1">
      <alignment horizontal="left"/>
    </xf>
    <xf numFmtId="0" fontId="14" fillId="16" borderId="6" xfId="0" applyFont="1" applyFill="1" applyBorder="1"/>
    <xf numFmtId="5" fontId="14" fillId="16" borderId="5" xfId="0" applyNumberFormat="1" applyFont="1" applyFill="1" applyBorder="1"/>
    <xf numFmtId="5" fontId="14" fillId="16" borderId="6" xfId="0" applyNumberFormat="1" applyFont="1" applyFill="1" applyBorder="1"/>
    <xf numFmtId="0" fontId="39" fillId="16" borderId="8" xfId="0" applyFont="1" applyFill="1" applyBorder="1" applyAlignment="1"/>
    <xf numFmtId="5" fontId="14" fillId="16" borderId="0" xfId="0" applyNumberFormat="1" applyFont="1" applyFill="1"/>
    <xf numFmtId="5" fontId="14" fillId="16" borderId="8" xfId="0" applyNumberFormat="1" applyFont="1" applyFill="1" applyBorder="1"/>
    <xf numFmtId="0" fontId="39" fillId="16" borderId="10" xfId="0" applyFont="1" applyFill="1" applyBorder="1" applyAlignment="1"/>
    <xf numFmtId="5" fontId="14" fillId="16" borderId="10" xfId="0" applyNumberFormat="1" applyFont="1" applyFill="1" applyBorder="1"/>
    <xf numFmtId="0" fontId="14" fillId="16" borderId="7" xfId="0" applyFont="1" applyFill="1" applyBorder="1"/>
    <xf numFmtId="0" fontId="14" fillId="16" borderId="9" xfId="0" applyFont="1" applyFill="1" applyBorder="1"/>
    <xf numFmtId="0" fontId="14" fillId="16" borderId="22" xfId="0" applyFont="1" applyFill="1" applyBorder="1"/>
    <xf numFmtId="0" fontId="33" fillId="0" borderId="0" xfId="0" applyFont="1" applyFill="1"/>
    <xf numFmtId="5" fontId="14" fillId="0" borderId="0" xfId="0" applyNumberFormat="1" applyFont="1" applyFill="1" applyAlignment="1">
      <alignment horizontal="center"/>
    </xf>
    <xf numFmtId="0" fontId="14" fillId="0" borderId="9" xfId="0" quotePrefix="1" applyFont="1" applyFill="1" applyBorder="1"/>
    <xf numFmtId="43" fontId="14" fillId="0" borderId="6" xfId="1" applyFont="1" applyFill="1" applyBorder="1"/>
    <xf numFmtId="43" fontId="14" fillId="0" borderId="0" xfId="1" applyFont="1" applyFill="1"/>
    <xf numFmtId="3" fontId="40" fillId="0" borderId="0" xfId="0" applyNumberFormat="1" applyFont="1" applyFill="1"/>
    <xf numFmtId="0" fontId="6" fillId="0" borderId="0" xfId="0" applyNumberFormat="1" applyFont="1" applyFill="1" applyBorder="1" applyAlignment="1">
      <alignment horizontal="right"/>
    </xf>
    <xf numFmtId="0" fontId="4" fillId="0" borderId="42" xfId="0" applyFont="1" applyFill="1" applyBorder="1" applyAlignment="1">
      <alignment horizontal="right"/>
    </xf>
    <xf numFmtId="0" fontId="6" fillId="0" borderId="43" xfId="0" applyNumberFormat="1" applyFont="1" applyFill="1" applyBorder="1" applyAlignment="1">
      <alignment horizontal="right"/>
    </xf>
    <xf numFmtId="177" fontId="6" fillId="0" borderId="0" xfId="0" applyNumberFormat="1" applyFont="1" applyFill="1" applyBorder="1" applyAlignment="1">
      <alignment horizontal="right"/>
    </xf>
    <xf numFmtId="0" fontId="4" fillId="0" borderId="44" xfId="0" applyFont="1" applyFill="1" applyBorder="1" applyAlignment="1">
      <alignment horizontal="right"/>
    </xf>
    <xf numFmtId="177" fontId="6" fillId="0" borderId="45" xfId="0" applyNumberFormat="1" applyFont="1" applyFill="1" applyBorder="1" applyAlignment="1">
      <alignment horizontal="right"/>
    </xf>
    <xf numFmtId="0" fontId="6" fillId="0" borderId="46" xfId="0" applyFont="1" applyFill="1" applyBorder="1" applyAlignment="1">
      <alignment horizontal="right"/>
    </xf>
    <xf numFmtId="43" fontId="6" fillId="0" borderId="47" xfId="0" applyNumberFormat="1" applyFont="1" applyFill="1" applyBorder="1"/>
    <xf numFmtId="0" fontId="4" fillId="0" borderId="0" xfId="0" applyFont="1" applyAlignment="1">
      <alignment horizontal="centerContinuous"/>
    </xf>
    <xf numFmtId="0" fontId="4" fillId="0" borderId="0" xfId="0" applyFont="1" applyAlignment="1">
      <alignment horizontal="left"/>
    </xf>
    <xf numFmtId="0" fontId="6" fillId="0" borderId="0" xfId="0" applyFont="1" applyFill="1"/>
    <xf numFmtId="0" fontId="7" fillId="0" borderId="0" xfId="0" applyNumberFormat="1" applyFont="1" applyFill="1" applyAlignment="1" applyProtection="1">
      <alignment horizontal="centerContinuous"/>
      <protection locked="0"/>
    </xf>
    <xf numFmtId="0" fontId="7" fillId="0" borderId="0" xfId="0" applyNumberFormat="1" applyFont="1" applyFill="1" applyAlignment="1" applyProtection="1">
      <alignment horizontal="left"/>
      <protection locked="0"/>
    </xf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6" fillId="8" borderId="1" xfId="0" applyFont="1" applyFill="1" applyBorder="1" applyAlignment="1">
      <alignment horizontal="centerContinuous"/>
    </xf>
    <xf numFmtId="0" fontId="4" fillId="8" borderId="3" xfId="0" applyFont="1" applyFill="1" applyBorder="1" applyAlignment="1">
      <alignment horizontal="centerContinuous"/>
    </xf>
    <xf numFmtId="17" fontId="6" fillId="0" borderId="17" xfId="0" applyNumberFormat="1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0" xfId="0" quotePrefix="1" applyNumberFormat="1" applyFont="1" applyFill="1" applyBorder="1" applyAlignment="1">
      <alignment horizontal="centerContinuous"/>
    </xf>
    <xf numFmtId="0" fontId="6" fillId="0" borderId="0" xfId="0" applyNumberFormat="1" applyFont="1" applyFill="1" applyAlignment="1" applyProtection="1">
      <alignment horizontal="centerContinuous"/>
      <protection locked="0"/>
    </xf>
    <xf numFmtId="0" fontId="6" fillId="0" borderId="0" xfId="0" applyNumberFormat="1" applyFont="1" applyFill="1" applyAlignment="1"/>
    <xf numFmtId="0" fontId="6" fillId="0" borderId="0" xfId="0" applyFont="1" applyFill="1" applyBorder="1" applyAlignment="1" applyProtection="1">
      <protection locked="0"/>
    </xf>
    <xf numFmtId="0" fontId="6" fillId="0" borderId="0" xfId="0" applyFont="1" applyFill="1" applyBorder="1" applyAlignment="1"/>
    <xf numFmtId="0" fontId="6" fillId="0" borderId="0" xfId="0" applyFont="1" applyFill="1" applyAlignment="1" applyProtection="1">
      <alignment horizontal="left"/>
      <protection locked="0"/>
    </xf>
    <xf numFmtId="0" fontId="6" fillId="0" borderId="0" xfId="0" applyNumberFormat="1" applyFont="1" applyFill="1" applyAlignment="1" applyProtection="1">
      <alignment horizontal="center"/>
      <protection locked="0"/>
    </xf>
    <xf numFmtId="0" fontId="6" fillId="0" borderId="0" xfId="0" applyNumberFormat="1" applyFont="1" applyFill="1" applyAlignment="1" applyProtection="1"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6" fillId="0" borderId="0" xfId="0" applyFont="1" applyFill="1" applyAlignment="1"/>
    <xf numFmtId="0" fontId="6" fillId="0" borderId="0" xfId="0" applyNumberFormat="1" applyFont="1" applyFill="1" applyBorder="1" applyAlignment="1" applyProtection="1">
      <alignment horizontal="center"/>
      <protection locked="0"/>
    </xf>
    <xf numFmtId="0" fontId="6" fillId="0" borderId="0" xfId="0" applyNumberFormat="1" applyFont="1" applyFill="1" applyBorder="1" applyAlignment="1" applyProtection="1">
      <protection locked="0"/>
    </xf>
    <xf numFmtId="0" fontId="6" fillId="0" borderId="4" xfId="0" applyNumberFormat="1" applyFont="1" applyFill="1" applyBorder="1" applyAlignment="1" applyProtection="1">
      <alignment horizontal="center"/>
      <protection locked="0"/>
    </xf>
    <xf numFmtId="0" fontId="6" fillId="0" borderId="4" xfId="0" quotePrefix="1" applyNumberFormat="1" applyFont="1" applyFill="1" applyBorder="1" applyAlignment="1">
      <alignment horizontal="center"/>
    </xf>
    <xf numFmtId="0" fontId="6" fillId="0" borderId="4" xfId="0" applyFont="1" applyFill="1" applyBorder="1" applyAlignment="1" applyProtection="1">
      <alignment horizontal="left" wrapText="1"/>
      <protection locked="0"/>
    </xf>
    <xf numFmtId="0" fontId="6" fillId="0" borderId="4" xfId="0" applyNumberFormat="1" applyFont="1" applyFill="1" applyBorder="1" applyAlignment="1">
      <alignment horizontal="left"/>
    </xf>
    <xf numFmtId="0" fontId="6" fillId="0" borderId="4" xfId="0" quotePrefix="1" applyFont="1" applyFill="1" applyBorder="1" applyAlignment="1" applyProtection="1">
      <alignment horizontal="center"/>
      <protection locked="0"/>
    </xf>
    <xf numFmtId="0" fontId="6" fillId="0" borderId="4" xfId="0" applyFont="1" applyFill="1" applyBorder="1" applyAlignment="1" applyProtection="1">
      <protection locked="0"/>
    </xf>
    <xf numFmtId="0" fontId="6" fillId="0" borderId="4" xfId="0" applyNumberFormat="1" applyFont="1" applyFill="1" applyBorder="1" applyAlignment="1"/>
    <xf numFmtId="0" fontId="6" fillId="0" borderId="4" xfId="0" applyFont="1" applyFill="1" applyBorder="1" applyAlignment="1">
      <alignment horizontal="left"/>
    </xf>
    <xf numFmtId="0" fontId="6" fillId="0" borderId="4" xfId="0" applyNumberFormat="1" applyFont="1" applyFill="1" applyBorder="1" applyAlignment="1" applyProtection="1">
      <protection locked="0"/>
    </xf>
    <xf numFmtId="0" fontId="6" fillId="0" borderId="0" xfId="0" applyNumberFormat="1" applyFont="1" applyFill="1" applyBorder="1" applyAlignment="1">
      <alignment horizontal="left"/>
    </xf>
    <xf numFmtId="0" fontId="6" fillId="0" borderId="0" xfId="0" quotePrefix="1" applyFont="1" applyFill="1" applyBorder="1" applyAlignment="1" applyProtection="1">
      <alignment horizontal="center"/>
      <protection locked="0"/>
    </xf>
    <xf numFmtId="0" fontId="6" fillId="0" borderId="0" xfId="0" applyNumberFormat="1" applyFont="1" applyFill="1" applyAlignment="1">
      <alignment horizontal="left" indent="1"/>
    </xf>
    <xf numFmtId="0" fontId="4" fillId="0" borderId="0" xfId="0" applyNumberFormat="1" applyFont="1" applyFill="1" applyAlignment="1">
      <alignment horizontal="fill"/>
    </xf>
    <xf numFmtId="17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/>
    <xf numFmtId="0" fontId="4" fillId="0" borderId="0" xfId="0" applyFont="1" applyFill="1" applyAlignment="1"/>
    <xf numFmtId="0" fontId="41" fillId="0" borderId="0" xfId="0" applyNumberFormat="1" applyFont="1" applyFill="1" applyAlignment="1"/>
    <xf numFmtId="0" fontId="42" fillId="0" borderId="0" xfId="0" applyFont="1" applyFill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6" fillId="0" borderId="0" xfId="0" applyFont="1"/>
    <xf numFmtId="0" fontId="12" fillId="0" borderId="0" xfId="0" applyFont="1" applyFill="1" applyBorder="1"/>
    <xf numFmtId="0" fontId="9" fillId="0" borderId="0" xfId="0" applyNumberFormat="1" applyFont="1" applyFill="1" applyAlignment="1">
      <alignment horizontal="left" indent="2"/>
    </xf>
    <xf numFmtId="42" fontId="4" fillId="0" borderId="0" xfId="0" applyNumberFormat="1" applyFont="1" applyFill="1" applyAlignment="1">
      <alignment vertical="center"/>
    </xf>
    <xf numFmtId="42" fontId="4" fillId="0" borderId="0" xfId="0" applyNumberFormat="1" applyFont="1" applyFill="1" applyBorder="1" applyAlignment="1">
      <alignment horizontal="right"/>
    </xf>
    <xf numFmtId="42" fontId="4" fillId="0" borderId="0" xfId="0" applyNumberFormat="1" applyFont="1" applyFill="1" applyAlignment="1">
      <alignment vertical="center" wrapText="1"/>
    </xf>
    <xf numFmtId="42" fontId="4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 applyProtection="1">
      <alignment horizontal="center"/>
      <protection locked="0"/>
    </xf>
    <xf numFmtId="164" fontId="43" fillId="0" borderId="0" xfId="0" applyNumberFormat="1" applyFont="1" applyFill="1" applyAlignment="1">
      <alignment horizontal="left"/>
    </xf>
    <xf numFmtId="164" fontId="6" fillId="0" borderId="0" xfId="0" applyNumberFormat="1" applyFont="1" applyFill="1" applyAlignment="1">
      <alignment horizontal="centerContinuous"/>
    </xf>
    <xf numFmtId="37" fontId="4" fillId="0" borderId="0" xfId="0" applyNumberFormat="1" applyFont="1" applyFill="1" applyAlignment="1">
      <alignment horizontal="left"/>
    </xf>
    <xf numFmtId="41" fontId="4" fillId="0" borderId="0" xfId="0" applyNumberFormat="1" applyFont="1" applyFill="1" applyAlignment="1">
      <alignment horizontal="center"/>
    </xf>
    <xf numFmtId="41" fontId="10" fillId="0" borderId="0" xfId="0" applyNumberFormat="1" applyFont="1" applyFill="1" applyAlignment="1">
      <alignment horizontal="center"/>
    </xf>
    <xf numFmtId="0" fontId="4" fillId="0" borderId="0" xfId="0" applyNumberFormat="1" applyFont="1" applyAlignment="1"/>
    <xf numFmtId="168" fontId="4" fillId="5" borderId="0" xfId="0" applyNumberFormat="1" applyFont="1" applyFill="1" applyAlignment="1"/>
    <xf numFmtId="168" fontId="4" fillId="0" borderId="0" xfId="0" applyNumberFormat="1" applyFont="1" applyAlignment="1"/>
    <xf numFmtId="42" fontId="4" fillId="0" borderId="0" xfId="0" applyNumberFormat="1" applyFont="1" applyFill="1" applyAlignment="1">
      <alignment horizontal="right"/>
    </xf>
    <xf numFmtId="178" fontId="4" fillId="0" borderId="0" xfId="0" quotePrefix="1" applyNumberFormat="1" applyFont="1" applyFill="1" applyBorder="1" applyAlignment="1">
      <alignment horizontal="left"/>
    </xf>
    <xf numFmtId="0" fontId="6" fillId="0" borderId="0" xfId="0" applyNumberFormat="1" applyFont="1" applyFill="1" applyAlignment="1">
      <alignment horizontal="left"/>
    </xf>
    <xf numFmtId="0" fontId="4" fillId="0" borderId="0" xfId="0" applyNumberFormat="1" applyFont="1" applyFill="1" applyBorder="1" applyAlignment="1" applyProtection="1">
      <protection locked="0"/>
    </xf>
    <xf numFmtId="42" fontId="4" fillId="5" borderId="0" xfId="0" applyNumberFormat="1" applyFont="1" applyFill="1" applyBorder="1" applyProtection="1">
      <protection locked="0"/>
    </xf>
    <xf numFmtId="42" fontId="4" fillId="0" borderId="0" xfId="0" applyNumberFormat="1" applyFont="1" applyFill="1" applyBorder="1" applyProtection="1">
      <protection locked="0"/>
    </xf>
    <xf numFmtId="164" fontId="43" fillId="0" borderId="0" xfId="0" applyNumberFormat="1" applyFont="1" applyFill="1" applyAlignment="1"/>
    <xf numFmtId="0" fontId="43" fillId="0" borderId="0" xfId="0" applyNumberFormat="1" applyFont="1" applyFill="1" applyAlignment="1"/>
    <xf numFmtId="42" fontId="4" fillId="5" borderId="0" xfId="0" applyNumberFormat="1" applyFont="1" applyFill="1" applyBorder="1"/>
    <xf numFmtId="0" fontId="4" fillId="0" borderId="0" xfId="0" applyNumberFormat="1" applyFont="1" applyFill="1" applyBorder="1" applyAlignment="1"/>
    <xf numFmtId="42" fontId="4" fillId="5" borderId="0" xfId="0" applyNumberFormat="1" applyFont="1" applyFill="1"/>
    <xf numFmtId="42" fontId="4" fillId="0" borderId="0" xfId="0" applyNumberFormat="1" applyFont="1" applyFill="1" applyAlignment="1" applyProtection="1">
      <protection locked="0"/>
    </xf>
    <xf numFmtId="37" fontId="4" fillId="0" borderId="0" xfId="0" applyNumberFormat="1" applyFont="1" applyFill="1" applyAlignment="1"/>
    <xf numFmtId="42" fontId="4" fillId="5" borderId="0" xfId="0" applyNumberFormat="1" applyFont="1" applyFill="1" applyAlignment="1">
      <alignment horizontal="left"/>
    </xf>
    <xf numFmtId="42" fontId="4" fillId="0" borderId="0" xfId="0" applyNumberFormat="1" applyFont="1" applyFill="1" applyAlignment="1">
      <alignment horizontal="left"/>
    </xf>
    <xf numFmtId="42" fontId="4" fillId="0" borderId="0" xfId="0" applyNumberFormat="1" applyFont="1" applyFill="1" applyAlignment="1" applyProtection="1">
      <alignment horizontal="right"/>
      <protection locked="0"/>
    </xf>
    <xf numFmtId="0" fontId="43" fillId="0" borderId="0" xfId="0" applyFont="1" applyFill="1"/>
    <xf numFmtId="175" fontId="4" fillId="0" borderId="0" xfId="0" applyNumberFormat="1" applyFont="1" applyFill="1" applyAlignment="1" applyProtection="1">
      <alignment horizontal="left"/>
    </xf>
    <xf numFmtId="42" fontId="4" fillId="5" borderId="0" xfId="0" applyNumberFormat="1" applyFont="1" applyFill="1" applyAlignment="1" applyProtection="1">
      <alignment horizontal="right"/>
      <protection locked="0"/>
    </xf>
    <xf numFmtId="42" fontId="10" fillId="0" borderId="4" xfId="0" applyNumberFormat="1" applyFont="1" applyFill="1" applyBorder="1" applyAlignment="1" applyProtection="1">
      <protection locked="0"/>
    </xf>
    <xf numFmtId="42" fontId="4" fillId="0" borderId="4" xfId="0" applyNumberFormat="1" applyFont="1" applyFill="1" applyBorder="1" applyAlignment="1" applyProtection="1">
      <protection locked="0"/>
    </xf>
    <xf numFmtId="164" fontId="9" fillId="0" borderId="0" xfId="0" applyNumberFormat="1" applyFont="1" applyFill="1" applyAlignment="1">
      <alignment horizontal="left" indent="1"/>
    </xf>
    <xf numFmtId="41" fontId="4" fillId="0" borderId="0" xfId="0" applyNumberFormat="1" applyFont="1" applyFill="1" applyBorder="1" applyAlignment="1">
      <alignment vertical="center"/>
    </xf>
    <xf numFmtId="168" fontId="4" fillId="0" borderId="0" xfId="0" applyNumberFormat="1" applyFont="1" applyFill="1" applyBorder="1" applyAlignment="1"/>
    <xf numFmtId="0" fontId="43" fillId="0" borderId="0" xfId="0" applyFont="1" applyFill="1" applyAlignment="1">
      <alignment horizontal="left"/>
    </xf>
    <xf numFmtId="0" fontId="44" fillId="0" borderId="0" xfId="0" applyFont="1" applyAlignment="1">
      <alignment horizontal="center" vertical="center"/>
    </xf>
    <xf numFmtId="0" fontId="41" fillId="0" borderId="0" xfId="0" applyNumberFormat="1" applyFont="1" applyFill="1" applyAlignment="1">
      <alignment horizontal="left"/>
    </xf>
    <xf numFmtId="0" fontId="41" fillId="0" borderId="0" xfId="0" applyNumberFormat="1" applyFont="1" applyFill="1" applyAlignment="1">
      <alignment horizontal="center"/>
    </xf>
    <xf numFmtId="0" fontId="6" fillId="0" borderId="0" xfId="0" applyNumberFormat="1" applyFont="1" applyFill="1" applyBorder="1" applyAlignment="1">
      <alignment horizontal="centerContinuous" vertical="center" wrapText="1"/>
    </xf>
    <xf numFmtId="41" fontId="4" fillId="0" borderId="0" xfId="0" applyNumberFormat="1" applyFont="1" applyFill="1" applyBorder="1" applyAlignment="1">
      <alignment horizontal="centerContinuous" vertical="center" wrapText="1"/>
    </xf>
    <xf numFmtId="43" fontId="9" fillId="0" borderId="0" xfId="0" applyNumberFormat="1" applyFont="1"/>
    <xf numFmtId="43" fontId="4" fillId="0" borderId="0" xfId="0" applyNumberFormat="1" applyFont="1"/>
    <xf numFmtId="168" fontId="9" fillId="0" borderId="0" xfId="0" applyNumberFormat="1" applyFont="1"/>
    <xf numFmtId="168" fontId="4" fillId="0" borderId="0" xfId="0" applyNumberFormat="1" applyFont="1"/>
    <xf numFmtId="168" fontId="9" fillId="5" borderId="0" xfId="0" applyNumberFormat="1" applyFont="1" applyFill="1"/>
    <xf numFmtId="168" fontId="4" fillId="0" borderId="0" xfId="0" applyNumberFormat="1" applyFont="1" applyFill="1" applyBorder="1"/>
    <xf numFmtId="168" fontId="9" fillId="0" borderId="0" xfId="0" applyNumberFormat="1" applyFont="1" applyFill="1" applyBorder="1"/>
    <xf numFmtId="0" fontId="9" fillId="0" borderId="0" xfId="0" applyNumberFormat="1" applyFont="1" applyFill="1" applyAlignment="1">
      <alignment horizontal="left"/>
    </xf>
    <xf numFmtId="168" fontId="4" fillId="0" borderId="0" xfId="0" applyNumberFormat="1" applyFont="1" applyFill="1"/>
    <xf numFmtId="168" fontId="10" fillId="0" borderId="0" xfId="0" applyNumberFormat="1" applyFont="1"/>
    <xf numFmtId="168" fontId="4" fillId="0" borderId="0" xfId="2" applyNumberFormat="1" applyFont="1" applyFill="1" applyAlignment="1">
      <alignment vertical="center"/>
    </xf>
    <xf numFmtId="168" fontId="4" fillId="0" borderId="0" xfId="2" applyNumberFormat="1" applyFont="1" applyFill="1" applyBorder="1" applyAlignment="1">
      <alignment horizontal="right"/>
    </xf>
    <xf numFmtId="164" fontId="4" fillId="0" borderId="0" xfId="0" quotePrefix="1" applyNumberFormat="1" applyFont="1" applyFill="1" applyBorder="1" applyAlignment="1">
      <alignment horizontal="left"/>
    </xf>
    <xf numFmtId="41" fontId="4" fillId="0" borderId="0" xfId="0" applyNumberFormat="1" applyFont="1" applyFill="1" applyBorder="1" applyAlignment="1">
      <alignment horizontal="left" wrapText="1"/>
    </xf>
    <xf numFmtId="42" fontId="9" fillId="0" borderId="0" xfId="0" applyNumberFormat="1" applyFont="1" applyFill="1" applyAlignment="1"/>
    <xf numFmtId="10" fontId="43" fillId="0" borderId="0" xfId="0" applyNumberFormat="1" applyFont="1" applyFill="1" applyAlignment="1">
      <alignment horizontal="left"/>
    </xf>
    <xf numFmtId="10" fontId="43" fillId="0" borderId="0" xfId="0" applyNumberFormat="1" applyFont="1" applyFill="1" applyAlignment="1">
      <alignment horizontal="center"/>
    </xf>
    <xf numFmtId="166" fontId="4" fillId="5" borderId="0" xfId="0" applyNumberFormat="1" applyFont="1" applyFill="1" applyAlignment="1"/>
    <xf numFmtId="166" fontId="4" fillId="0" borderId="0" xfId="0" applyNumberFormat="1" applyFont="1" applyAlignment="1"/>
    <xf numFmtId="0" fontId="4" fillId="0" borderId="0" xfId="0" quotePrefix="1" applyFont="1" applyFill="1" applyAlignment="1">
      <alignment horizontal="left"/>
    </xf>
    <xf numFmtId="165" fontId="4" fillId="0" borderId="0" xfId="0" applyNumberFormat="1" applyFont="1" applyFill="1" applyAlignment="1">
      <alignment horizontal="right"/>
    </xf>
    <xf numFmtId="0" fontId="43" fillId="0" borderId="0" xfId="0" applyNumberFormat="1" applyFont="1" applyFill="1" applyAlignment="1">
      <alignment horizontal="left"/>
    </xf>
    <xf numFmtId="41" fontId="4" fillId="0" borderId="4" xfId="0" applyNumberFormat="1" applyFont="1" applyFill="1" applyBorder="1" applyAlignment="1">
      <alignment horizontal="center"/>
    </xf>
    <xf numFmtId="41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indent="1"/>
    </xf>
    <xf numFmtId="42" fontId="9" fillId="0" borderId="0" xfId="0" applyNumberFormat="1" applyFont="1" applyFill="1" applyBorder="1" applyProtection="1">
      <protection locked="0"/>
    </xf>
    <xf numFmtId="0" fontId="6" fillId="0" borderId="0" xfId="0" applyFont="1" applyFill="1" applyBorder="1" applyAlignment="1">
      <alignment horizontal="left"/>
    </xf>
    <xf numFmtId="0" fontId="4" fillId="0" borderId="6" xfId="0" applyNumberFormat="1" applyFont="1" applyFill="1" applyBorder="1" applyAlignment="1">
      <alignment horizontal="left"/>
    </xf>
    <xf numFmtId="179" fontId="4" fillId="0" borderId="6" xfId="0" applyNumberFormat="1" applyFont="1" applyFill="1" applyBorder="1" applyAlignment="1" applyProtection="1">
      <alignment horizontal="right"/>
      <protection locked="0"/>
    </xf>
    <xf numFmtId="42" fontId="4" fillId="0" borderId="6" xfId="0" applyNumberFormat="1" applyFont="1" applyFill="1" applyBorder="1" applyProtection="1">
      <protection locked="0"/>
    </xf>
    <xf numFmtId="0" fontId="4" fillId="0" borderId="0" xfId="0" applyFont="1" applyFill="1" applyAlignment="1">
      <alignment horizontal="left" indent="1"/>
    </xf>
    <xf numFmtId="164" fontId="45" fillId="0" borderId="0" xfId="0" applyNumberFormat="1" applyFont="1" applyFill="1" applyAlignment="1"/>
    <xf numFmtId="43" fontId="4" fillId="0" borderId="0" xfId="0" applyNumberFormat="1" applyFont="1" applyFill="1" applyBorder="1" applyAlignment="1"/>
    <xf numFmtId="43" fontId="4" fillId="0" borderId="0" xfId="0" applyNumberFormat="1" applyFont="1" applyFill="1" applyAlignment="1" applyProtection="1">
      <protection locked="0"/>
    </xf>
    <xf numFmtId="0" fontId="10" fillId="0" borderId="0" xfId="0" applyFont="1" applyAlignment="1">
      <alignment vertical="center"/>
    </xf>
    <xf numFmtId="164" fontId="4" fillId="0" borderId="0" xfId="0" applyNumberFormat="1" applyFont="1" applyFill="1" applyAlignment="1">
      <alignment horizontal="left"/>
    </xf>
    <xf numFmtId="43" fontId="9" fillId="0" borderId="4" xfId="0" applyNumberFormat="1" applyFont="1" applyBorder="1"/>
    <xf numFmtId="43" fontId="4" fillId="0" borderId="4" xfId="0" applyNumberFormat="1" applyFont="1" applyBorder="1"/>
    <xf numFmtId="166" fontId="9" fillId="0" borderId="0" xfId="0" applyNumberFormat="1" applyFont="1"/>
    <xf numFmtId="166" fontId="4" fillId="0" borderId="0" xfId="0" applyNumberFormat="1" applyFont="1"/>
    <xf numFmtId="9" fontId="4" fillId="0" borderId="0" xfId="0" applyNumberFormat="1" applyFont="1"/>
    <xf numFmtId="175" fontId="4" fillId="0" borderId="0" xfId="0" applyNumberFormat="1" applyFont="1" applyFill="1" applyBorder="1" applyAlignment="1" applyProtection="1">
      <alignment horizontal="left"/>
    </xf>
    <xf numFmtId="9" fontId="4" fillId="0" borderId="0" xfId="0" applyNumberFormat="1" applyFont="1" applyFill="1" applyBorder="1"/>
    <xf numFmtId="168" fontId="4" fillId="0" borderId="0" xfId="2" applyNumberFormat="1" applyFont="1" applyFill="1" applyBorder="1"/>
    <xf numFmtId="0" fontId="5" fillId="0" borderId="0" xfId="0" applyFont="1"/>
    <xf numFmtId="0" fontId="46" fillId="0" borderId="0" xfId="0" applyFont="1" applyFill="1" applyBorder="1"/>
    <xf numFmtId="0" fontId="1" fillId="0" borderId="0" xfId="0" applyFont="1"/>
    <xf numFmtId="168" fontId="47" fillId="0" borderId="0" xfId="2" applyNumberFormat="1" applyFont="1" applyFill="1" applyBorder="1"/>
    <xf numFmtId="0" fontId="14" fillId="0" borderId="0" xfId="0" applyFont="1"/>
    <xf numFmtId="0" fontId="4" fillId="0" borderId="0" xfId="0" applyNumberFormat="1" applyFont="1" applyFill="1" applyAlignment="1">
      <alignment horizontal="left" indent="2"/>
    </xf>
    <xf numFmtId="166" fontId="4" fillId="0" borderId="0" xfId="1" applyNumberFormat="1" applyFont="1" applyFill="1" applyAlignment="1">
      <alignment vertical="center"/>
    </xf>
    <xf numFmtId="41" fontId="4" fillId="0" borderId="0" xfId="0" applyNumberFormat="1" applyFont="1" applyFill="1" applyBorder="1" applyAlignment="1">
      <alignment horizontal="right"/>
    </xf>
    <xf numFmtId="41" fontId="9" fillId="0" borderId="0" xfId="0" applyNumberFormat="1" applyFont="1" applyFill="1" applyBorder="1" applyAlignment="1">
      <alignment horizontal="left" wrapText="1"/>
    </xf>
    <xf numFmtId="37" fontId="4" fillId="0" borderId="0" xfId="0" applyNumberFormat="1" applyFont="1" applyFill="1" applyAlignment="1">
      <alignment horizontal="right"/>
    </xf>
    <xf numFmtId="180" fontId="10" fillId="0" borderId="0" xfId="0" applyNumberFormat="1" applyFont="1" applyFill="1" applyAlignment="1">
      <alignment horizontal="right"/>
    </xf>
    <xf numFmtId="180" fontId="4" fillId="0" borderId="0" xfId="0" applyNumberFormat="1" applyFont="1" applyFill="1" applyAlignment="1">
      <alignment horizontal="right"/>
    </xf>
    <xf numFmtId="42" fontId="4" fillId="0" borderId="0" xfId="0" applyNumberFormat="1" applyFont="1" applyFill="1" applyBorder="1" applyAlignment="1"/>
    <xf numFmtId="178" fontId="4" fillId="0" borderId="6" xfId="0" quotePrefix="1" applyNumberFormat="1" applyFont="1" applyFill="1" applyBorder="1" applyAlignment="1">
      <alignment horizontal="left"/>
    </xf>
    <xf numFmtId="42" fontId="4" fillId="0" borderId="6" xfId="0" applyNumberFormat="1" applyFont="1" applyFill="1" applyBorder="1"/>
    <xf numFmtId="0" fontId="4" fillId="0" borderId="6" xfId="0" applyFont="1" applyBorder="1"/>
    <xf numFmtId="166" fontId="4" fillId="5" borderId="0" xfId="0" applyNumberFormat="1" applyFont="1" applyFill="1" applyBorder="1"/>
    <xf numFmtId="41" fontId="4" fillId="0" borderId="6" xfId="0" applyNumberFormat="1" applyFont="1" applyFill="1" applyBorder="1" applyProtection="1">
      <protection locked="0"/>
    </xf>
    <xf numFmtId="166" fontId="4" fillId="0" borderId="0" xfId="0" applyNumberFormat="1" applyFont="1" applyFill="1" applyBorder="1" applyProtection="1">
      <protection locked="0"/>
    </xf>
    <xf numFmtId="166" fontId="4" fillId="5" borderId="0" xfId="0" applyNumberFormat="1" applyFont="1" applyFill="1" applyBorder="1" applyProtection="1">
      <protection locked="0"/>
    </xf>
    <xf numFmtId="41" fontId="4" fillId="0" borderId="6" xfId="0" applyNumberFormat="1" applyFont="1" applyFill="1" applyBorder="1" applyAlignment="1">
      <alignment horizontal="center"/>
    </xf>
    <xf numFmtId="166" fontId="9" fillId="0" borderId="0" xfId="0" applyNumberFormat="1" applyFont="1" applyFill="1" applyBorder="1"/>
    <xf numFmtId="5" fontId="4" fillId="0" borderId="0" xfId="0" applyNumberFormat="1" applyFont="1" applyFill="1"/>
    <xf numFmtId="42" fontId="4" fillId="0" borderId="11" xfId="0" applyNumberFormat="1" applyFont="1" applyFill="1" applyBorder="1" applyAlignment="1"/>
    <xf numFmtId="41" fontId="4" fillId="0" borderId="0" xfId="0" applyNumberFormat="1" applyFont="1" applyFill="1" applyAlignment="1" applyProtection="1">
      <protection locked="0"/>
    </xf>
    <xf numFmtId="166" fontId="4" fillId="0" borderId="0" xfId="0" applyNumberFormat="1" applyFont="1" applyFill="1" applyAlignment="1" applyProtection="1">
      <alignment horizontal="right"/>
      <protection locked="0"/>
    </xf>
    <xf numFmtId="41" fontId="10" fillId="0" borderId="0" xfId="0" applyNumberFormat="1" applyFont="1" applyFill="1" applyBorder="1"/>
    <xf numFmtId="0" fontId="4" fillId="0" borderId="0" xfId="0" quotePrefix="1" applyNumberFormat="1" applyFont="1" applyFill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41" fontId="9" fillId="0" borderId="0" xfId="0" applyNumberFormat="1" applyFont="1" applyFill="1" applyBorder="1" applyAlignment="1">
      <alignment horizontal="right"/>
    </xf>
    <xf numFmtId="168" fontId="9" fillId="0" borderId="0" xfId="0" applyNumberFormat="1" applyFont="1" applyFill="1" applyAlignment="1" applyProtection="1">
      <protection locked="0"/>
    </xf>
    <xf numFmtId="168" fontId="4" fillId="0" borderId="0" xfId="0" applyNumberFormat="1" applyFont="1" applyFill="1" applyAlignment="1" applyProtection="1">
      <protection locked="0"/>
    </xf>
    <xf numFmtId="0" fontId="4" fillId="0" borderId="0" xfId="0" applyFont="1" applyFill="1" applyAlignment="1">
      <alignment horizontal="left" indent="2"/>
    </xf>
    <xf numFmtId="42" fontId="4" fillId="5" borderId="0" xfId="0" applyNumberFormat="1" applyFont="1" applyFill="1" applyBorder="1" applyAlignment="1"/>
    <xf numFmtId="43" fontId="4" fillId="0" borderId="0" xfId="0" applyNumberFormat="1" applyFont="1" applyFill="1" applyBorder="1"/>
    <xf numFmtId="166" fontId="9" fillId="0" borderId="0" xfId="0" applyNumberFormat="1" applyFont="1" applyFill="1" applyBorder="1" applyAlignment="1"/>
    <xf numFmtId="0" fontId="4" fillId="0" borderId="0" xfId="0" applyNumberFormat="1" applyFont="1" applyFill="1" applyAlignment="1">
      <alignment horizontal="left" indent="1"/>
    </xf>
    <xf numFmtId="41" fontId="4" fillId="0" borderId="6" xfId="0" applyNumberFormat="1" applyFont="1" applyFill="1" applyBorder="1" applyAlignment="1">
      <alignment horizontal="left" indent="1"/>
    </xf>
    <xf numFmtId="175" fontId="4" fillId="0" borderId="4" xfId="0" applyNumberFormat="1" applyFont="1" applyFill="1" applyBorder="1" applyAlignment="1" applyProtection="1">
      <alignment horizontal="left"/>
    </xf>
    <xf numFmtId="41" fontId="4" fillId="0" borderId="4" xfId="0" applyNumberFormat="1" applyFont="1" applyFill="1" applyBorder="1"/>
    <xf numFmtId="0" fontId="48" fillId="0" borderId="0" xfId="0" applyFont="1" applyFill="1" applyBorder="1" applyAlignment="1">
      <alignment horizontal="left" indent="1"/>
    </xf>
    <xf numFmtId="168" fontId="14" fillId="0" borderId="0" xfId="0" applyNumberFormat="1" applyFont="1"/>
    <xf numFmtId="168" fontId="49" fillId="0" borderId="0" xfId="2" applyNumberFormat="1" applyFont="1" applyFill="1" applyBorder="1" applyAlignment="1"/>
    <xf numFmtId="0" fontId="9" fillId="0" borderId="0" xfId="0" applyNumberFormat="1" applyFont="1" applyFill="1"/>
    <xf numFmtId="166" fontId="45" fillId="0" borderId="13" xfId="0" applyNumberFormat="1" applyFont="1" applyFill="1" applyBorder="1"/>
    <xf numFmtId="166" fontId="10" fillId="0" borderId="13" xfId="0" applyNumberFormat="1" applyFont="1" applyFill="1" applyBorder="1"/>
    <xf numFmtId="37" fontId="4" fillId="0" borderId="6" xfId="0" applyNumberFormat="1" applyFont="1" applyFill="1" applyBorder="1" applyAlignment="1">
      <alignment horizontal="right"/>
    </xf>
    <xf numFmtId="166" fontId="4" fillId="0" borderId="0" xfId="0" quotePrefix="1" applyNumberFormat="1" applyFont="1" applyFill="1" applyBorder="1" applyAlignment="1">
      <alignment horizontal="left"/>
    </xf>
    <xf numFmtId="166" fontId="4" fillId="0" borderId="6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/>
    </xf>
    <xf numFmtId="10" fontId="4" fillId="0" borderId="0" xfId="0" applyNumberFormat="1" applyFont="1" applyFill="1" applyAlignment="1">
      <alignment horizontal="center"/>
    </xf>
    <xf numFmtId="41" fontId="4" fillId="0" borderId="6" xfId="0" applyNumberFormat="1" applyFont="1" applyFill="1" applyBorder="1"/>
    <xf numFmtId="166" fontId="9" fillId="0" borderId="0" xfId="0" applyNumberFormat="1" applyFont="1" applyFill="1" applyAlignment="1" applyProtection="1">
      <protection locked="0"/>
    </xf>
    <xf numFmtId="166" fontId="4" fillId="0" borderId="0" xfId="0" applyNumberFormat="1" applyFont="1" applyFill="1" applyAlignment="1" applyProtection="1">
      <protection locked="0"/>
    </xf>
    <xf numFmtId="41" fontId="4" fillId="5" borderId="0" xfId="0" applyNumberFormat="1" applyFont="1" applyFill="1" applyBorder="1" applyAlignment="1"/>
    <xf numFmtId="166" fontId="4" fillId="0" borderId="0" xfId="0" applyNumberFormat="1" applyFont="1" applyFill="1" applyBorder="1" applyAlignment="1"/>
    <xf numFmtId="41" fontId="4" fillId="0" borderId="0" xfId="0" applyNumberFormat="1" applyFont="1" applyFill="1" applyAlignment="1"/>
    <xf numFmtId="166" fontId="9" fillId="0" borderId="4" xfId="0" applyNumberFormat="1" applyFont="1" applyBorder="1"/>
    <xf numFmtId="166" fontId="4" fillId="5" borderId="4" xfId="0" applyNumberFormat="1" applyFont="1" applyFill="1" applyBorder="1"/>
    <xf numFmtId="166" fontId="4" fillId="0" borderId="4" xfId="0" applyNumberFormat="1" applyFont="1" applyBorder="1"/>
    <xf numFmtId="166" fontId="49" fillId="0" borderId="0" xfId="5" applyNumberFormat="1" applyFont="1" applyFill="1" applyBorder="1"/>
    <xf numFmtId="41" fontId="49" fillId="0" borderId="0" xfId="2" applyNumberFormat="1" applyFont="1" applyFill="1" applyBorder="1"/>
    <xf numFmtId="166" fontId="14" fillId="0" borderId="0" xfId="0" applyNumberFormat="1" applyFont="1"/>
    <xf numFmtId="166" fontId="51" fillId="0" borderId="0" xfId="0" applyNumberFormat="1" applyFont="1" applyFill="1"/>
    <xf numFmtId="166" fontId="52" fillId="0" borderId="0" xfId="0" applyNumberFormat="1" applyFont="1" applyFill="1"/>
    <xf numFmtId="166" fontId="4" fillId="0" borderId="0" xfId="0" applyNumberFormat="1" applyFont="1" applyFill="1" applyAlignment="1">
      <alignment vertical="center"/>
    </xf>
    <xf numFmtId="42" fontId="10" fillId="0" borderId="0" xfId="0" applyNumberFormat="1" applyFont="1" applyFill="1" applyAlignment="1">
      <alignment horizontal="right"/>
    </xf>
    <xf numFmtId="164" fontId="4" fillId="0" borderId="0" xfId="0" applyNumberFormat="1" applyFont="1" applyFill="1" applyBorder="1" applyAlignment="1">
      <alignment horizontal="left"/>
    </xf>
    <xf numFmtId="179" fontId="4" fillId="0" borderId="0" xfId="0" applyNumberFormat="1" applyFont="1" applyFill="1" applyAlignment="1">
      <alignment horizontal="center"/>
    </xf>
    <xf numFmtId="42" fontId="4" fillId="0" borderId="6" xfId="0" applyNumberFormat="1" applyFont="1" applyFill="1" applyBorder="1" applyAlignment="1" applyProtection="1">
      <protection locked="0"/>
    </xf>
    <xf numFmtId="42" fontId="6" fillId="0" borderId="11" xfId="0" applyNumberFormat="1" applyFont="1" applyFill="1" applyBorder="1"/>
    <xf numFmtId="166" fontId="9" fillId="0" borderId="4" xfId="0" applyNumberFormat="1" applyFont="1" applyFill="1" applyBorder="1" applyAlignment="1"/>
    <xf numFmtId="166" fontId="9" fillId="0" borderId="4" xfId="0" applyNumberFormat="1" applyFont="1" applyFill="1" applyBorder="1" applyAlignment="1" applyProtection="1">
      <protection locked="0"/>
    </xf>
    <xf numFmtId="166" fontId="4" fillId="0" borderId="4" xfId="0" applyNumberFormat="1" applyFont="1" applyFill="1" applyBorder="1" applyAlignment="1" applyProtection="1">
      <protection locked="0"/>
    </xf>
    <xf numFmtId="166" fontId="4" fillId="0" borderId="4" xfId="0" applyNumberFormat="1" applyFont="1" applyFill="1" applyBorder="1" applyAlignment="1"/>
    <xf numFmtId="0" fontId="4" fillId="0" borderId="4" xfId="0" applyFont="1" applyBorder="1"/>
    <xf numFmtId="166" fontId="9" fillId="0" borderId="0" xfId="0" applyNumberFormat="1" applyFont="1" applyBorder="1"/>
    <xf numFmtId="164" fontId="43" fillId="0" borderId="0" xfId="0" applyNumberFormat="1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left" wrapText="1"/>
    </xf>
    <xf numFmtId="166" fontId="49" fillId="0" borderId="4" xfId="5" applyNumberFormat="1" applyFont="1" applyFill="1" applyBorder="1"/>
    <xf numFmtId="41" fontId="49" fillId="0" borderId="4" xfId="2" applyNumberFormat="1" applyFont="1" applyFill="1" applyBorder="1"/>
    <xf numFmtId="166" fontId="14" fillId="0" borderId="4" xfId="0" applyNumberFormat="1" applyFont="1" applyBorder="1"/>
    <xf numFmtId="0" fontId="9" fillId="0" borderId="0" xfId="0" applyNumberFormat="1" applyFont="1" applyFill="1" applyBorder="1" applyAlignment="1">
      <alignment horizontal="left"/>
    </xf>
    <xf numFmtId="9" fontId="9" fillId="0" borderId="0" xfId="0" applyNumberFormat="1" applyFont="1" applyFill="1" applyBorder="1" applyAlignment="1"/>
    <xf numFmtId="166" fontId="10" fillId="0" borderId="0" xfId="0" applyNumberFormat="1" applyFont="1" applyFill="1" applyBorder="1"/>
    <xf numFmtId="166" fontId="4" fillId="0" borderId="6" xfId="0" applyNumberFormat="1" applyFont="1" applyFill="1" applyBorder="1"/>
    <xf numFmtId="168" fontId="6" fillId="0" borderId="11" xfId="0" applyNumberFormat="1" applyFont="1" applyFill="1" applyBorder="1"/>
    <xf numFmtId="9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 applyProtection="1">
      <protection locked="0"/>
    </xf>
    <xf numFmtId="15" fontId="4" fillId="0" borderId="0" xfId="0" applyNumberFormat="1" applyFont="1" applyFill="1" applyAlignment="1"/>
    <xf numFmtId="10" fontId="4" fillId="0" borderId="0" xfId="0" applyNumberFormat="1" applyFont="1" applyFill="1" applyAlignment="1"/>
    <xf numFmtId="9" fontId="4" fillId="0" borderId="0" xfId="0" applyNumberFormat="1" applyFont="1" applyFill="1" applyBorder="1" applyAlignment="1"/>
    <xf numFmtId="42" fontId="10" fillId="0" borderId="11" xfId="0" applyNumberFormat="1" applyFont="1" applyFill="1" applyBorder="1" applyAlignment="1"/>
    <xf numFmtId="166" fontId="9" fillId="0" borderId="0" xfId="0" applyNumberFormat="1" applyFont="1" applyAlignment="1">
      <alignment vertical="center"/>
    </xf>
    <xf numFmtId="166" fontId="9" fillId="0" borderId="3" xfId="0" applyNumberFormat="1" applyFont="1" applyBorder="1" applyAlignment="1">
      <alignment vertical="center"/>
    </xf>
    <xf numFmtId="43" fontId="9" fillId="0" borderId="3" xfId="0" applyNumberFormat="1" applyFont="1" applyBorder="1" applyAlignment="1">
      <alignment vertical="center"/>
    </xf>
    <xf numFmtId="42" fontId="4" fillId="0" borderId="11" xfId="0" applyNumberFormat="1" applyFont="1" applyFill="1" applyBorder="1"/>
    <xf numFmtId="43" fontId="4" fillId="0" borderId="6" xfId="0" applyNumberFormat="1" applyFont="1" applyBorder="1"/>
    <xf numFmtId="166" fontId="4" fillId="0" borderId="0" xfId="0" applyNumberFormat="1" applyFont="1" applyBorder="1"/>
    <xf numFmtId="181" fontId="4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left"/>
    </xf>
    <xf numFmtId="168" fontId="4" fillId="0" borderId="4" xfId="0" applyNumberFormat="1" applyFont="1" applyBorder="1"/>
    <xf numFmtId="42" fontId="4" fillId="0" borderId="4" xfId="0" applyNumberFormat="1" applyFont="1" applyBorder="1"/>
    <xf numFmtId="166" fontId="45" fillId="0" borderId="11" xfId="0" applyNumberFormat="1" applyFont="1" applyFill="1" applyBorder="1"/>
    <xf numFmtId="166" fontId="10" fillId="0" borderId="11" xfId="0" applyNumberFormat="1" applyFont="1" applyFill="1" applyBorder="1"/>
    <xf numFmtId="165" fontId="4" fillId="0" borderId="0" xfId="3" applyNumberFormat="1" applyFont="1" applyFill="1" applyAlignment="1">
      <alignment horizontal="right"/>
    </xf>
    <xf numFmtId="41" fontId="10" fillId="0" borderId="0" xfId="0" applyNumberFormat="1" applyFont="1" applyFill="1" applyAlignment="1">
      <alignment horizontal="right"/>
    </xf>
    <xf numFmtId="41" fontId="4" fillId="0" borderId="0" xfId="0" applyNumberFormat="1" applyFont="1" applyFill="1" applyAlignment="1">
      <alignment horizontal="right"/>
    </xf>
    <xf numFmtId="164" fontId="4" fillId="0" borderId="0" xfId="0" quotePrefix="1" applyNumberFormat="1" applyFont="1" applyFill="1" applyAlignment="1">
      <alignment horizontal="left"/>
    </xf>
    <xf numFmtId="10" fontId="4" fillId="0" borderId="0" xfId="0" applyNumberFormat="1" applyFont="1" applyFill="1" applyBorder="1" applyAlignment="1">
      <alignment horizontal="center"/>
    </xf>
    <xf numFmtId="37" fontId="4" fillId="0" borderId="0" xfId="0" applyNumberFormat="1" applyFont="1" applyFill="1"/>
    <xf numFmtId="9" fontId="4" fillId="0" borderId="0" xfId="0" applyNumberFormat="1" applyFont="1" applyFill="1" applyBorder="1" applyAlignment="1">
      <alignment horizontal="left"/>
    </xf>
    <xf numFmtId="41" fontId="4" fillId="0" borderId="0" xfId="0" applyNumberFormat="1" applyFont="1" applyFill="1" applyBorder="1" applyAlignment="1" applyProtection="1">
      <alignment horizontal="right"/>
      <protection locked="0"/>
    </xf>
    <xf numFmtId="168" fontId="4" fillId="0" borderId="13" xfId="0" applyNumberFormat="1" applyFont="1" applyFill="1" applyBorder="1"/>
    <xf numFmtId="42" fontId="4" fillId="0" borderId="11" xfId="0" applyNumberFormat="1" applyFont="1" applyFill="1" applyBorder="1" applyAlignment="1" applyProtection="1">
      <alignment horizontal="right"/>
      <protection locked="0"/>
    </xf>
    <xf numFmtId="166" fontId="43" fillId="0" borderId="0" xfId="0" applyNumberFormat="1" applyFont="1" applyFill="1" applyAlignment="1"/>
    <xf numFmtId="166" fontId="4" fillId="0" borderId="0" xfId="0" applyNumberFormat="1" applyFont="1" applyFill="1" applyBorder="1" applyAlignment="1">
      <alignment horizontal="left" indent="1"/>
    </xf>
    <xf numFmtId="166" fontId="4" fillId="0" borderId="0" xfId="0" applyNumberFormat="1" applyFont="1" applyFill="1" applyAlignment="1"/>
    <xf numFmtId="0" fontId="9" fillId="0" borderId="0" xfId="0" applyNumberFormat="1" applyFont="1" applyFill="1" applyAlignment="1"/>
    <xf numFmtId="9" fontId="4" fillId="0" borderId="0" xfId="0" applyNumberFormat="1" applyFont="1" applyFill="1"/>
    <xf numFmtId="3" fontId="4" fillId="0" borderId="0" xfId="0" applyNumberFormat="1" applyFont="1" applyFill="1" applyBorder="1" applyAlignment="1"/>
    <xf numFmtId="0" fontId="4" fillId="0" borderId="0" xfId="0" applyNumberFormat="1" applyFont="1" applyFill="1" applyAlignment="1">
      <alignment vertical="center"/>
    </xf>
    <xf numFmtId="42" fontId="4" fillId="0" borderId="13" xfId="0" applyNumberFormat="1" applyFont="1" applyFill="1" applyBorder="1"/>
    <xf numFmtId="179" fontId="6" fillId="0" borderId="0" xfId="0" applyNumberFormat="1" applyFont="1" applyFill="1" applyAlignment="1">
      <alignment horizontal="center"/>
    </xf>
    <xf numFmtId="168" fontId="6" fillId="0" borderId="11" xfId="0" applyNumberFormat="1" applyFont="1" applyFill="1" applyBorder="1" applyAlignment="1"/>
    <xf numFmtId="42" fontId="4" fillId="0" borderId="11" xfId="0" applyNumberFormat="1" applyFont="1" applyFill="1" applyBorder="1" applyAlignment="1">
      <alignment horizontal="right"/>
    </xf>
    <xf numFmtId="166" fontId="9" fillId="0" borderId="0" xfId="0" applyNumberFormat="1" applyFont="1" applyBorder="1" applyAlignment="1">
      <alignment vertical="center"/>
    </xf>
    <xf numFmtId="166" fontId="4" fillId="0" borderId="4" xfId="0" applyNumberFormat="1" applyFont="1" applyFill="1" applyBorder="1"/>
    <xf numFmtId="9" fontId="48" fillId="0" borderId="0" xfId="6" applyFont="1" applyFill="1" applyBorder="1"/>
    <xf numFmtId="42" fontId="9" fillId="0" borderId="13" xfId="0" applyNumberFormat="1" applyFont="1" applyFill="1" applyBorder="1" applyAlignment="1"/>
    <xf numFmtId="168" fontId="4" fillId="0" borderId="13" xfId="0" applyNumberFormat="1" applyFont="1" applyBorder="1" applyAlignment="1"/>
    <xf numFmtId="166" fontId="4" fillId="0" borderId="11" xfId="0" applyNumberFormat="1" applyFont="1" applyFill="1" applyBorder="1"/>
    <xf numFmtId="0" fontId="4" fillId="0" borderId="0" xfId="0" applyNumberFormat="1" applyFont="1" applyFill="1"/>
    <xf numFmtId="166" fontId="9" fillId="0" borderId="4" xfId="0" applyNumberFormat="1" applyFont="1" applyFill="1" applyBorder="1"/>
    <xf numFmtId="166" fontId="4" fillId="0" borderId="4" xfId="0" applyNumberFormat="1" applyFont="1" applyFill="1" applyBorder="1" applyAlignment="1" applyProtection="1">
      <alignment horizontal="right"/>
      <protection locked="0"/>
    </xf>
    <xf numFmtId="41" fontId="10" fillId="0" borderId="0" xfId="0" applyNumberFormat="1" applyFont="1" applyFill="1" applyBorder="1" applyAlignment="1">
      <alignment horizontal="right"/>
    </xf>
    <xf numFmtId="168" fontId="4" fillId="0" borderId="13" xfId="0" applyNumberFormat="1" applyFont="1" applyFill="1" applyBorder="1" applyAlignment="1"/>
    <xf numFmtId="181" fontId="4" fillId="0" borderId="0" xfId="0" applyNumberFormat="1" applyFont="1" applyFill="1" applyBorder="1" applyAlignment="1">
      <alignment horizontal="center" wrapText="1"/>
    </xf>
    <xf numFmtId="41" fontId="10" fillId="0" borderId="0" xfId="0" applyNumberFormat="1" applyFont="1" applyFill="1"/>
    <xf numFmtId="164" fontId="4" fillId="0" borderId="0" xfId="0" applyNumberFormat="1" applyFont="1" applyFill="1"/>
    <xf numFmtId="167" fontId="4" fillId="0" borderId="0" xfId="0" applyNumberFormat="1" applyFont="1" applyFill="1" applyAlignment="1">
      <alignment horizontal="right"/>
    </xf>
    <xf numFmtId="41" fontId="10" fillId="0" borderId="6" xfId="0" applyNumberFormat="1" applyFont="1" applyFill="1" applyBorder="1" applyAlignment="1">
      <alignment horizontal="right"/>
    </xf>
    <xf numFmtId="41" fontId="4" fillId="0" borderId="6" xfId="0" applyNumberFormat="1" applyFont="1" applyFill="1" applyBorder="1" applyAlignment="1">
      <alignment horizontal="right"/>
    </xf>
    <xf numFmtId="9" fontId="4" fillId="0" borderId="0" xfId="0" applyNumberFormat="1" applyFont="1" applyFill="1" applyAlignment="1">
      <alignment horizontal="center"/>
    </xf>
    <xf numFmtId="166" fontId="4" fillId="0" borderId="0" xfId="0" applyNumberFormat="1" applyFont="1" applyFill="1" applyBorder="1" applyAlignment="1">
      <alignment horizontal="left"/>
    </xf>
    <xf numFmtId="37" fontId="4" fillId="0" borderId="6" xfId="0" applyNumberFormat="1" applyFont="1" applyFill="1" applyBorder="1"/>
    <xf numFmtId="0" fontId="4" fillId="4" borderId="0" xfId="0" applyFont="1" applyFill="1" applyAlignment="1">
      <alignment horizontal="center"/>
    </xf>
    <xf numFmtId="41" fontId="4" fillId="0" borderId="4" xfId="0" applyNumberFormat="1" applyFont="1" applyFill="1" applyBorder="1" applyAlignment="1">
      <alignment vertical="center"/>
    </xf>
    <xf numFmtId="0" fontId="9" fillId="0" borderId="6" xfId="0" applyFont="1" applyBorder="1"/>
    <xf numFmtId="0" fontId="46" fillId="0" borderId="0" xfId="0" applyFont="1" applyFill="1" applyBorder="1" applyAlignment="1"/>
    <xf numFmtId="168" fontId="54" fillId="0" borderId="3" xfId="2" applyNumberFormat="1" applyFont="1" applyFill="1" applyBorder="1"/>
    <xf numFmtId="41" fontId="9" fillId="0" borderId="0" xfId="0" applyNumberFormat="1" applyFont="1" applyFill="1" applyAlignment="1"/>
    <xf numFmtId="0" fontId="4" fillId="17" borderId="0" xfId="0" applyFont="1" applyFill="1"/>
    <xf numFmtId="168" fontId="4" fillId="0" borderId="11" xfId="0" applyNumberFormat="1" applyFont="1" applyFill="1" applyBorder="1"/>
    <xf numFmtId="0" fontId="6" fillId="0" borderId="0" xfId="0" applyFont="1" applyFill="1" applyBorder="1" applyAlignment="1">
      <alignment horizontal="left" vertical="top"/>
    </xf>
    <xf numFmtId="0" fontId="4" fillId="0" borderId="0" xfId="0" applyFont="1" applyFill="1" applyAlignment="1">
      <alignment horizontal="center" vertical="top"/>
    </xf>
    <xf numFmtId="0" fontId="4" fillId="0" borderId="0" xfId="0" applyNumberFormat="1" applyFont="1" applyFill="1" applyAlignment="1">
      <alignment horizontal="left" indent="6"/>
    </xf>
    <xf numFmtId="0" fontId="6" fillId="0" borderId="0" xfId="0" applyFont="1" applyFill="1" applyAlignment="1">
      <alignment horizontal="left" indent="1"/>
    </xf>
    <xf numFmtId="41" fontId="6" fillId="0" borderId="6" xfId="0" applyNumberFormat="1" applyFont="1" applyFill="1" applyBorder="1" applyAlignment="1">
      <alignment horizontal="right"/>
    </xf>
    <xf numFmtId="41" fontId="9" fillId="0" borderId="6" xfId="0" applyNumberFormat="1" applyFont="1" applyFill="1" applyBorder="1" applyAlignment="1">
      <alignment horizontal="right"/>
    </xf>
    <xf numFmtId="43" fontId="6" fillId="0" borderId="0" xfId="0" applyNumberFormat="1" applyFont="1" applyFill="1" applyBorder="1" applyAlignment="1"/>
    <xf numFmtId="168" fontId="9" fillId="0" borderId="13" xfId="0" applyNumberFormat="1" applyFont="1" applyBorder="1"/>
    <xf numFmtId="166" fontId="10" fillId="0" borderId="0" xfId="0" quotePrefix="1" applyNumberFormat="1" applyFont="1" applyFill="1" applyBorder="1" applyAlignment="1">
      <alignment horizontal="left"/>
    </xf>
    <xf numFmtId="164" fontId="9" fillId="0" borderId="0" xfId="0" applyNumberFormat="1" applyFont="1" applyFill="1"/>
    <xf numFmtId="37" fontId="4" fillId="0" borderId="0" xfId="0" applyNumberFormat="1" applyFont="1" applyFill="1" applyBorder="1" applyAlignment="1">
      <alignment horizontal="right"/>
    </xf>
    <xf numFmtId="42" fontId="55" fillId="13" borderId="0" xfId="0" applyNumberFormat="1" applyFont="1" applyFill="1" applyAlignment="1">
      <alignment horizontal="right"/>
    </xf>
    <xf numFmtId="15" fontId="4" fillId="0" borderId="0" xfId="0" applyNumberFormat="1" applyFont="1" applyFill="1" applyBorder="1"/>
    <xf numFmtId="17" fontId="6" fillId="4" borderId="17" xfId="0" applyNumberFormat="1" applyFont="1" applyFill="1" applyBorder="1" applyAlignment="1">
      <alignment horizontal="center"/>
    </xf>
    <xf numFmtId="0" fontId="6" fillId="4" borderId="7" xfId="0" quotePrefix="1" applyFont="1" applyFill="1" applyBorder="1" applyAlignment="1">
      <alignment horizontal="center"/>
    </xf>
    <xf numFmtId="41" fontId="9" fillId="0" borderId="4" xfId="0" applyNumberFormat="1" applyFont="1" applyFill="1" applyBorder="1" applyAlignment="1">
      <alignment vertical="center"/>
    </xf>
    <xf numFmtId="43" fontId="4" fillId="0" borderId="6" xfId="0" applyNumberFormat="1" applyFont="1" applyFill="1" applyBorder="1" applyAlignment="1"/>
    <xf numFmtId="168" fontId="6" fillId="0" borderId="11" xfId="0" quotePrefix="1" applyNumberFormat="1" applyFont="1" applyFill="1" applyBorder="1" applyAlignment="1">
      <alignment horizontal="left"/>
    </xf>
    <xf numFmtId="168" fontId="10" fillId="0" borderId="11" xfId="0" quotePrefix="1" applyNumberFormat="1" applyFont="1" applyFill="1" applyBorder="1" applyAlignment="1">
      <alignment horizontal="left"/>
    </xf>
    <xf numFmtId="41" fontId="9" fillId="0" borderId="0" xfId="0" applyNumberFormat="1" applyFont="1" applyFill="1" applyAlignment="1">
      <alignment horizontal="left" wrapText="1"/>
    </xf>
    <xf numFmtId="41" fontId="10" fillId="0" borderId="0" xfId="0" applyNumberFormat="1" applyFont="1" applyFill="1" applyAlignment="1"/>
    <xf numFmtId="0" fontId="55" fillId="13" borderId="0" xfId="0" applyFont="1" applyFill="1" applyBorder="1"/>
    <xf numFmtId="0" fontId="4" fillId="0" borderId="0" xfId="0" applyFont="1" applyFill="1" applyBorder="1" applyAlignment="1">
      <alignment horizontal="left" vertical="center"/>
    </xf>
    <xf numFmtId="0" fontId="6" fillId="4" borderId="21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164" fontId="9" fillId="0" borderId="0" xfId="0" applyNumberFormat="1" applyFont="1" applyFill="1" applyAlignment="1"/>
    <xf numFmtId="182" fontId="4" fillId="0" borderId="0" xfId="0" applyNumberFormat="1" applyFont="1" applyFill="1" applyAlignment="1"/>
    <xf numFmtId="41" fontId="6" fillId="0" borderId="0" xfId="0" applyNumberFormat="1" applyFont="1" applyFill="1" applyBorder="1" applyAlignment="1"/>
    <xf numFmtId="41" fontId="10" fillId="0" borderId="0" xfId="0" applyNumberFormat="1" applyFont="1" applyFill="1" applyBorder="1" applyAlignment="1"/>
    <xf numFmtId="9" fontId="9" fillId="0" borderId="0" xfId="0" applyNumberFormat="1" applyFont="1"/>
    <xf numFmtId="0" fontId="9" fillId="0" borderId="0" xfId="0" applyNumberFormat="1" applyFont="1" applyAlignment="1"/>
    <xf numFmtId="42" fontId="55" fillId="13" borderId="0" xfId="0" applyNumberFormat="1" applyFont="1" applyFill="1" applyBorder="1" applyAlignment="1"/>
    <xf numFmtId="9" fontId="4" fillId="0" borderId="0" xfId="0" applyNumberFormat="1" applyFont="1" applyFill="1" applyAlignment="1">
      <alignment horizontal="right"/>
    </xf>
    <xf numFmtId="164" fontId="9" fillId="0" borderId="0" xfId="0" applyNumberFormat="1" applyFont="1" applyAlignment="1"/>
    <xf numFmtId="37" fontId="4" fillId="0" borderId="0" xfId="0" applyNumberFormat="1" applyFont="1" applyFill="1" applyBorder="1" applyAlignment="1"/>
    <xf numFmtId="37" fontId="9" fillId="0" borderId="0" xfId="0" applyNumberFormat="1" applyFont="1" applyFill="1" applyBorder="1" applyAlignment="1"/>
    <xf numFmtId="0" fontId="6" fillId="0" borderId="0" xfId="0" applyNumberFormat="1" applyFont="1" applyFill="1" applyAlignment="1">
      <alignment horizontal="left" indent="2"/>
    </xf>
    <xf numFmtId="166" fontId="9" fillId="0" borderId="6" xfId="0" applyNumberFormat="1" applyFont="1" applyBorder="1"/>
    <xf numFmtId="42" fontId="10" fillId="0" borderId="11" xfId="0" applyNumberFormat="1" applyFont="1" applyFill="1" applyBorder="1"/>
    <xf numFmtId="0" fontId="55" fillId="13" borderId="0" xfId="0" applyFont="1" applyFill="1"/>
    <xf numFmtId="0" fontId="4" fillId="0" borderId="0" xfId="0" applyFont="1" applyFill="1" applyAlignment="1">
      <alignment horizontal="left" vertical="center"/>
    </xf>
    <xf numFmtId="168" fontId="4" fillId="0" borderId="0" xfId="0" applyNumberFormat="1" applyFont="1" applyFill="1" applyAlignment="1" applyProtection="1">
      <alignment vertical="center"/>
      <protection locked="0"/>
    </xf>
    <xf numFmtId="0" fontId="6" fillId="4" borderId="26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164" fontId="9" fillId="0" borderId="0" xfId="0" applyNumberFormat="1" applyFont="1" applyFill="1" applyAlignment="1">
      <alignment horizontal="left"/>
    </xf>
    <xf numFmtId="0" fontId="0" fillId="0" borderId="3" xfId="0" applyBorder="1"/>
    <xf numFmtId="168" fontId="9" fillId="0" borderId="6" xfId="0" applyNumberFormat="1" applyFont="1" applyBorder="1"/>
    <xf numFmtId="41" fontId="12" fillId="0" borderId="0" xfId="0" applyNumberFormat="1" applyFont="1" applyFill="1" applyBorder="1" applyAlignment="1">
      <alignment horizontal="left" wrapText="1"/>
    </xf>
    <xf numFmtId="0" fontId="4" fillId="0" borderId="0" xfId="0" applyFont="1" applyAlignment="1"/>
    <xf numFmtId="10" fontId="55" fillId="13" borderId="0" xfId="0" applyNumberFormat="1" applyFont="1" applyFill="1"/>
    <xf numFmtId="42" fontId="4" fillId="0" borderId="11" xfId="0" applyNumberFormat="1" applyFont="1" applyFill="1" applyBorder="1" applyProtection="1">
      <protection locked="0"/>
    </xf>
    <xf numFmtId="179" fontId="4" fillId="0" borderId="0" xfId="0" applyNumberFormat="1" applyFont="1" applyFill="1" applyProtection="1">
      <protection locked="0"/>
    </xf>
    <xf numFmtId="166" fontId="6" fillId="0" borderId="6" xfId="0" applyNumberFormat="1" applyFont="1" applyFill="1" applyBorder="1" applyAlignment="1"/>
    <xf numFmtId="168" fontId="9" fillId="0" borderId="11" xfId="0" applyNumberFormat="1" applyFont="1" applyBorder="1"/>
    <xf numFmtId="166" fontId="55" fillId="13" borderId="6" xfId="0" applyNumberFormat="1" applyFont="1" applyFill="1" applyBorder="1"/>
    <xf numFmtId="168" fontId="9" fillId="0" borderId="11" xfId="0" applyNumberFormat="1" applyFont="1" applyFill="1" applyBorder="1"/>
    <xf numFmtId="9" fontId="9" fillId="0" borderId="0" xfId="0" applyNumberFormat="1" applyFont="1" applyFill="1" applyAlignment="1">
      <alignment horizontal="right"/>
    </xf>
    <xf numFmtId="166" fontId="10" fillId="0" borderId="0" xfId="0" applyNumberFormat="1" applyFont="1" applyFill="1" applyBorder="1" applyAlignment="1"/>
    <xf numFmtId="42" fontId="9" fillId="0" borderId="11" xfId="0" applyNumberFormat="1" applyFont="1" applyFill="1" applyBorder="1" applyAlignment="1"/>
    <xf numFmtId="166" fontId="4" fillId="0" borderId="3" xfId="0" applyNumberFormat="1" applyFont="1" applyFill="1" applyBorder="1" applyAlignment="1"/>
    <xf numFmtId="43" fontId="4" fillId="0" borderId="3" xfId="0" applyNumberFormat="1" applyFont="1" applyFill="1" applyBorder="1" applyAlignment="1"/>
    <xf numFmtId="166" fontId="9" fillId="0" borderId="3" xfId="0" applyNumberFormat="1" applyFont="1" applyFill="1" applyBorder="1" applyAlignment="1"/>
    <xf numFmtId="0" fontId="12" fillId="0" borderId="0" xfId="0" applyFont="1"/>
    <xf numFmtId="179" fontId="4" fillId="0" borderId="6" xfId="0" applyNumberFormat="1" applyFont="1" applyFill="1" applyBorder="1" applyAlignment="1" applyProtection="1">
      <protection locked="0"/>
    </xf>
    <xf numFmtId="164" fontId="4" fillId="0" borderId="6" xfId="0" applyNumberFormat="1" applyFont="1" applyFill="1" applyBorder="1" applyAlignment="1">
      <alignment horizontal="left" wrapText="1"/>
    </xf>
    <xf numFmtId="166" fontId="55" fillId="13" borderId="0" xfId="0" applyNumberFormat="1" applyFont="1" applyFill="1"/>
    <xf numFmtId="43" fontId="10" fillId="0" borderId="0" xfId="0" applyNumberFormat="1" applyFont="1" applyFill="1" applyBorder="1"/>
    <xf numFmtId="168" fontId="4" fillId="0" borderId="0" xfId="0" applyNumberFormat="1" applyFont="1" applyFill="1" applyAlignment="1"/>
    <xf numFmtId="166" fontId="55" fillId="13" borderId="11" xfId="0" applyNumberFormat="1" applyFont="1" applyFill="1" applyBorder="1"/>
    <xf numFmtId="168" fontId="4" fillId="0" borderId="11" xfId="0" applyNumberFormat="1" applyFont="1" applyFill="1" applyBorder="1" applyAlignment="1"/>
    <xf numFmtId="0" fontId="0" fillId="0" borderId="11" xfId="0" applyBorder="1"/>
    <xf numFmtId="166" fontId="4" fillId="0" borderId="13" xfId="0" applyNumberFormat="1" applyFont="1" applyFill="1" applyBorder="1" applyAlignment="1"/>
    <xf numFmtId="43" fontId="4" fillId="0" borderId="13" xfId="0" applyNumberFormat="1" applyFont="1" applyFill="1" applyBorder="1" applyAlignment="1"/>
    <xf numFmtId="166" fontId="9" fillId="0" borderId="13" xfId="0" applyNumberFormat="1" applyFont="1" applyFill="1" applyBorder="1" applyAlignment="1"/>
    <xf numFmtId="168" fontId="4" fillId="0" borderId="0" xfId="0" applyNumberFormat="1" applyFont="1" applyFill="1" applyAlignment="1">
      <alignment horizontal="left" wrapText="1"/>
    </xf>
    <xf numFmtId="166" fontId="11" fillId="13" borderId="0" xfId="0" applyNumberFormat="1" applyFont="1" applyFill="1"/>
    <xf numFmtId="0" fontId="4" fillId="0" borderId="0" xfId="0" applyNumberFormat="1" applyFont="1" applyFill="1" applyBorder="1" applyAlignment="1">
      <alignment horizontal="left"/>
    </xf>
    <xf numFmtId="43" fontId="9" fillId="0" borderId="11" xfId="0" applyNumberFormat="1" applyFont="1" applyBorder="1"/>
    <xf numFmtId="10" fontId="4" fillId="0" borderId="0" xfId="0" applyNumberFormat="1" applyFont="1" applyFill="1" applyAlignment="1">
      <alignment horizontal="left" indent="1"/>
    </xf>
    <xf numFmtId="166" fontId="4" fillId="5" borderId="0" xfId="1" applyNumberFormat="1" applyFont="1" applyFill="1" applyBorder="1" applyAlignment="1"/>
    <xf numFmtId="166" fontId="4" fillId="0" borderId="0" xfId="1" applyNumberFormat="1" applyFont="1" applyFill="1" applyBorder="1" applyAlignment="1"/>
    <xf numFmtId="166" fontId="9" fillId="0" borderId="0" xfId="1" applyNumberFormat="1" applyFont="1" applyFill="1" applyBorder="1" applyAlignment="1"/>
    <xf numFmtId="0" fontId="9" fillId="0" borderId="0" xfId="0" applyFont="1" applyFill="1" applyBorder="1" applyAlignment="1">
      <alignment horizontal="left" indent="7"/>
    </xf>
    <xf numFmtId="41" fontId="4" fillId="0" borderId="0" xfId="0" applyNumberFormat="1" applyFont="1" applyFill="1" applyAlignment="1">
      <alignment vertical="center"/>
    </xf>
    <xf numFmtId="42" fontId="4" fillId="0" borderId="0" xfId="0" applyNumberFormat="1" applyFont="1" applyFill="1" applyAlignment="1"/>
    <xf numFmtId="41" fontId="10" fillId="0" borderId="6" xfId="0" applyNumberFormat="1" applyFont="1" applyFill="1" applyBorder="1" applyAlignment="1">
      <alignment horizontal="left" wrapText="1"/>
    </xf>
    <xf numFmtId="41" fontId="4" fillId="0" borderId="6" xfId="0" applyNumberFormat="1" applyFont="1" applyFill="1" applyBorder="1" applyAlignment="1">
      <alignment horizontal="left" wrapText="1"/>
    </xf>
    <xf numFmtId="0" fontId="4" fillId="6" borderId="0" xfId="0" applyFont="1" applyFill="1" applyAlignment="1">
      <alignment horizontal="center"/>
    </xf>
    <xf numFmtId="166" fontId="10" fillId="0" borderId="0" xfId="0" applyNumberFormat="1" applyFont="1" applyFill="1" applyAlignment="1">
      <alignment vertical="center"/>
    </xf>
    <xf numFmtId="166" fontId="10" fillId="0" borderId="0" xfId="1" applyNumberFormat="1" applyFont="1" applyFill="1" applyAlignment="1">
      <alignment vertical="center"/>
    </xf>
    <xf numFmtId="166" fontId="9" fillId="0" borderId="0" xfId="0" applyNumberFormat="1" applyFont="1" applyFill="1" applyAlignment="1">
      <alignment vertical="center"/>
    </xf>
    <xf numFmtId="43" fontId="4" fillId="0" borderId="0" xfId="0" applyNumberFormat="1" applyFont="1" applyFill="1"/>
    <xf numFmtId="0" fontId="51" fillId="0" borderId="0" xfId="0" applyFont="1"/>
    <xf numFmtId="17" fontId="6" fillId="6" borderId="17" xfId="0" applyNumberFormat="1" applyFont="1" applyFill="1" applyBorder="1" applyAlignment="1">
      <alignment horizontal="center"/>
    </xf>
    <xf numFmtId="0" fontId="6" fillId="6" borderId="7" xfId="0" quotePrefix="1" applyFont="1" applyFill="1" applyBorder="1" applyAlignment="1">
      <alignment horizontal="center"/>
    </xf>
    <xf numFmtId="43" fontId="9" fillId="0" borderId="0" xfId="0" applyNumberFormat="1" applyFont="1" applyFill="1" applyBorder="1"/>
    <xf numFmtId="0" fontId="45" fillId="0" borderId="0" xfId="0" applyNumberFormat="1" applyFont="1" applyFill="1" applyAlignment="1">
      <alignment horizontal="left" indent="2"/>
    </xf>
    <xf numFmtId="0" fontId="4" fillId="0" borderId="0" xfId="0" quotePrefix="1" applyFont="1" applyFill="1"/>
    <xf numFmtId="0" fontId="6" fillId="6" borderId="21" xfId="0" applyFont="1" applyFill="1" applyBorder="1" applyAlignment="1">
      <alignment horizontal="center"/>
    </xf>
    <xf numFmtId="0" fontId="6" fillId="6" borderId="9" xfId="0" applyFont="1" applyFill="1" applyBorder="1" applyAlignment="1">
      <alignment horizontal="center"/>
    </xf>
    <xf numFmtId="0" fontId="51" fillId="0" borderId="4" xfId="0" applyFont="1" applyBorder="1"/>
    <xf numFmtId="181" fontId="4" fillId="0" borderId="4" xfId="0" applyNumberFormat="1" applyFont="1" applyFill="1" applyBorder="1" applyAlignment="1">
      <alignment horizontal="center"/>
    </xf>
    <xf numFmtId="183" fontId="4" fillId="0" borderId="0" xfId="0" applyNumberFormat="1" applyFont="1" applyFill="1" applyAlignment="1"/>
    <xf numFmtId="166" fontId="4" fillId="0" borderId="4" xfId="1" applyNumberFormat="1" applyFont="1" applyFill="1" applyBorder="1" applyAlignment="1">
      <alignment vertical="center"/>
    </xf>
    <xf numFmtId="41" fontId="9" fillId="0" borderId="4" xfId="0" applyNumberFormat="1" applyFont="1" applyFill="1" applyBorder="1" applyAlignment="1">
      <alignment horizontal="right"/>
    </xf>
    <xf numFmtId="166" fontId="9" fillId="0" borderId="4" xfId="0" applyNumberFormat="1" applyFont="1" applyFill="1" applyBorder="1" applyAlignment="1">
      <alignment vertical="center"/>
    </xf>
    <xf numFmtId="0" fontId="6" fillId="6" borderId="26" xfId="0" applyFont="1" applyFill="1" applyBorder="1" applyAlignment="1">
      <alignment horizontal="center"/>
    </xf>
    <xf numFmtId="0" fontId="6" fillId="6" borderId="22" xfId="0" applyFont="1" applyFill="1" applyBorder="1" applyAlignment="1">
      <alignment horizontal="center"/>
    </xf>
    <xf numFmtId="183" fontId="9" fillId="0" borderId="0" xfId="0" applyNumberFormat="1" applyFont="1" applyFill="1" applyAlignment="1"/>
    <xf numFmtId="41" fontId="45" fillId="0" borderId="0" xfId="0" applyNumberFormat="1" applyFont="1" applyFill="1" applyBorder="1" applyAlignment="1">
      <alignment horizontal="right"/>
    </xf>
    <xf numFmtId="41" fontId="45" fillId="0" borderId="6" xfId="0" applyNumberFormat="1" applyFont="1" applyFill="1" applyBorder="1" applyAlignment="1">
      <alignment horizontal="right"/>
    </xf>
    <xf numFmtId="43" fontId="56" fillId="0" borderId="0" xfId="1" applyNumberFormat="1" applyFont="1" applyFill="1"/>
    <xf numFmtId="166" fontId="56" fillId="0" borderId="0" xfId="1" applyNumberFormat="1" applyFont="1" applyFill="1"/>
    <xf numFmtId="41" fontId="9" fillId="0" borderId="0" xfId="0" applyNumberFormat="1" applyFont="1" applyFill="1" applyAlignment="1">
      <alignment horizontal="right"/>
    </xf>
    <xf numFmtId="41" fontId="9" fillId="0" borderId="0" xfId="0" applyNumberFormat="1" applyFont="1" applyFill="1" applyBorder="1" applyAlignment="1">
      <alignment vertical="center"/>
    </xf>
    <xf numFmtId="0" fontId="4" fillId="0" borderId="0" xfId="0" quotePrefix="1" applyNumberFormat="1" applyFont="1" applyFill="1" applyBorder="1" applyAlignment="1">
      <alignment horizontal="left"/>
    </xf>
    <xf numFmtId="0" fontId="4" fillId="0" borderId="0" xfId="0" quotePrefix="1" applyNumberFormat="1" applyFont="1" applyFill="1" applyAlignment="1">
      <alignment horizontal="left" indent="2"/>
    </xf>
    <xf numFmtId="168" fontId="4" fillId="0" borderId="0" xfId="0" applyNumberFormat="1" applyFont="1" applyFill="1" applyAlignment="1">
      <alignment vertical="center"/>
    </xf>
    <xf numFmtId="168" fontId="9" fillId="0" borderId="0" xfId="0" applyNumberFormat="1" applyFont="1" applyFill="1" applyBorder="1" applyAlignment="1">
      <alignment horizontal="right"/>
    </xf>
    <xf numFmtId="0" fontId="9" fillId="0" borderId="0" xfId="0" quotePrefix="1" applyNumberFormat="1" applyFont="1" applyFill="1" applyAlignment="1">
      <alignment horizontal="left" indent="2"/>
    </xf>
    <xf numFmtId="166" fontId="4" fillId="4" borderId="0" xfId="0" applyNumberFormat="1" applyFont="1" applyFill="1"/>
    <xf numFmtId="166" fontId="10" fillId="0" borderId="4" xfId="0" applyNumberFormat="1" applyFont="1" applyFill="1" applyBorder="1" applyAlignment="1" applyProtection="1">
      <protection locked="0"/>
    </xf>
    <xf numFmtId="164" fontId="9" fillId="0" borderId="0" xfId="0" applyNumberFormat="1" applyFont="1" applyFill="1" applyBorder="1" applyAlignment="1">
      <alignment horizontal="left"/>
    </xf>
    <xf numFmtId="166" fontId="10" fillId="0" borderId="11" xfId="0" applyNumberFormat="1" applyFont="1" applyFill="1" applyBorder="1" applyAlignment="1"/>
    <xf numFmtId="166" fontId="4" fillId="0" borderId="11" xfId="0" applyNumberFormat="1" applyFont="1" applyFill="1" applyBorder="1" applyAlignment="1"/>
    <xf numFmtId="164" fontId="9" fillId="0" borderId="4" xfId="0" applyNumberFormat="1" applyFont="1" applyFill="1" applyBorder="1" applyAlignment="1"/>
    <xf numFmtId="166" fontId="4" fillId="15" borderId="0" xfId="1" applyNumberFormat="1" applyFont="1" applyFill="1" applyAlignment="1">
      <alignment vertical="center"/>
    </xf>
    <xf numFmtId="10" fontId="4" fillId="0" borderId="0" xfId="0" applyNumberFormat="1" applyFont="1" applyFill="1" applyBorder="1" applyAlignment="1"/>
    <xf numFmtId="41" fontId="9" fillId="18" borderId="0" xfId="0" applyNumberFormat="1" applyFont="1" applyFill="1" applyBorder="1" applyAlignment="1">
      <alignment vertical="center"/>
    </xf>
    <xf numFmtId="0" fontId="4" fillId="0" borderId="48" xfId="0" applyFont="1" applyFill="1" applyBorder="1"/>
    <xf numFmtId="41" fontId="4" fillId="0" borderId="3" xfId="0" applyNumberFormat="1" applyFont="1" applyFill="1" applyBorder="1" applyAlignment="1">
      <alignment horizontal="right"/>
    </xf>
    <xf numFmtId="41" fontId="9" fillId="0" borderId="3" xfId="0" applyNumberFormat="1" applyFont="1" applyFill="1" applyBorder="1" applyAlignment="1">
      <alignment horizontal="right"/>
    </xf>
    <xf numFmtId="37" fontId="9" fillId="0" borderId="0" xfId="0" applyNumberFormat="1" applyFont="1" applyFill="1" applyAlignment="1"/>
    <xf numFmtId="3" fontId="11" fillId="0" borderId="0" xfId="0" applyNumberFormat="1" applyFont="1" applyFill="1" applyBorder="1"/>
    <xf numFmtId="3" fontId="11" fillId="0" borderId="0" xfId="0" applyNumberFormat="1" applyFont="1" applyFill="1"/>
    <xf numFmtId="41" fontId="9" fillId="0" borderId="0" xfId="0" applyNumberFormat="1" applyFont="1" applyFill="1" applyBorder="1" applyAlignment="1">
      <alignment horizontal="left"/>
    </xf>
    <xf numFmtId="166" fontId="9" fillId="0" borderId="0" xfId="1" applyNumberFormat="1" applyFont="1" applyFill="1" applyBorder="1" applyAlignment="1">
      <alignment horizontal="right"/>
    </xf>
    <xf numFmtId="41" fontId="9" fillId="0" borderId="0" xfId="0" applyNumberFormat="1" applyFont="1" applyFill="1" applyAlignment="1">
      <alignment horizontal="left"/>
    </xf>
    <xf numFmtId="41" fontId="4" fillId="0" borderId="0" xfId="0" applyNumberFormat="1" applyFont="1" applyFill="1" applyBorder="1" applyAlignment="1">
      <alignment horizontal="left"/>
    </xf>
    <xf numFmtId="166" fontId="9" fillId="0" borderId="4" xfId="1" applyNumberFormat="1" applyFont="1" applyFill="1" applyBorder="1" applyAlignment="1">
      <alignment vertical="center"/>
    </xf>
    <xf numFmtId="166" fontId="9" fillId="0" borderId="4" xfId="1" applyNumberFormat="1" applyFont="1" applyFill="1" applyBorder="1" applyAlignment="1">
      <alignment horizontal="center" vertical="center"/>
    </xf>
    <xf numFmtId="41" fontId="45" fillId="0" borderId="0" xfId="0" applyNumberFormat="1" applyFont="1" applyFill="1" applyBorder="1" applyAlignment="1"/>
    <xf numFmtId="41" fontId="10" fillId="0" borderId="0" xfId="0" applyNumberFormat="1" applyFont="1" applyFill="1" applyAlignment="1">
      <alignment horizontal="left"/>
    </xf>
    <xf numFmtId="166" fontId="4" fillId="6" borderId="0" xfId="0" applyNumberFormat="1" applyFont="1" applyFill="1"/>
    <xf numFmtId="37" fontId="10" fillId="0" borderId="0" xfId="0" applyNumberFormat="1" applyFont="1" applyFill="1" applyAlignment="1"/>
    <xf numFmtId="165" fontId="4" fillId="0" borderId="0" xfId="0" applyNumberFormat="1" applyFont="1" applyFill="1"/>
    <xf numFmtId="37" fontId="9" fillId="0" borderId="4" xfId="0" applyNumberFormat="1" applyFont="1" applyFill="1" applyBorder="1" applyAlignment="1"/>
    <xf numFmtId="37" fontId="10" fillId="0" borderId="4" xfId="0" applyNumberFormat="1" applyFont="1" applyFill="1" applyBorder="1" applyAlignment="1"/>
    <xf numFmtId="166" fontId="10" fillId="0" borderId="4" xfId="0" applyNumberFormat="1" applyFont="1" applyFill="1" applyBorder="1" applyAlignment="1"/>
    <xf numFmtId="42" fontId="9" fillId="0" borderId="11" xfId="0" applyNumberFormat="1" applyFont="1" applyFill="1" applyBorder="1"/>
    <xf numFmtId="168" fontId="4" fillId="4" borderId="0" xfId="0" applyNumberFormat="1" applyFont="1" applyFill="1"/>
    <xf numFmtId="0" fontId="10" fillId="0" borderId="0" xfId="0" applyFont="1" applyFill="1" applyBorder="1"/>
    <xf numFmtId="168" fontId="4" fillId="6" borderId="0" xfId="0" applyNumberFormat="1" applyFont="1" applyFill="1"/>
    <xf numFmtId="0" fontId="4" fillId="0" borderId="0" xfId="0" applyFont="1" applyFill="1" applyBorder="1" applyAlignment="1">
      <alignment horizontal="right"/>
    </xf>
    <xf numFmtId="44" fontId="0" fillId="0" borderId="0" xfId="2" applyFont="1"/>
    <xf numFmtId="0" fontId="6" fillId="0" borderId="0" xfId="0" applyFont="1" applyFill="1" applyBorder="1" applyAlignment="1">
      <alignment horizontal="right"/>
    </xf>
    <xf numFmtId="43" fontId="6" fillId="0" borderId="0" xfId="0" applyNumberFormat="1" applyFont="1" applyFill="1" applyBorder="1"/>
    <xf numFmtId="0" fontId="6" fillId="0" borderId="0" xfId="0" applyNumberFormat="1" applyFont="1" applyFill="1" applyBorder="1" applyAlignment="1" applyProtection="1">
      <alignment horizontal="centerContinuous"/>
      <protection locked="0"/>
    </xf>
    <xf numFmtId="0" fontId="4" fillId="0" borderId="0" xfId="0" applyFont="1" applyFill="1" applyBorder="1" applyAlignment="1">
      <alignment horizontal="centerContinuous"/>
    </xf>
    <xf numFmtId="0" fontId="6" fillId="0" borderId="0" xfId="0" applyNumberFormat="1" applyFont="1" applyFill="1" applyAlignment="1" applyProtection="1">
      <alignment horizontal="left"/>
      <protection locked="0"/>
    </xf>
    <xf numFmtId="0" fontId="55" fillId="0" borderId="0" xfId="0" applyFont="1" applyFill="1" applyAlignment="1">
      <alignment horizontal="centerContinuous"/>
    </xf>
    <xf numFmtId="0" fontId="55" fillId="0" borderId="0" xfId="0" applyFont="1" applyFill="1" applyAlignment="1">
      <alignment horizontal="left"/>
    </xf>
    <xf numFmtId="0" fontId="7" fillId="0" borderId="0" xfId="0" applyNumberFormat="1" applyFont="1" applyFill="1" applyBorder="1" applyAlignment="1" applyProtection="1">
      <alignment horizontal="centerContinuous"/>
      <protection locked="0"/>
    </xf>
    <xf numFmtId="0" fontId="55" fillId="0" borderId="0" xfId="0" applyFont="1" applyFill="1" applyBorder="1" applyAlignment="1">
      <alignment horizontal="centerContinuous"/>
    </xf>
    <xf numFmtId="0" fontId="55" fillId="0" borderId="0" xfId="0" applyFont="1" applyFill="1" applyBorder="1" applyAlignment="1">
      <alignment horizontal="left"/>
    </xf>
    <xf numFmtId="0" fontId="7" fillId="0" borderId="0" xfId="0" applyNumberFormat="1" applyFont="1" applyFill="1" applyAlignment="1">
      <alignment horizontal="centerContinuous"/>
    </xf>
    <xf numFmtId="0" fontId="55" fillId="0" borderId="0" xfId="0" applyFont="1" applyFill="1"/>
    <xf numFmtId="0" fontId="5" fillId="0" borderId="0" xfId="0" applyFont="1" applyAlignment="1">
      <alignment horizontal="centerContinuous"/>
    </xf>
    <xf numFmtId="0" fontId="5" fillId="0" borderId="0" xfId="0" applyFont="1" applyAlignment="1">
      <alignment horizontal="left"/>
    </xf>
    <xf numFmtId="0" fontId="5" fillId="0" borderId="0" xfId="0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Continuous"/>
    </xf>
    <xf numFmtId="17" fontId="6" fillId="0" borderId="0" xfId="0" applyNumberFormat="1" applyFont="1" applyFill="1" applyBorder="1" applyAlignment="1">
      <alignment horizontal="center"/>
    </xf>
    <xf numFmtId="0" fontId="6" fillId="0" borderId="0" xfId="0" quotePrefix="1" applyFont="1" applyFill="1" applyBorder="1" applyAlignment="1">
      <alignment horizontal="center"/>
    </xf>
    <xf numFmtId="164" fontId="6" fillId="0" borderId="0" xfId="0" applyNumberFormat="1" applyFont="1" applyFill="1" applyAlignment="1" applyProtection="1">
      <alignment horizontal="centerContinuous"/>
      <protection locked="0"/>
    </xf>
    <xf numFmtId="0" fontId="6" fillId="0" borderId="0" xfId="0" applyFont="1" applyFill="1" applyBorder="1"/>
    <xf numFmtId="164" fontId="6" fillId="0" borderId="0" xfId="0" applyNumberFormat="1" applyFont="1" applyFill="1" applyAlignment="1">
      <alignment horizontal="left"/>
    </xf>
    <xf numFmtId="164" fontId="6" fillId="0" borderId="0" xfId="0" applyNumberFormat="1" applyFont="1" applyFill="1" applyAlignment="1" applyProtection="1">
      <alignment horizontal="left"/>
      <protection locked="0"/>
    </xf>
    <xf numFmtId="164" fontId="6" fillId="0" borderId="0" xfId="0" applyNumberFormat="1" applyFont="1" applyFill="1" applyAlignment="1">
      <alignment horizontal="center"/>
    </xf>
    <xf numFmtId="0" fontId="6" fillId="0" borderId="0" xfId="0" quotePrefix="1" applyNumberFormat="1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left"/>
    </xf>
    <xf numFmtId="0" fontId="45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57" fillId="0" borderId="0" xfId="0" applyNumberFormat="1" applyFont="1" applyFill="1" applyAlignment="1">
      <alignment horizontal="left"/>
    </xf>
    <xf numFmtId="0" fontId="58" fillId="0" borderId="0" xfId="0" applyFont="1" applyFill="1" applyBorder="1" applyAlignment="1">
      <alignment horizontal="center"/>
    </xf>
    <xf numFmtId="0" fontId="59" fillId="0" borderId="0" xfId="0" applyFont="1" applyFill="1" applyBorder="1" applyAlignment="1">
      <alignment horizontal="center"/>
    </xf>
    <xf numFmtId="42" fontId="14" fillId="0" borderId="0" xfId="0" applyNumberFormat="1" applyFont="1" applyFill="1" applyBorder="1" applyAlignment="1"/>
    <xf numFmtId="0" fontId="14" fillId="0" borderId="0" xfId="0" applyFont="1" applyFill="1" applyAlignment="1">
      <alignment horizontal="left" wrapText="1"/>
    </xf>
    <xf numFmtId="42" fontId="14" fillId="0" borderId="0" xfId="0" applyNumberFormat="1" applyFont="1" applyFill="1" applyBorder="1"/>
    <xf numFmtId="0" fontId="9" fillId="0" borderId="0" xfId="0" applyFont="1" applyAlignment="1">
      <alignment horizontal="left"/>
    </xf>
    <xf numFmtId="0" fontId="53" fillId="0" borderId="0" xfId="0" applyFont="1" applyFill="1" applyAlignment="1">
      <alignment horizontal="left"/>
    </xf>
    <xf numFmtId="0" fontId="60" fillId="0" borderId="0" xfId="0" applyFont="1" applyFill="1" applyBorder="1" applyAlignment="1">
      <alignment horizontal="left"/>
    </xf>
    <xf numFmtId="0" fontId="61" fillId="0" borderId="0" xfId="0" applyFont="1" applyFill="1" applyBorder="1"/>
    <xf numFmtId="0" fontId="9" fillId="0" borderId="0" xfId="0" applyNumberFormat="1" applyFont="1" applyFill="1" applyAlignment="1" applyProtection="1">
      <alignment horizontal="fill"/>
      <protection locked="0"/>
    </xf>
    <xf numFmtId="168" fontId="4" fillId="0" borderId="0" xfId="2" applyNumberFormat="1" applyFont="1"/>
    <xf numFmtId="168" fontId="61" fillId="0" borderId="0" xfId="2" applyNumberFormat="1" applyFont="1" applyFill="1" applyBorder="1" applyAlignment="1"/>
    <xf numFmtId="0" fontId="4" fillId="0" borderId="41" xfId="0" applyFont="1" applyFill="1" applyBorder="1" applyAlignment="1">
      <alignment horizontal="center"/>
    </xf>
    <xf numFmtId="0" fontId="4" fillId="0" borderId="0" xfId="0" applyFont="1" applyFill="1" applyAlignment="1">
      <alignment horizontal="left" wrapText="1"/>
    </xf>
    <xf numFmtId="42" fontId="9" fillId="0" borderId="0" xfId="0" applyNumberFormat="1" applyFont="1" applyFill="1" applyAlignment="1">
      <alignment horizontal="left" wrapText="1"/>
    </xf>
    <xf numFmtId="42" fontId="10" fillId="0" borderId="0" xfId="0" applyNumberFormat="1" applyFont="1" applyFill="1" applyAlignment="1">
      <alignment horizontal="left" wrapText="1"/>
    </xf>
    <xf numFmtId="42" fontId="9" fillId="0" borderId="0" xfId="0" applyNumberFormat="1" applyFont="1" applyFill="1" applyBorder="1" applyAlignment="1">
      <alignment horizontal="left" wrapText="1"/>
    </xf>
    <xf numFmtId="42" fontId="4" fillId="0" borderId="0" xfId="0" applyNumberFormat="1" applyFont="1" applyFill="1" applyBorder="1" applyAlignment="1">
      <alignment horizontal="left" wrapText="1"/>
    </xf>
    <xf numFmtId="164" fontId="4" fillId="0" borderId="0" xfId="0" applyNumberFormat="1" applyFont="1" applyFill="1" applyAlignment="1">
      <alignment horizontal="left" indent="2"/>
    </xf>
    <xf numFmtId="0" fontId="9" fillId="0" borderId="0" xfId="0" applyFont="1" applyFill="1" applyAlignment="1">
      <alignment horizontal="left"/>
    </xf>
    <xf numFmtId="166" fontId="9" fillId="19" borderId="0" xfId="0" applyNumberFormat="1" applyFont="1" applyFill="1" applyBorder="1" applyAlignment="1">
      <alignment horizontal="centerContinuous"/>
    </xf>
    <xf numFmtId="168" fontId="61" fillId="0" borderId="0" xfId="2" applyNumberFormat="1" applyFont="1" applyFill="1" applyBorder="1"/>
    <xf numFmtId="168" fontId="62" fillId="0" borderId="0" xfId="0" applyNumberFormat="1" applyFont="1" applyFill="1" applyBorder="1" applyAlignment="1"/>
    <xf numFmtId="0" fontId="61" fillId="0" borderId="0" xfId="0" applyFont="1" applyFill="1" applyBorder="1" applyAlignment="1">
      <alignment horizontal="left" indent="1"/>
    </xf>
    <xf numFmtId="166" fontId="9" fillId="0" borderId="0" xfId="0" applyNumberFormat="1" applyFont="1" applyFill="1" applyAlignment="1">
      <alignment horizontal="left" wrapText="1"/>
    </xf>
    <xf numFmtId="166" fontId="10" fillId="0" borderId="0" xfId="0" applyNumberFormat="1" applyFont="1" applyFill="1" applyAlignment="1">
      <alignment horizontal="left" wrapText="1"/>
    </xf>
    <xf numFmtId="166" fontId="9" fillId="0" borderId="0" xfId="0" applyNumberFormat="1" applyFont="1" applyFill="1" applyBorder="1" applyAlignment="1">
      <alignment horizontal="left" wrapText="1"/>
    </xf>
    <xf numFmtId="166" fontId="61" fillId="0" borderId="0" xfId="5" applyNumberFormat="1" applyFont="1" applyFill="1" applyBorder="1"/>
    <xf numFmtId="42" fontId="9" fillId="0" borderId="0" xfId="0" applyNumberFormat="1" applyFont="1" applyFill="1" applyBorder="1" applyAlignment="1"/>
    <xf numFmtId="175" fontId="6" fillId="0" borderId="0" xfId="0" applyNumberFormat="1" applyFont="1" applyFill="1" applyAlignment="1" applyProtection="1">
      <alignment horizontal="left"/>
    </xf>
    <xf numFmtId="168" fontId="60" fillId="0" borderId="3" xfId="2" applyNumberFormat="1" applyFont="1" applyFill="1" applyBorder="1" applyAlignment="1"/>
    <xf numFmtId="0" fontId="4" fillId="0" borderId="0" xfId="0" applyFont="1" applyFill="1" applyBorder="1" applyAlignment="1" applyProtection="1">
      <alignment horizontal="left"/>
      <protection locked="0"/>
    </xf>
    <xf numFmtId="41" fontId="4" fillId="0" borderId="0" xfId="0" applyNumberFormat="1" applyFont="1" applyFill="1" applyBorder="1" applyAlignment="1" applyProtection="1">
      <protection locked="0"/>
    </xf>
    <xf numFmtId="0" fontId="60" fillId="0" borderId="0" xfId="0" applyFont="1" applyFill="1" applyBorder="1"/>
    <xf numFmtId="168" fontId="60" fillId="0" borderId="0" xfId="2" applyNumberFormat="1" applyFont="1" applyFill="1" applyBorder="1" applyAlignment="1"/>
    <xf numFmtId="5" fontId="9" fillId="0" borderId="0" xfId="0" applyNumberFormat="1" applyFont="1" applyFill="1" applyBorder="1" applyAlignment="1"/>
    <xf numFmtId="166" fontId="9" fillId="0" borderId="0" xfId="1" applyNumberFormat="1" applyFont="1" applyFill="1"/>
    <xf numFmtId="168" fontId="4" fillId="0" borderId="3" xfId="0" quotePrefix="1" applyNumberFormat="1" applyFont="1" applyFill="1" applyBorder="1" applyAlignment="1">
      <alignment horizontal="left"/>
    </xf>
    <xf numFmtId="0" fontId="4" fillId="0" borderId="0" xfId="0" applyFont="1" applyFill="1" applyAlignment="1" applyProtection="1">
      <alignment horizontal="left"/>
      <protection locked="0"/>
    </xf>
    <xf numFmtId="41" fontId="4" fillId="0" borderId="6" xfId="0" applyNumberFormat="1" applyFont="1" applyFill="1" applyBorder="1" applyAlignment="1" applyProtection="1">
      <alignment horizontal="right"/>
      <protection locked="0"/>
    </xf>
    <xf numFmtId="168" fontId="60" fillId="0" borderId="6" xfId="2" applyNumberFormat="1" applyFont="1" applyFill="1" applyBorder="1" applyAlignment="1"/>
    <xf numFmtId="168" fontId="63" fillId="0" borderId="3" xfId="2" applyNumberFormat="1" applyFont="1" applyFill="1" applyBorder="1" applyAlignment="1"/>
    <xf numFmtId="42" fontId="9" fillId="0" borderId="0" xfId="0" applyNumberFormat="1" applyFont="1" applyFill="1" applyBorder="1" applyAlignment="1">
      <alignment horizontal="center"/>
    </xf>
    <xf numFmtId="166" fontId="14" fillId="0" borderId="0" xfId="1" applyNumberFormat="1" applyFont="1"/>
    <xf numFmtId="37" fontId="64" fillId="0" borderId="0" xfId="0" applyNumberFormat="1" applyFont="1" applyFill="1" applyBorder="1"/>
    <xf numFmtId="168" fontId="65" fillId="0" borderId="0" xfId="0" applyNumberFormat="1" applyFont="1" applyFill="1" applyBorder="1"/>
    <xf numFmtId="168" fontId="61" fillId="0" borderId="6" xfId="2" applyNumberFormat="1" applyFont="1" applyFill="1" applyBorder="1" applyAlignment="1"/>
    <xf numFmtId="166" fontId="61" fillId="0" borderId="0" xfId="1" applyNumberFormat="1" applyFont="1" applyFill="1" applyBorder="1" applyAlignment="1"/>
    <xf numFmtId="166" fontId="9" fillId="0" borderId="3" xfId="1" applyNumberFormat="1" applyFont="1" applyFill="1" applyBorder="1" applyAlignment="1"/>
    <xf numFmtId="41" fontId="66" fillId="0" borderId="0" xfId="0" applyNumberFormat="1" applyFont="1" applyFill="1" applyBorder="1"/>
    <xf numFmtId="41" fontId="9" fillId="0" borderId="3" xfId="0" applyNumberFormat="1" applyFont="1" applyFill="1" applyBorder="1" applyAlignment="1">
      <alignment horizontal="center"/>
    </xf>
    <xf numFmtId="166" fontId="66" fillId="0" borderId="0" xfId="1" applyNumberFormat="1" applyFont="1" applyFill="1" applyBorder="1" applyAlignment="1"/>
    <xf numFmtId="164" fontId="4" fillId="0" borderId="0" xfId="0" applyNumberFormat="1" applyFont="1" applyFill="1" applyAlignment="1">
      <alignment horizontal="left" indent="1"/>
    </xf>
    <xf numFmtId="166" fontId="61" fillId="0" borderId="4" xfId="1" applyNumberFormat="1" applyFont="1" applyFill="1" applyBorder="1" applyAlignment="1"/>
    <xf numFmtId="166" fontId="61" fillId="0" borderId="4" xfId="5" applyNumberFormat="1" applyFont="1" applyFill="1" applyBorder="1"/>
    <xf numFmtId="168" fontId="60" fillId="0" borderId="4" xfId="2" applyNumberFormat="1" applyFont="1" applyFill="1" applyBorder="1" applyAlignment="1"/>
    <xf numFmtId="168" fontId="10" fillId="0" borderId="0" xfId="2" applyNumberFormat="1" applyFont="1" applyFill="1" applyBorder="1" applyAlignment="1"/>
    <xf numFmtId="166" fontId="39" fillId="0" borderId="0" xfId="0" applyNumberFormat="1" applyFont="1" applyFill="1" applyBorder="1" applyAlignment="1"/>
    <xf numFmtId="166" fontId="39" fillId="0" borderId="6" xfId="0" applyNumberFormat="1" applyFont="1" applyFill="1" applyBorder="1" applyAlignment="1"/>
    <xf numFmtId="166" fontId="34" fillId="0" borderId="6" xfId="0" applyNumberFormat="1" applyFont="1" applyFill="1" applyBorder="1" applyAlignment="1"/>
    <xf numFmtId="41" fontId="9" fillId="0" borderId="0" xfId="0" applyNumberFormat="1" applyFont="1" applyFill="1" applyBorder="1" applyAlignment="1">
      <alignment horizontal="center"/>
    </xf>
    <xf numFmtId="9" fontId="4" fillId="0" borderId="0" xfId="0" quotePrefix="1" applyNumberFormat="1" applyFont="1" applyFill="1" applyBorder="1" applyAlignment="1">
      <alignment horizontal="left"/>
    </xf>
    <xf numFmtId="0" fontId="4" fillId="0" borderId="6" xfId="0" applyNumberFormat="1" applyFont="1" applyFill="1" applyBorder="1" applyAlignment="1"/>
    <xf numFmtId="41" fontId="9" fillId="0" borderId="13" xfId="0" applyNumberFormat="1" applyFont="1" applyFill="1" applyBorder="1" applyAlignment="1"/>
    <xf numFmtId="0" fontId="9" fillId="0" borderId="0" xfId="0" applyNumberFormat="1" applyFont="1" applyFill="1" applyAlignment="1">
      <alignment horizontal="center"/>
    </xf>
    <xf numFmtId="0" fontId="9" fillId="0" borderId="3" xfId="0" applyFont="1" applyFill="1" applyBorder="1" applyAlignment="1">
      <alignment horizontal="left"/>
    </xf>
    <xf numFmtId="168" fontId="61" fillId="0" borderId="0" xfId="2" applyNumberFormat="1" applyFont="1" applyFill="1" applyBorder="1" applyAlignment="1">
      <alignment horizontal="center"/>
    </xf>
    <xf numFmtId="184" fontId="4" fillId="0" borderId="0" xfId="0" applyNumberFormat="1" applyFont="1" applyFill="1" applyBorder="1" applyAlignment="1">
      <alignment horizontal="left"/>
    </xf>
    <xf numFmtId="41" fontId="61" fillId="0" borderId="0" xfId="2" applyNumberFormat="1" applyFont="1" applyFill="1" applyBorder="1" applyAlignment="1"/>
    <xf numFmtId="0" fontId="67" fillId="0" borderId="0" xfId="0" applyFont="1" applyFill="1" applyAlignment="1">
      <alignment horizontal="left"/>
    </xf>
    <xf numFmtId="168" fontId="60" fillId="0" borderId="11" xfId="2" applyNumberFormat="1" applyFont="1" applyFill="1" applyBorder="1"/>
    <xf numFmtId="42" fontId="45" fillId="0" borderId="0" xfId="0" applyNumberFormat="1" applyFont="1" applyFill="1" applyBorder="1" applyAlignment="1"/>
    <xf numFmtId="0" fontId="9" fillId="0" borderId="0" xfId="0" applyNumberFormat="1" applyFont="1" applyFill="1" applyBorder="1" applyAlignment="1"/>
    <xf numFmtId="43" fontId="9" fillId="0" borderId="0" xfId="0" applyNumberFormat="1" applyFont="1" applyFill="1" applyBorder="1" applyAlignment="1"/>
    <xf numFmtId="0" fontId="22" fillId="0" borderId="0" xfId="0" applyFont="1" applyFill="1" applyAlignment="1">
      <alignment horizontal="left"/>
    </xf>
    <xf numFmtId="0" fontId="22" fillId="0" borderId="0" xfId="0" applyFont="1" applyFill="1"/>
    <xf numFmtId="0" fontId="62" fillId="0" borderId="0" xfId="0" applyFont="1" applyFill="1" applyAlignment="1">
      <alignment horizontal="left" indent="1"/>
    </xf>
    <xf numFmtId="37" fontId="22" fillId="0" borderId="0" xfId="0" applyNumberFormat="1" applyFont="1" applyFill="1" applyAlignment="1"/>
    <xf numFmtId="166" fontId="22" fillId="19" borderId="0" xfId="0" applyNumberFormat="1" applyFont="1" applyFill="1" applyBorder="1" applyAlignment="1">
      <alignment horizontal="centerContinuous"/>
    </xf>
    <xf numFmtId="41" fontId="22" fillId="0" borderId="0" xfId="0" applyNumberFormat="1" applyFont="1" applyFill="1" applyBorder="1"/>
    <xf numFmtId="166" fontId="22" fillId="0" borderId="0" xfId="0" applyNumberFormat="1" applyFont="1" applyFill="1" applyAlignment="1"/>
    <xf numFmtId="166" fontId="39" fillId="0" borderId="0" xfId="0" applyNumberFormat="1" applyFont="1" applyFill="1" applyAlignment="1"/>
    <xf numFmtId="168" fontId="10" fillId="0" borderId="11" xfId="2" applyNumberFormat="1" applyFont="1" applyFill="1" applyBorder="1"/>
    <xf numFmtId="168" fontId="45" fillId="0" borderId="11" xfId="2" applyNumberFormat="1" applyFont="1" applyFill="1" applyBorder="1"/>
    <xf numFmtId="166" fontId="9" fillId="0" borderId="6" xfId="0" applyNumberFormat="1" applyFont="1" applyFill="1" applyBorder="1" applyAlignment="1"/>
    <xf numFmtId="166" fontId="10" fillId="0" borderId="6" xfId="0" applyNumberFormat="1" applyFont="1" applyFill="1" applyBorder="1" applyAlignment="1"/>
    <xf numFmtId="0" fontId="22" fillId="0" borderId="3" xfId="0" applyFont="1" applyFill="1" applyBorder="1" applyAlignment="1">
      <alignment horizontal="left"/>
    </xf>
    <xf numFmtId="41" fontId="22" fillId="0" borderId="11" xfId="0" applyNumberFormat="1" applyFont="1" applyFill="1" applyBorder="1" applyAlignment="1"/>
    <xf numFmtId="166" fontId="22" fillId="0" borderId="11" xfId="0" applyNumberFormat="1" applyFont="1" applyFill="1" applyBorder="1" applyAlignment="1"/>
    <xf numFmtId="41" fontId="14" fillId="0" borderId="11" xfId="0" applyNumberFormat="1" applyFont="1" applyFill="1" applyBorder="1" applyAlignment="1"/>
    <xf numFmtId="0" fontId="12" fillId="0" borderId="0" xfId="0" applyFont="1" applyFill="1" applyAlignment="1">
      <alignment horizontal="right"/>
    </xf>
    <xf numFmtId="10" fontId="9" fillId="0" borderId="0" xfId="0" applyNumberFormat="1" applyFont="1" applyFill="1" applyAlignment="1">
      <alignment horizontal="right"/>
    </xf>
    <xf numFmtId="41" fontId="21" fillId="0" borderId="0" xfId="0" applyNumberFormat="1" applyFont="1" applyFill="1" applyBorder="1" applyAlignment="1"/>
    <xf numFmtId="0" fontId="9" fillId="0" borderId="0" xfId="0" applyFont="1" applyFill="1" applyAlignment="1">
      <alignment horizontal="right" indent="1"/>
    </xf>
    <xf numFmtId="0" fontId="11" fillId="0" borderId="0" xfId="0" applyFont="1" applyFill="1" applyAlignment="1">
      <alignment horizontal="right"/>
    </xf>
    <xf numFmtId="41" fontId="11" fillId="0" borderId="0" xfId="0" applyNumberFormat="1" applyFont="1" applyFill="1"/>
    <xf numFmtId="41" fontId="68" fillId="0" borderId="0" xfId="2" applyNumberFormat="1" applyFont="1" applyFill="1" applyBorder="1" applyAlignment="1"/>
    <xf numFmtId="168" fontId="69" fillId="0" borderId="0" xfId="2" applyNumberFormat="1" applyFont="1" applyFill="1" applyBorder="1" applyAlignment="1"/>
    <xf numFmtId="0" fontId="0" fillId="0" borderId="0" xfId="0" applyBorder="1"/>
    <xf numFmtId="41" fontId="9" fillId="0" borderId="4" xfId="0" applyNumberFormat="1" applyFont="1" applyFill="1" applyBorder="1" applyAlignment="1" applyProtection="1">
      <protection locked="0"/>
    </xf>
    <xf numFmtId="41" fontId="9" fillId="0" borderId="0" xfId="0" applyNumberFormat="1" applyFont="1" applyFill="1" applyBorder="1" applyAlignment="1" applyProtection="1">
      <protection locked="0"/>
    </xf>
    <xf numFmtId="166" fontId="4" fillId="0" borderId="0" xfId="0" applyNumberFormat="1" applyFont="1" applyFill="1" applyBorder="1" applyAlignment="1">
      <alignment horizontal="centerContinuous"/>
    </xf>
    <xf numFmtId="0" fontId="43" fillId="0" borderId="0" xfId="0" applyFont="1" applyFill="1" applyBorder="1" applyAlignment="1">
      <alignment horizontal="left"/>
    </xf>
    <xf numFmtId="166" fontId="42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41" fontId="61" fillId="0" borderId="0" xfId="2" applyNumberFormat="1" applyFont="1" applyFill="1" applyBorder="1"/>
    <xf numFmtId="41" fontId="61" fillId="0" borderId="4" xfId="2" applyNumberFormat="1" applyFont="1" applyFill="1" applyBorder="1"/>
    <xf numFmtId="9" fontId="9" fillId="0" borderId="0" xfId="0" applyNumberFormat="1" applyFont="1" applyFill="1" applyBorder="1" applyAlignment="1">
      <alignment horizontal="center"/>
    </xf>
    <xf numFmtId="166" fontId="10" fillId="0" borderId="0" xfId="5" applyNumberFormat="1" applyFont="1" applyFill="1" applyBorder="1"/>
    <xf numFmtId="166" fontId="66" fillId="0" borderId="0" xfId="5" applyNumberFormat="1" applyFont="1" applyFill="1" applyBorder="1"/>
    <xf numFmtId="41" fontId="66" fillId="0" borderId="0" xfId="2" applyNumberFormat="1" applyFont="1" applyFill="1" applyBorder="1"/>
    <xf numFmtId="168" fontId="63" fillId="0" borderId="0" xfId="2" applyNumberFormat="1" applyFont="1" applyFill="1" applyBorder="1" applyAlignment="1"/>
    <xf numFmtId="9" fontId="61" fillId="0" borderId="0" xfId="6" applyFont="1" applyFill="1" applyBorder="1"/>
    <xf numFmtId="166" fontId="66" fillId="0" borderId="0" xfId="1" applyNumberFormat="1" applyFont="1" applyFill="1" applyBorder="1"/>
    <xf numFmtId="168" fontId="68" fillId="0" borderId="0" xfId="2" applyNumberFormat="1" applyFont="1" applyFill="1" applyBorder="1" applyAlignment="1"/>
    <xf numFmtId="0" fontId="60" fillId="0" borderId="0" xfId="0" applyFont="1" applyFill="1" applyBorder="1" applyAlignment="1"/>
    <xf numFmtId="168" fontId="10" fillId="0" borderId="3" xfId="2" applyNumberFormat="1" applyFont="1" applyFill="1" applyBorder="1"/>
    <xf numFmtId="168" fontId="60" fillId="0" borderId="3" xfId="2" applyNumberFormat="1" applyFont="1" applyFill="1" applyBorder="1"/>
    <xf numFmtId="166" fontId="68" fillId="0" borderId="0" xfId="5" applyNumberFormat="1" applyFont="1" applyFill="1" applyBorder="1"/>
    <xf numFmtId="42" fontId="0" fillId="0" borderId="0" xfId="0" applyNumberFormat="1"/>
    <xf numFmtId="168" fontId="63" fillId="0" borderId="11" xfId="2" applyNumberFormat="1" applyFont="1" applyFill="1" applyBorder="1"/>
    <xf numFmtId="168" fontId="0" fillId="0" borderId="0" xfId="0" applyNumberFormat="1" applyFont="1" applyFill="1"/>
    <xf numFmtId="168" fontId="3" fillId="0" borderId="0" xfId="0" applyNumberFormat="1" applyFont="1" applyFill="1"/>
    <xf numFmtId="168" fontId="69" fillId="0" borderId="0" xfId="2" applyNumberFormat="1" applyFont="1" applyFill="1" applyBorder="1"/>
    <xf numFmtId="168" fontId="60" fillId="4" borderId="3" xfId="2" applyNumberFormat="1" applyFont="1" applyFill="1" applyBorder="1" applyAlignment="1"/>
    <xf numFmtId="42" fontId="61" fillId="0" borderId="0" xfId="2" applyNumberFormat="1" applyFont="1" applyFill="1" applyBorder="1"/>
    <xf numFmtId="168" fontId="60" fillId="4" borderId="0" xfId="2" applyNumberFormat="1" applyFont="1" applyFill="1" applyBorder="1" applyAlignment="1"/>
    <xf numFmtId="168" fontId="61" fillId="4" borderId="0" xfId="2" applyNumberFormat="1" applyFont="1" applyFill="1" applyBorder="1" applyAlignment="1"/>
    <xf numFmtId="0" fontId="4" fillId="0" borderId="0" xfId="0" quotePrefix="1" applyNumberFormat="1" applyFont="1" applyFill="1" applyAlignment="1">
      <alignment horizontal="left" indent="1"/>
    </xf>
    <xf numFmtId="166" fontId="61" fillId="4" borderId="0" xfId="5" applyNumberFormat="1" applyFont="1" applyFill="1" applyBorder="1"/>
    <xf numFmtId="166" fontId="9" fillId="0" borderId="11" xfId="0" applyNumberFormat="1" applyFont="1" applyFill="1" applyBorder="1" applyAlignment="1">
      <alignment horizontal="left" wrapText="1"/>
    </xf>
    <xf numFmtId="3" fontId="4" fillId="0" borderId="0" xfId="0" applyNumberFormat="1" applyFont="1" applyFill="1" applyBorder="1"/>
    <xf numFmtId="37" fontId="4" fillId="0" borderId="4" xfId="0" applyNumberFormat="1" applyFont="1" applyFill="1" applyBorder="1"/>
    <xf numFmtId="37" fontId="55" fillId="0" borderId="0" xfId="0" applyNumberFormat="1" applyFont="1" applyFill="1" applyAlignment="1"/>
    <xf numFmtId="0" fontId="51" fillId="0" borderId="0" xfId="0" applyNumberFormat="1" applyFont="1" applyFill="1" applyAlignment="1"/>
    <xf numFmtId="168" fontId="63" fillId="0" borderId="3" xfId="2" applyNumberFormat="1" applyFont="1" applyFill="1" applyBorder="1"/>
    <xf numFmtId="37" fontId="55" fillId="0" borderId="0" xfId="0" applyNumberFormat="1" applyFont="1" applyFill="1" applyAlignment="1">
      <alignment horizontal="left" indent="2"/>
    </xf>
    <xf numFmtId="0" fontId="69" fillId="0" borderId="0" xfId="0" applyFont="1" applyFill="1" applyBorder="1" applyAlignment="1">
      <alignment horizontal="left" indent="1"/>
    </xf>
    <xf numFmtId="41" fontId="10" fillId="0" borderId="0" xfId="2" applyNumberFormat="1" applyFont="1" applyFill="1" applyBorder="1"/>
    <xf numFmtId="168" fontId="60" fillId="4" borderId="11" xfId="2" applyNumberFormat="1" applyFont="1" applyFill="1" applyBorder="1"/>
    <xf numFmtId="9" fontId="69" fillId="0" borderId="0" xfId="6" applyFont="1" applyFill="1" applyBorder="1"/>
    <xf numFmtId="168" fontId="60" fillId="4" borderId="3" xfId="2" applyNumberFormat="1" applyFont="1" applyFill="1" applyBorder="1"/>
    <xf numFmtId="168" fontId="60" fillId="6" borderId="3" xfId="2" applyNumberFormat="1" applyFont="1" applyFill="1" applyBorder="1" applyAlignment="1"/>
    <xf numFmtId="168" fontId="60" fillId="6" borderId="0" xfId="2" applyNumberFormat="1" applyFont="1" applyFill="1" applyBorder="1" applyAlignment="1"/>
    <xf numFmtId="168" fontId="61" fillId="6" borderId="0" xfId="2" applyNumberFormat="1" applyFont="1" applyFill="1" applyBorder="1" applyAlignment="1"/>
    <xf numFmtId="166" fontId="61" fillId="6" borderId="0" xfId="5" applyNumberFormat="1" applyFont="1" applyFill="1" applyBorder="1"/>
    <xf numFmtId="41" fontId="61" fillId="4" borderId="0" xfId="2" applyNumberFormat="1" applyFont="1" applyFill="1" applyBorder="1" applyAlignment="1"/>
    <xf numFmtId="168" fontId="60" fillId="6" borderId="11" xfId="2" applyNumberFormat="1" applyFont="1" applyFill="1" applyBorder="1"/>
    <xf numFmtId="0" fontId="4" fillId="3" borderId="0" xfId="0" applyFont="1" applyFill="1"/>
    <xf numFmtId="0" fontId="0" fillId="3" borderId="0" xfId="0" applyFont="1" applyFill="1"/>
    <xf numFmtId="168" fontId="60" fillId="6" borderId="3" xfId="2" applyNumberFormat="1" applyFont="1" applyFill="1" applyBorder="1"/>
    <xf numFmtId="41" fontId="61" fillId="6" borderId="0" xfId="2" applyNumberFormat="1" applyFont="1" applyFill="1" applyBorder="1" applyAlignment="1"/>
    <xf numFmtId="0" fontId="0" fillId="5" borderId="0" xfId="0" applyFont="1" applyFill="1"/>
    <xf numFmtId="0" fontId="4" fillId="5" borderId="0" xfId="0" applyFont="1" applyFill="1"/>
    <xf numFmtId="0" fontId="3" fillId="0" borderId="0" xfId="0" applyFont="1" applyFill="1"/>
    <xf numFmtId="0" fontId="3" fillId="0" borderId="5" xfId="0" applyFont="1" applyFill="1" applyBorder="1"/>
    <xf numFmtId="0" fontId="0" fillId="0" borderId="7" xfId="0" applyFill="1" applyBorder="1"/>
    <xf numFmtId="0" fontId="3" fillId="0" borderId="5" xfId="0" applyFont="1" applyFill="1" applyBorder="1" applyAlignment="1">
      <alignment horizontal="centerContinuous"/>
    </xf>
    <xf numFmtId="0" fontId="3" fillId="0" borderId="6" xfId="0" applyFont="1" applyFill="1" applyBorder="1" applyAlignment="1">
      <alignment horizontal="centerContinuous"/>
    </xf>
    <xf numFmtId="0" fontId="70" fillId="0" borderId="5" xfId="0" applyFont="1" applyFill="1" applyBorder="1" applyAlignment="1">
      <alignment horizontal="centerContinuous"/>
    </xf>
    <xf numFmtId="0" fontId="70" fillId="0" borderId="7" xfId="0" applyFont="1" applyFill="1" applyBorder="1" applyAlignment="1">
      <alignment horizontal="centerContinuous"/>
    </xf>
    <xf numFmtId="0" fontId="3" fillId="0" borderId="8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0" fillId="0" borderId="8" xfId="0" applyFill="1" applyBorder="1"/>
    <xf numFmtId="0" fontId="0" fillId="0" borderId="9" xfId="0" applyFill="1" applyBorder="1"/>
    <xf numFmtId="168" fontId="0" fillId="0" borderId="8" xfId="0" applyNumberFormat="1" applyFill="1" applyBorder="1"/>
    <xf numFmtId="168" fontId="71" fillId="0" borderId="0" xfId="0" applyNumberFormat="1" applyFont="1" applyFill="1" applyBorder="1"/>
    <xf numFmtId="168" fontId="71" fillId="0" borderId="9" xfId="0" applyNumberFormat="1" applyFont="1" applyFill="1" applyBorder="1"/>
    <xf numFmtId="168" fontId="0" fillId="0" borderId="0" xfId="0" applyNumberFormat="1" applyFill="1" applyBorder="1"/>
    <xf numFmtId="168" fontId="0" fillId="0" borderId="9" xfId="0" applyNumberFormat="1" applyFill="1" applyBorder="1"/>
    <xf numFmtId="2" fontId="0" fillId="0" borderId="8" xfId="0" applyNumberFormat="1" applyFill="1" applyBorder="1" applyAlignment="1">
      <alignment horizontal="center"/>
    </xf>
    <xf numFmtId="166" fontId="71" fillId="0" borderId="8" xfId="0" applyNumberFormat="1" applyFont="1" applyFill="1" applyBorder="1"/>
    <xf numFmtId="166" fontId="71" fillId="0" borderId="0" xfId="0" applyNumberFormat="1" applyFont="1" applyFill="1" applyBorder="1"/>
    <xf numFmtId="166" fontId="71" fillId="0" borderId="9" xfId="0" applyNumberFormat="1" applyFont="1" applyFill="1" applyBorder="1"/>
    <xf numFmtId="166" fontId="0" fillId="0" borderId="8" xfId="0" applyNumberFormat="1" applyFont="1" applyFill="1" applyBorder="1"/>
    <xf numFmtId="166" fontId="0" fillId="0" borderId="0" xfId="0" applyNumberFormat="1" applyFont="1" applyFill="1" applyBorder="1"/>
    <xf numFmtId="166" fontId="0" fillId="0" borderId="9" xfId="0" applyNumberFormat="1" applyFont="1" applyFill="1" applyBorder="1"/>
    <xf numFmtId="166" fontId="71" fillId="0" borderId="22" xfId="0" applyNumberFormat="1" applyFont="1" applyFill="1" applyBorder="1"/>
    <xf numFmtId="166" fontId="0" fillId="0" borderId="22" xfId="0" applyNumberFormat="1" applyFont="1" applyFill="1" applyBorder="1"/>
    <xf numFmtId="0" fontId="0" fillId="0" borderId="10" xfId="0" applyFill="1" applyBorder="1"/>
    <xf numFmtId="0" fontId="0" fillId="0" borderId="22" xfId="0" applyFill="1" applyBorder="1"/>
    <xf numFmtId="168" fontId="71" fillId="0" borderId="49" xfId="0" applyNumberFormat="1" applyFont="1" applyFill="1" applyBorder="1"/>
    <xf numFmtId="168" fontId="18" fillId="0" borderId="49" xfId="0" applyNumberFormat="1" applyFont="1" applyFill="1" applyBorder="1"/>
    <xf numFmtId="0" fontId="72" fillId="0" borderId="0" xfId="0" applyFont="1" applyFill="1" applyAlignment="1">
      <alignment horizontal="right"/>
    </xf>
    <xf numFmtId="1" fontId="72" fillId="0" borderId="0" xfId="0" applyNumberFormat="1" applyFont="1" applyFill="1"/>
    <xf numFmtId="0" fontId="0" fillId="0" borderId="5" xfId="0" applyFill="1" applyBorder="1"/>
    <xf numFmtId="0" fontId="0" fillId="0" borderId="6" xfId="0" applyFill="1" applyBorder="1"/>
    <xf numFmtId="0" fontId="3" fillId="0" borderId="7" xfId="0" applyFont="1" applyFill="1" applyBorder="1" applyAlignment="1">
      <alignment horizontal="centerContinuous"/>
    </xf>
    <xf numFmtId="168" fontId="71" fillId="0" borderId="8" xfId="0" applyNumberFormat="1" applyFont="1" applyFill="1" applyBorder="1"/>
    <xf numFmtId="2" fontId="0" fillId="0" borderId="8" xfId="0" applyNumberFormat="1" applyFill="1" applyBorder="1"/>
    <xf numFmtId="166" fontId="0" fillId="0" borderId="10" xfId="0" applyNumberFormat="1" applyFont="1" applyFill="1" applyBorder="1"/>
    <xf numFmtId="41" fontId="71" fillId="0" borderId="8" xfId="0" applyNumberFormat="1" applyFont="1" applyFill="1" applyBorder="1"/>
    <xf numFmtId="41" fontId="71" fillId="0" borderId="9" xfId="0" applyNumberFormat="1" applyFont="1" applyFill="1" applyBorder="1"/>
    <xf numFmtId="0" fontId="0" fillId="0" borderId="4" xfId="0" applyFill="1" applyBorder="1"/>
    <xf numFmtId="168" fontId="71" fillId="0" borderId="1" xfId="0" applyNumberFormat="1" applyFont="1" applyFill="1" applyBorder="1"/>
    <xf numFmtId="168" fontId="71" fillId="0" borderId="2" xfId="0" applyNumberFormat="1" applyFont="1" applyFill="1" applyBorder="1"/>
    <xf numFmtId="10" fontId="6" fillId="0" borderId="7" xfId="0" applyNumberFormat="1" applyFont="1" applyFill="1" applyBorder="1"/>
    <xf numFmtId="164" fontId="10" fillId="0" borderId="0" xfId="0" applyNumberFormat="1" applyFont="1" applyFill="1" applyBorder="1" applyAlignment="1"/>
    <xf numFmtId="165" fontId="10" fillId="0" borderId="0" xfId="0" applyNumberFormat="1" applyFont="1" applyFill="1" applyAlignment="1"/>
    <xf numFmtId="0" fontId="6" fillId="0" borderId="0" xfId="0" applyNumberFormat="1" applyFont="1" applyFill="1" applyBorder="1" applyAlignment="1">
      <alignment horizontal="left" indent="1"/>
    </xf>
    <xf numFmtId="0" fontId="9" fillId="0" borderId="0" xfId="0" applyNumberFormat="1" applyFont="1" applyFill="1" applyBorder="1" applyAlignment="1">
      <alignment horizontal="left" indent="2"/>
    </xf>
    <xf numFmtId="42" fontId="4" fillId="0" borderId="0" xfId="0" applyNumberFormat="1" applyFont="1" applyFill="1" applyBorder="1" applyAlignment="1">
      <alignment vertical="center"/>
    </xf>
    <xf numFmtId="42" fontId="4" fillId="0" borderId="0" xfId="0" applyNumberFormat="1" applyFont="1" applyFill="1" applyBorder="1" applyAlignment="1">
      <alignment vertical="center" wrapText="1"/>
    </xf>
    <xf numFmtId="42" fontId="4" fillId="0" borderId="0" xfId="0" applyNumberFormat="1" applyFont="1" applyFill="1" applyBorder="1" applyAlignment="1">
      <alignment horizontal="center" vertical="center"/>
    </xf>
    <xf numFmtId="168" fontId="4" fillId="0" borderId="0" xfId="2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left" indent="2"/>
    </xf>
    <xf numFmtId="166" fontId="4" fillId="0" borderId="0" xfId="1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left" indent="2"/>
    </xf>
    <xf numFmtId="166" fontId="9" fillId="0" borderId="0" xfId="0" applyNumberFormat="1" applyFont="1" applyFill="1" applyBorder="1" applyAlignment="1">
      <alignment vertical="center"/>
    </xf>
    <xf numFmtId="0" fontId="45" fillId="0" borderId="0" xfId="0" applyNumberFormat="1" applyFont="1" applyFill="1" applyBorder="1" applyAlignment="1">
      <alignment horizontal="left" indent="2"/>
    </xf>
    <xf numFmtId="183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 indent="1"/>
    </xf>
    <xf numFmtId="183" fontId="9" fillId="0" borderId="0" xfId="0" applyNumberFormat="1" applyFont="1" applyFill="1" applyBorder="1" applyAlignment="1"/>
    <xf numFmtId="43" fontId="56" fillId="0" borderId="0" xfId="1" applyNumberFormat="1" applyFont="1" applyFill="1" applyBorder="1"/>
    <xf numFmtId="166" fontId="56" fillId="0" borderId="0" xfId="1" applyNumberFormat="1" applyFont="1" applyFill="1" applyBorder="1"/>
    <xf numFmtId="0" fontId="4" fillId="0" borderId="0" xfId="0" quotePrefix="1" applyNumberFormat="1" applyFont="1" applyFill="1" applyBorder="1" applyAlignment="1">
      <alignment horizontal="left" indent="2"/>
    </xf>
    <xf numFmtId="168" fontId="4" fillId="0" borderId="0" xfId="0" applyNumberFormat="1" applyFont="1" applyFill="1" applyBorder="1" applyAlignment="1">
      <alignment vertical="center"/>
    </xf>
    <xf numFmtId="0" fontId="9" fillId="0" borderId="0" xfId="0" quotePrefix="1" applyNumberFormat="1" applyFont="1" applyFill="1" applyBorder="1" applyAlignment="1">
      <alignment horizontal="left" indent="2"/>
    </xf>
    <xf numFmtId="182" fontId="4" fillId="0" borderId="0" xfId="0" applyNumberFormat="1" applyFont="1" applyFill="1" applyBorder="1" applyAlignment="1"/>
    <xf numFmtId="166" fontId="9" fillId="0" borderId="0" xfId="1" applyNumberFormat="1" applyFont="1" applyFill="1" applyBorder="1" applyAlignment="1">
      <alignment vertical="center"/>
    </xf>
    <xf numFmtId="166" fontId="9" fillId="0" borderId="0" xfId="1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/>
    <xf numFmtId="165" fontId="4" fillId="0" borderId="0" xfId="0" applyNumberFormat="1" applyFont="1" applyFill="1" applyBorder="1"/>
    <xf numFmtId="9" fontId="4" fillId="0" borderId="0" xfId="0" applyNumberFormat="1" applyFont="1" applyFill="1" applyBorder="1" applyAlignment="1">
      <alignment horizontal="right"/>
    </xf>
    <xf numFmtId="42" fontId="9" fillId="0" borderId="0" xfId="0" applyNumberFormat="1" applyFont="1" applyFill="1" applyBorder="1"/>
    <xf numFmtId="0" fontId="7" fillId="0" borderId="0" xfId="0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centerContinuous"/>
    </xf>
    <xf numFmtId="164" fontId="4" fillId="0" borderId="0" xfId="0" applyNumberFormat="1" applyFont="1" applyFill="1" applyBorder="1"/>
    <xf numFmtId="164" fontId="9" fillId="0" borderId="0" xfId="0" applyNumberFormat="1" applyFont="1" applyFill="1" applyBorder="1"/>
    <xf numFmtId="179" fontId="4" fillId="0" borderId="0" xfId="0" applyNumberFormat="1" applyFont="1" applyFill="1" applyBorder="1" applyAlignment="1" applyProtection="1">
      <protection locked="0"/>
    </xf>
    <xf numFmtId="168" fontId="4" fillId="0" borderId="0" xfId="0" applyNumberFormat="1" applyFont="1" applyFill="1" applyBorder="1" applyAlignment="1">
      <alignment horizontal="left" wrapText="1"/>
    </xf>
    <xf numFmtId="164" fontId="43" fillId="0" borderId="0" xfId="0" applyNumberFormat="1" applyFont="1" applyFill="1" applyBorder="1" applyAlignment="1"/>
    <xf numFmtId="164" fontId="9" fillId="0" borderId="0" xfId="0" applyNumberFormat="1" applyFont="1" applyFill="1" applyBorder="1" applyAlignment="1"/>
    <xf numFmtId="37" fontId="4" fillId="0" borderId="0" xfId="0" applyNumberFormat="1" applyFont="1" applyFill="1" applyBorder="1" applyAlignment="1">
      <alignment horizontal="left"/>
    </xf>
    <xf numFmtId="10" fontId="43" fillId="0" borderId="0" xfId="0" applyNumberFormat="1" applyFont="1" applyFill="1" applyBorder="1" applyAlignment="1">
      <alignment horizontal="left"/>
    </xf>
    <xf numFmtId="10" fontId="43" fillId="0" borderId="0" xfId="0" applyNumberFormat="1" applyFont="1" applyFill="1" applyBorder="1" applyAlignment="1">
      <alignment horizontal="center"/>
    </xf>
    <xf numFmtId="180" fontId="4" fillId="0" borderId="0" xfId="0" applyNumberFormat="1" applyFont="1" applyFill="1" applyBorder="1" applyAlignment="1">
      <alignment horizontal="right"/>
    </xf>
    <xf numFmtId="167" fontId="4" fillId="0" borderId="0" xfId="0" applyNumberFormat="1" applyFont="1" applyFill="1" applyBorder="1" applyAlignment="1">
      <alignment horizontal="right"/>
    </xf>
    <xf numFmtId="41" fontId="4" fillId="0" borderId="4" xfId="0" applyNumberFormat="1" applyFont="1" applyFill="1" applyBorder="1" applyAlignment="1" applyProtection="1">
      <alignment horizontal="right"/>
      <protection locked="0"/>
    </xf>
    <xf numFmtId="42" fontId="4" fillId="0" borderId="0" xfId="0" applyNumberFormat="1" applyFont="1" applyFill="1" applyBorder="1" applyAlignment="1" applyProtection="1">
      <protection locked="0"/>
    </xf>
    <xf numFmtId="164" fontId="45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left" indent="1"/>
    </xf>
    <xf numFmtId="41" fontId="6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left" indent="1"/>
    </xf>
    <xf numFmtId="9" fontId="9" fillId="0" borderId="0" xfId="0" applyNumberFormat="1" applyFont="1" applyFill="1" applyBorder="1" applyAlignment="1">
      <alignment horizontal="right"/>
    </xf>
    <xf numFmtId="166" fontId="9" fillId="0" borderId="3" xfId="0" applyNumberFormat="1" applyFont="1" applyFill="1" applyBorder="1" applyAlignment="1">
      <alignment vertical="center"/>
    </xf>
    <xf numFmtId="43" fontId="9" fillId="0" borderId="3" xfId="0" applyNumberFormat="1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43" fontId="9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left" indent="2"/>
    </xf>
    <xf numFmtId="10" fontId="4" fillId="0" borderId="0" xfId="0" applyNumberFormat="1" applyFont="1" applyFill="1" applyBorder="1" applyAlignment="1">
      <alignment horizontal="left" indent="1"/>
    </xf>
    <xf numFmtId="0" fontId="51" fillId="0" borderId="0" xfId="0" applyFont="1" applyFill="1" applyBorder="1"/>
    <xf numFmtId="168" fontId="9" fillId="0" borderId="6" xfId="0" applyNumberFormat="1" applyFont="1" applyFill="1" applyBorder="1"/>
    <xf numFmtId="168" fontId="9" fillId="0" borderId="13" xfId="0" applyNumberFormat="1" applyFont="1" applyFill="1" applyBorder="1"/>
    <xf numFmtId="43" fontId="9" fillId="0" borderId="0" xfId="0" applyNumberFormat="1" applyFont="1" applyFill="1"/>
    <xf numFmtId="0" fontId="9" fillId="0" borderId="0" xfId="0" applyNumberFormat="1" applyFont="1" applyFill="1" applyBorder="1"/>
    <xf numFmtId="168" fontId="6" fillId="0" borderId="0" xfId="0" quotePrefix="1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175" fontId="6" fillId="0" borderId="0" xfId="0" applyNumberFormat="1" applyFont="1" applyFill="1" applyBorder="1" applyAlignment="1" applyProtection="1">
      <alignment horizontal="left"/>
    </xf>
    <xf numFmtId="168" fontId="60" fillId="0" borderId="0" xfId="2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4" fillId="0" borderId="0" xfId="0" quotePrefix="1" applyNumberFormat="1" applyFont="1" applyFill="1" applyBorder="1" applyAlignment="1">
      <alignment horizontal="left" indent="1"/>
    </xf>
    <xf numFmtId="165" fontId="66" fillId="0" borderId="0" xfId="0" applyNumberFormat="1" applyFont="1" applyFill="1" applyAlignment="1"/>
    <xf numFmtId="166" fontId="60" fillId="0" borderId="0" xfId="5" applyNumberFormat="1" applyFont="1" applyFill="1" applyBorder="1"/>
    <xf numFmtId="166" fontId="61" fillId="0" borderId="0" xfId="1" applyNumberFormat="1" applyFont="1" applyFill="1" applyBorder="1"/>
    <xf numFmtId="168" fontId="0" fillId="0" borderId="0" xfId="0" applyNumberFormat="1" applyFont="1" applyFill="1" applyBorder="1"/>
    <xf numFmtId="168" fontId="3" fillId="0" borderId="0" xfId="0" applyNumberFormat="1" applyFont="1" applyFill="1" applyBorder="1"/>
    <xf numFmtId="166" fontId="14" fillId="0" borderId="0" xfId="1" applyNumberFormat="1" applyFont="1" applyFill="1" applyBorder="1"/>
    <xf numFmtId="0" fontId="9" fillId="0" borderId="0" xfId="0" applyNumberFormat="1" applyFont="1" applyFill="1" applyBorder="1" applyAlignment="1">
      <alignment horizontal="center"/>
    </xf>
    <xf numFmtId="166" fontId="45" fillId="0" borderId="0" xfId="0" applyNumberFormat="1" applyFont="1" applyFill="1" applyBorder="1"/>
    <xf numFmtId="168" fontId="45" fillId="0" borderId="0" xfId="2" applyNumberFormat="1" applyFont="1" applyFill="1" applyBorder="1"/>
    <xf numFmtId="0" fontId="6" fillId="0" borderId="50" xfId="0" applyFont="1" applyFill="1" applyBorder="1" applyAlignment="1">
      <alignment horizontal="right"/>
    </xf>
    <xf numFmtId="43" fontId="6" fillId="0" borderId="51" xfId="0" applyNumberFormat="1" applyFont="1" applyFill="1" applyBorder="1"/>
    <xf numFmtId="43" fontId="6" fillId="0" borderId="51" xfId="0" applyNumberFormat="1" applyFont="1" applyFill="1" applyBorder="1" applyAlignment="1">
      <alignment horizontal="right"/>
    </xf>
    <xf numFmtId="10" fontId="9" fillId="0" borderId="0" xfId="0" applyNumberFormat="1" applyFont="1" applyFill="1" applyBorder="1"/>
    <xf numFmtId="41" fontId="9" fillId="0" borderId="0" xfId="0" applyNumberFormat="1" applyFont="1" applyFill="1" applyBorder="1"/>
    <xf numFmtId="167" fontId="9" fillId="0" borderId="0" xfId="0" applyNumberFormat="1" applyFont="1" applyFill="1" applyBorder="1"/>
    <xf numFmtId="0" fontId="23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17" fontId="26" fillId="0" borderId="0" xfId="0" applyNumberFormat="1" applyFont="1" applyFill="1" applyBorder="1" applyAlignment="1">
      <alignment horizontal="center"/>
    </xf>
    <xf numFmtId="171" fontId="26" fillId="0" borderId="0" xfId="0" applyNumberFormat="1" applyFont="1" applyFill="1" applyBorder="1" applyAlignment="1">
      <alignment horizontal="center"/>
    </xf>
    <xf numFmtId="0" fontId="14" fillId="0" borderId="0" xfId="0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right"/>
    </xf>
    <xf numFmtId="0" fontId="33" fillId="0" borderId="0" xfId="0" applyNumberFormat="1" applyFont="1" applyFill="1" applyAlignment="1">
      <alignment horizontal="center"/>
    </xf>
    <xf numFmtId="17" fontId="33" fillId="0" borderId="0" xfId="0" applyNumberFormat="1" applyFont="1" applyFill="1" applyAlignment="1">
      <alignment horizontal="center"/>
    </xf>
    <xf numFmtId="3" fontId="32" fillId="0" borderId="0" xfId="0" applyNumberFormat="1" applyFont="1" applyFill="1"/>
    <xf numFmtId="173" fontId="5" fillId="0" borderId="0" xfId="0" applyNumberFormat="1" applyFont="1" applyFill="1" applyAlignment="1" applyProtection="1">
      <alignment horizontal="center"/>
      <protection locked="0"/>
    </xf>
    <xf numFmtId="0" fontId="37" fillId="0" borderId="0" xfId="0" applyNumberFormat="1" applyFont="1" applyFill="1" applyAlignment="1">
      <alignment horizontal="left"/>
    </xf>
    <xf numFmtId="0" fontId="33" fillId="0" borderId="0" xfId="0" applyNumberFormat="1" applyFont="1" applyFill="1" applyAlignment="1">
      <alignment horizontal="left"/>
    </xf>
    <xf numFmtId="0" fontId="5" fillId="5" borderId="52" xfId="0" applyNumberFormat="1" applyFont="1" applyFill="1" applyBorder="1" applyAlignment="1">
      <alignment horizontal="center"/>
    </xf>
    <xf numFmtId="0" fontId="5" fillId="5" borderId="53" xfId="0" applyNumberFormat="1" applyFont="1" applyFill="1" applyBorder="1" applyAlignment="1">
      <alignment horizontal="center" vertical="center" wrapText="1"/>
    </xf>
    <xf numFmtId="0" fontId="14" fillId="5" borderId="53" xfId="0" applyFont="1" applyFill="1" applyBorder="1" applyAlignment="1">
      <alignment horizontal="center"/>
    </xf>
    <xf numFmtId="0" fontId="14" fillId="0" borderId="53" xfId="0" applyFont="1" applyFill="1" applyBorder="1" applyAlignment="1">
      <alignment horizontal="center"/>
    </xf>
    <xf numFmtId="17" fontId="33" fillId="0" borderId="53" xfId="0" applyNumberFormat="1" applyFont="1" applyFill="1" applyBorder="1" applyAlignment="1">
      <alignment horizontal="center"/>
    </xf>
    <xf numFmtId="3" fontId="32" fillId="0" borderId="53" xfId="0" applyNumberFormat="1" applyFont="1" applyFill="1" applyBorder="1"/>
    <xf numFmtId="0" fontId="14" fillId="5" borderId="53" xfId="0" applyFont="1" applyFill="1" applyBorder="1"/>
    <xf numFmtId="42" fontId="14" fillId="5" borderId="53" xfId="0" applyNumberFormat="1" applyFont="1" applyFill="1" applyBorder="1" applyAlignment="1" applyProtection="1">
      <protection locked="0"/>
    </xf>
    <xf numFmtId="41" fontId="14" fillId="5" borderId="53" xfId="0" applyNumberFormat="1" applyFont="1" applyFill="1" applyBorder="1" applyAlignment="1" applyProtection="1">
      <protection locked="0"/>
    </xf>
    <xf numFmtId="166" fontId="14" fillId="5" borderId="54" xfId="0" applyNumberFormat="1" applyFont="1" applyFill="1" applyBorder="1"/>
    <xf numFmtId="42" fontId="14" fillId="5" borderId="53" xfId="0" applyNumberFormat="1" applyFont="1" applyFill="1" applyBorder="1"/>
    <xf numFmtId="168" fontId="14" fillId="5" borderId="54" xfId="0" applyNumberFormat="1" applyFont="1" applyFill="1" applyBorder="1"/>
    <xf numFmtId="0" fontId="14" fillId="5" borderId="54" xfId="0" applyFont="1" applyFill="1" applyBorder="1"/>
    <xf numFmtId="42" fontId="14" fillId="5" borderId="55" xfId="0" applyNumberFormat="1" applyFont="1" applyFill="1" applyBorder="1" applyAlignment="1" applyProtection="1">
      <protection locked="0"/>
    </xf>
    <xf numFmtId="42" fontId="0" fillId="5" borderId="56" xfId="0" applyNumberFormat="1" applyFont="1" applyFill="1" applyBorder="1"/>
    <xf numFmtId="10" fontId="14" fillId="5" borderId="53" xfId="0" applyNumberFormat="1" applyFont="1" applyFill="1" applyBorder="1" applyAlignment="1" applyProtection="1">
      <protection locked="0"/>
    </xf>
    <xf numFmtId="174" fontId="14" fillId="5" borderId="53" xfId="0" applyNumberFormat="1" applyFont="1" applyFill="1" applyBorder="1" applyAlignment="1" applyProtection="1">
      <protection locked="0"/>
    </xf>
    <xf numFmtId="42" fontId="14" fillId="5" borderId="57" xfId="0" applyNumberFormat="1" applyFont="1" applyFill="1" applyBorder="1"/>
    <xf numFmtId="10" fontId="35" fillId="5" borderId="53" xfId="0" applyNumberFormat="1" applyFont="1" applyFill="1" applyBorder="1"/>
    <xf numFmtId="0" fontId="34" fillId="5" borderId="53" xfId="0" applyFont="1" applyFill="1" applyBorder="1"/>
    <xf numFmtId="41" fontId="34" fillId="5" borderId="53" xfId="0" applyNumberFormat="1" applyFont="1" applyFill="1" applyBorder="1" applyAlignment="1" applyProtection="1">
      <protection locked="0"/>
    </xf>
    <xf numFmtId="41" fontId="14" fillId="5" borderId="58" xfId="0" applyNumberFormat="1" applyFont="1" applyFill="1" applyBorder="1" applyAlignment="1" applyProtection="1">
      <protection locked="0"/>
    </xf>
    <xf numFmtId="0" fontId="14" fillId="0" borderId="53" xfId="0" applyFont="1" applyFill="1" applyBorder="1"/>
    <xf numFmtId="3" fontId="32" fillId="11" borderId="53" xfId="0" applyNumberFormat="1" applyFont="1" applyFill="1" applyBorder="1"/>
    <xf numFmtId="3" fontId="36" fillId="12" borderId="59" xfId="0" applyNumberFormat="1" applyFont="1" applyFill="1" applyBorder="1" applyAlignment="1">
      <alignment horizontal="right"/>
    </xf>
    <xf numFmtId="17" fontId="5" fillId="0" borderId="53" xfId="0" applyNumberFormat="1" applyFont="1" applyFill="1" applyBorder="1" applyAlignment="1">
      <alignment horizontal="center"/>
    </xf>
    <xf numFmtId="3" fontId="38" fillId="0" borderId="53" xfId="0" applyNumberFormat="1" applyFont="1" applyFill="1" applyBorder="1"/>
    <xf numFmtId="42" fontId="34" fillId="5" borderId="53" xfId="0" applyNumberFormat="1" applyFont="1" applyFill="1" applyBorder="1" applyAlignment="1" applyProtection="1">
      <protection locked="0"/>
    </xf>
    <xf numFmtId="166" fontId="34" fillId="5" borderId="54" xfId="0" applyNumberFormat="1" applyFont="1" applyFill="1" applyBorder="1"/>
    <xf numFmtId="168" fontId="34" fillId="5" borderId="54" xfId="0" applyNumberFormat="1" applyFont="1" applyFill="1" applyBorder="1"/>
    <xf numFmtId="42" fontId="34" fillId="5" borderId="55" xfId="0" applyNumberFormat="1" applyFont="1" applyFill="1" applyBorder="1" applyAlignment="1" applyProtection="1">
      <protection locked="0"/>
    </xf>
    <xf numFmtId="10" fontId="34" fillId="5" borderId="53" xfId="0" applyNumberFormat="1" applyFont="1" applyFill="1" applyBorder="1" applyAlignment="1" applyProtection="1">
      <protection locked="0"/>
    </xf>
    <xf numFmtId="42" fontId="39" fillId="5" borderId="53" xfId="0" applyNumberFormat="1" applyFont="1" applyFill="1" applyBorder="1" applyAlignment="1" applyProtection="1">
      <protection locked="0"/>
    </xf>
    <xf numFmtId="41" fontId="39" fillId="5" borderId="53" xfId="0" applyNumberFormat="1" applyFont="1" applyFill="1" applyBorder="1" applyAlignment="1" applyProtection="1">
      <protection locked="0"/>
    </xf>
    <xf numFmtId="10" fontId="14" fillId="5" borderId="53" xfId="0" applyNumberFormat="1" applyFont="1" applyFill="1" applyBorder="1"/>
    <xf numFmtId="42" fontId="34" fillId="5" borderId="53" xfId="0" applyNumberFormat="1" applyFont="1" applyFill="1" applyBorder="1"/>
    <xf numFmtId="41" fontId="14" fillId="5" borderId="60" xfId="0" applyNumberFormat="1" applyFont="1" applyFill="1" applyBorder="1" applyAlignment="1" applyProtection="1">
      <protection locked="0"/>
    </xf>
    <xf numFmtId="0" fontId="27" fillId="0" borderId="0" xfId="0" applyNumberFormat="1" applyFont="1" applyFill="1" applyAlignment="1">
      <alignment horizontal="center"/>
    </xf>
    <xf numFmtId="0" fontId="37" fillId="0" borderId="0" xfId="0" applyNumberFormat="1" applyFont="1" applyFill="1" applyAlignment="1">
      <alignment horizontal="center"/>
    </xf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15" fillId="0" borderId="0" xfId="0" applyFont="1" applyFill="1" applyAlignment="1">
      <alignment horizontal="left"/>
    </xf>
    <xf numFmtId="3" fontId="15" fillId="0" borderId="0" xfId="0" applyNumberFormat="1" applyFont="1" applyFill="1"/>
    <xf numFmtId="0" fontId="15" fillId="0" borderId="0" xfId="0" applyFont="1" applyFill="1" applyAlignment="1">
      <alignment horizontal="right"/>
    </xf>
    <xf numFmtId="10" fontId="15" fillId="0" borderId="0" xfId="3" applyNumberFormat="1" applyFont="1" applyFill="1"/>
    <xf numFmtId="0" fontId="75" fillId="0" borderId="0" xfId="0" applyFont="1" applyFill="1"/>
    <xf numFmtId="0" fontId="71" fillId="0" borderId="0" xfId="0" applyFont="1"/>
    <xf numFmtId="0" fontId="13" fillId="0" borderId="0" xfId="0" applyFont="1" applyFill="1"/>
    <xf numFmtId="169" fontId="10" fillId="0" borderId="0" xfId="0" applyNumberFormat="1" applyFont="1" applyFill="1"/>
    <xf numFmtId="168" fontId="10" fillId="0" borderId="13" xfId="0" applyNumberFormat="1" applyFont="1" applyFill="1" applyBorder="1"/>
    <xf numFmtId="0" fontId="10" fillId="0" borderId="6" xfId="0" applyFont="1" applyFill="1" applyBorder="1"/>
    <xf numFmtId="0" fontId="11" fillId="0" borderId="0" xfId="0" applyFont="1" applyFill="1"/>
    <xf numFmtId="164" fontId="11" fillId="0" borderId="0" xfId="0" applyNumberFormat="1" applyFont="1" applyFill="1"/>
    <xf numFmtId="10" fontId="77" fillId="0" borderId="0" xfId="0" applyNumberFormat="1" applyFont="1" applyFill="1" applyBorder="1"/>
    <xf numFmtId="0" fontId="42" fillId="0" borderId="0" xfId="0" applyNumberFormat="1" applyFont="1" applyFill="1" applyBorder="1" applyAlignment="1">
      <alignment horizontal="center"/>
    </xf>
    <xf numFmtId="3" fontId="22" fillId="0" borderId="0" xfId="0" applyNumberFormat="1" applyFont="1"/>
    <xf numFmtId="0" fontId="22" fillId="0" borderId="0" xfId="0" applyFont="1"/>
    <xf numFmtId="0" fontId="4" fillId="0" borderId="0" xfId="0" quotePrefix="1" applyFont="1" applyFill="1" applyBorder="1" applyAlignment="1">
      <alignment horizontal="center"/>
    </xf>
    <xf numFmtId="0" fontId="4" fillId="0" borderId="22" xfId="0" applyFont="1" applyBorder="1"/>
    <xf numFmtId="0" fontId="4" fillId="0" borderId="10" xfId="0" applyFont="1" applyBorder="1" applyAlignment="1">
      <alignment horizontal="left"/>
    </xf>
    <xf numFmtId="0" fontId="9" fillId="0" borderId="0" xfId="0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right"/>
    </xf>
    <xf numFmtId="42" fontId="9" fillId="8" borderId="31" xfId="0" applyNumberFormat="1" applyFont="1" applyFill="1" applyBorder="1" applyAlignment="1" applyProtection="1">
      <protection locked="0"/>
    </xf>
    <xf numFmtId="0" fontId="77" fillId="0" borderId="0" xfId="0" applyFont="1" applyBorder="1" applyAlignment="1">
      <alignment horizontal="left" indent="1"/>
    </xf>
    <xf numFmtId="42" fontId="9" fillId="0" borderId="0" xfId="0" applyNumberFormat="1" applyFont="1" applyFill="1" applyBorder="1" applyAlignment="1" applyProtection="1">
      <protection locked="0"/>
    </xf>
    <xf numFmtId="42" fontId="9" fillId="7" borderId="15" xfId="0" applyNumberFormat="1" applyFont="1" applyFill="1" applyBorder="1" applyAlignment="1" applyProtection="1">
      <protection locked="0"/>
    </xf>
    <xf numFmtId="0" fontId="4" fillId="0" borderId="0" xfId="0" applyFont="1" applyBorder="1" applyAlignment="1">
      <alignment horizontal="left" indent="1"/>
    </xf>
    <xf numFmtId="42" fontId="10" fillId="7" borderId="16" xfId="0" applyNumberFormat="1" applyFont="1" applyFill="1" applyBorder="1" applyAlignment="1" applyProtection="1">
      <protection locked="0"/>
    </xf>
    <xf numFmtId="41" fontId="9" fillId="8" borderId="19" xfId="0" applyNumberFormat="1" applyFont="1" applyFill="1" applyBorder="1" applyAlignment="1" applyProtection="1">
      <protection locked="0"/>
    </xf>
    <xf numFmtId="41" fontId="77" fillId="0" borderId="0" xfId="0" applyNumberFormat="1" applyFont="1" applyBorder="1" applyAlignment="1">
      <alignment horizontal="left" indent="1"/>
    </xf>
    <xf numFmtId="41" fontId="4" fillId="0" borderId="0" xfId="0" applyNumberFormat="1" applyFont="1" applyBorder="1" applyAlignment="1">
      <alignment horizontal="left" indent="1"/>
    </xf>
    <xf numFmtId="41" fontId="9" fillId="7" borderId="19" xfId="0" applyNumberFormat="1" applyFont="1" applyFill="1" applyBorder="1" applyAlignment="1" applyProtection="1">
      <protection locked="0"/>
    </xf>
    <xf numFmtId="41" fontId="9" fillId="7" borderId="15" xfId="0" applyNumberFormat="1" applyFont="1" applyFill="1" applyBorder="1" applyAlignment="1" applyProtection="1">
      <protection locked="0"/>
    </xf>
    <xf numFmtId="41" fontId="9" fillId="7" borderId="16" xfId="0" applyNumberFormat="1" applyFont="1" applyFill="1" applyBorder="1" applyAlignment="1" applyProtection="1">
      <protection locked="0"/>
    </xf>
    <xf numFmtId="166" fontId="4" fillId="0" borderId="0" xfId="0" applyNumberFormat="1" applyFont="1" applyFill="1" applyBorder="1" applyAlignment="1">
      <alignment horizontal="right"/>
    </xf>
    <xf numFmtId="41" fontId="4" fillId="0" borderId="19" xfId="0" applyNumberFormat="1" applyFont="1" applyBorder="1" applyAlignment="1">
      <alignment horizontal="left" indent="1"/>
    </xf>
    <xf numFmtId="41" fontId="4" fillId="0" borderId="21" xfId="0" applyNumberFormat="1" applyFont="1" applyBorder="1" applyAlignment="1">
      <alignment horizontal="left" indent="1"/>
    </xf>
    <xf numFmtId="42" fontId="9" fillId="7" borderId="19" xfId="0" applyNumberFormat="1" applyFont="1" applyFill="1" applyBorder="1" applyAlignment="1" applyProtection="1">
      <protection locked="0"/>
    </xf>
    <xf numFmtId="0" fontId="4" fillId="0" borderId="19" xfId="0" applyFont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42" fontId="4" fillId="0" borderId="34" xfId="0" applyNumberFormat="1" applyFont="1" applyFill="1" applyBorder="1" applyAlignment="1" applyProtection="1">
      <protection locked="0"/>
    </xf>
    <xf numFmtId="170" fontId="4" fillId="0" borderId="0" xfId="0" applyNumberFormat="1" applyFont="1" applyFill="1" applyBorder="1"/>
    <xf numFmtId="170" fontId="4" fillId="7" borderId="19" xfId="0" applyNumberFormat="1" applyFont="1" applyFill="1" applyBorder="1"/>
    <xf numFmtId="170" fontId="4" fillId="0" borderId="18" xfId="0" applyNumberFormat="1" applyFont="1" applyBorder="1"/>
    <xf numFmtId="170" fontId="4" fillId="0" borderId="21" xfId="0" applyNumberFormat="1" applyFont="1" applyBorder="1"/>
    <xf numFmtId="170" fontId="10" fillId="0" borderId="21" xfId="0" applyNumberFormat="1" applyFont="1" applyBorder="1"/>
    <xf numFmtId="166" fontId="4" fillId="0" borderId="18" xfId="0" applyNumberFormat="1" applyFont="1" applyFill="1" applyBorder="1"/>
    <xf numFmtId="166" fontId="4" fillId="0" borderId="21" xfId="0" applyNumberFormat="1" applyFont="1" applyFill="1" applyBorder="1"/>
    <xf numFmtId="166" fontId="10" fillId="0" borderId="21" xfId="0" applyNumberFormat="1" applyFont="1" applyFill="1" applyBorder="1"/>
    <xf numFmtId="10" fontId="4" fillId="7" borderId="21" xfId="0" applyNumberFormat="1" applyFont="1" applyFill="1" applyBorder="1"/>
    <xf numFmtId="42" fontId="4" fillId="0" borderId="19" xfId="0" applyNumberFormat="1" applyFont="1" applyFill="1" applyBorder="1"/>
    <xf numFmtId="0" fontId="4" fillId="0" borderId="19" xfId="0" applyFont="1" applyFill="1" applyBorder="1"/>
    <xf numFmtId="10" fontId="6" fillId="0" borderId="0" xfId="0" applyNumberFormat="1" applyFont="1" applyFill="1" applyBorder="1"/>
    <xf numFmtId="10" fontId="6" fillId="7" borderId="19" xfId="0" applyNumberFormat="1" applyFont="1" applyFill="1" applyBorder="1"/>
    <xf numFmtId="10" fontId="66" fillId="7" borderId="20" xfId="0" applyNumberFormat="1" applyFont="1" applyFill="1" applyBorder="1"/>
    <xf numFmtId="10" fontId="66" fillId="7" borderId="19" xfId="0" applyNumberFormat="1" applyFont="1" applyFill="1" applyBorder="1"/>
    <xf numFmtId="10" fontId="66" fillId="7" borderId="9" xfId="0" applyNumberFormat="1" applyFont="1" applyFill="1" applyBorder="1"/>
    <xf numFmtId="10" fontId="4" fillId="0" borderId="19" xfId="0" applyNumberFormat="1" applyFont="1" applyFill="1" applyBorder="1"/>
    <xf numFmtId="41" fontId="4" fillId="7" borderId="15" xfId="0" applyNumberFormat="1" applyFont="1" applyFill="1" applyBorder="1"/>
    <xf numFmtId="41" fontId="4" fillId="7" borderId="16" xfId="0" applyNumberFormat="1" applyFont="1" applyFill="1" applyBorder="1"/>
    <xf numFmtId="41" fontId="4" fillId="7" borderId="28" xfId="0" applyNumberFormat="1" applyFont="1" applyFill="1" applyBorder="1" applyAlignment="1" applyProtection="1">
      <protection locked="0"/>
    </xf>
    <xf numFmtId="41" fontId="4" fillId="0" borderId="27" xfId="0" applyNumberFormat="1" applyFont="1" applyFill="1" applyBorder="1" applyAlignment="1" applyProtection="1">
      <protection locked="0"/>
    </xf>
    <xf numFmtId="41" fontId="4" fillId="0" borderId="61" xfId="0" applyNumberFormat="1" applyFont="1" applyFill="1" applyBorder="1" applyAlignment="1" applyProtection="1">
      <protection locked="0"/>
    </xf>
    <xf numFmtId="41" fontId="55" fillId="0" borderId="27" xfId="0" applyNumberFormat="1" applyFont="1" applyFill="1" applyBorder="1" applyAlignment="1" applyProtection="1">
      <protection locked="0"/>
    </xf>
    <xf numFmtId="166" fontId="4" fillId="0" borderId="21" xfId="0" applyNumberFormat="1" applyFont="1" applyFill="1" applyBorder="1" applyAlignment="1" applyProtection="1">
      <protection locked="0"/>
    </xf>
    <xf numFmtId="166" fontId="55" fillId="0" borderId="0" xfId="1" applyNumberFormat="1" applyFont="1"/>
    <xf numFmtId="166" fontId="4" fillId="0" borderId="17" xfId="0" applyNumberFormat="1" applyFont="1" applyFill="1" applyBorder="1" applyAlignment="1" applyProtection="1">
      <protection locked="0"/>
    </xf>
    <xf numFmtId="166" fontId="4" fillId="7" borderId="16" xfId="0" applyNumberFormat="1" applyFont="1" applyFill="1" applyBorder="1" applyAlignment="1" applyProtection="1">
      <protection locked="0"/>
    </xf>
    <xf numFmtId="166" fontId="4" fillId="0" borderId="21" xfId="0" applyNumberFormat="1" applyFont="1" applyBorder="1"/>
    <xf numFmtId="42" fontId="4" fillId="0" borderId="14" xfId="0" applyNumberFormat="1" applyFont="1" applyFill="1" applyBorder="1"/>
    <xf numFmtId="42" fontId="4" fillId="0" borderId="17" xfId="0" applyNumberFormat="1" applyFont="1" applyFill="1" applyBorder="1"/>
    <xf numFmtId="42" fontId="4" fillId="7" borderId="16" xfId="0" applyNumberFormat="1" applyFont="1" applyFill="1" applyBorder="1"/>
    <xf numFmtId="42" fontId="4" fillId="7" borderId="7" xfId="0" applyNumberFormat="1" applyFont="1" applyFill="1" applyBorder="1"/>
    <xf numFmtId="168" fontId="4" fillId="0" borderId="21" xfId="0" applyNumberFormat="1" applyFont="1" applyBorder="1"/>
    <xf numFmtId="168" fontId="4" fillId="7" borderId="9" xfId="0" applyNumberFormat="1" applyFont="1" applyFill="1" applyBorder="1"/>
    <xf numFmtId="0" fontId="4" fillId="0" borderId="21" xfId="0" applyFont="1" applyFill="1" applyBorder="1" applyAlignment="1">
      <alignment horizontal="center"/>
    </xf>
    <xf numFmtId="164" fontId="4" fillId="0" borderId="0" xfId="0" applyNumberFormat="1" applyFont="1" applyFill="1" applyBorder="1" applyAlignment="1" applyProtection="1">
      <protection locked="0"/>
    </xf>
    <xf numFmtId="164" fontId="10" fillId="0" borderId="62" xfId="0" applyNumberFormat="1" applyFont="1" applyFill="1" applyBorder="1" applyAlignment="1"/>
    <xf numFmtId="166" fontId="4" fillId="0" borderId="0" xfId="1" applyNumberFormat="1" applyFont="1" applyFill="1"/>
    <xf numFmtId="168" fontId="39" fillId="9" borderId="11" xfId="0" applyNumberFormat="1" applyFont="1" applyFill="1" applyBorder="1"/>
    <xf numFmtId="166" fontId="39" fillId="9" borderId="4" xfId="0" applyNumberFormat="1" applyFont="1" applyFill="1" applyBorder="1"/>
    <xf numFmtId="166" fontId="39" fillId="9" borderId="0" xfId="0" applyNumberFormat="1" applyFont="1" applyFill="1"/>
    <xf numFmtId="168" fontId="39" fillId="9" borderId="0" xfId="0" applyNumberFormat="1" applyFont="1" applyFill="1"/>
    <xf numFmtId="0" fontId="39" fillId="9" borderId="0" xfId="0" applyFont="1" applyFill="1"/>
    <xf numFmtId="168" fontId="39" fillId="9" borderId="13" xfId="0" applyNumberFormat="1" applyFont="1" applyFill="1" applyBorder="1"/>
    <xf numFmtId="0" fontId="39" fillId="9" borderId="6" xfId="0" applyFont="1" applyFill="1" applyBorder="1"/>
    <xf numFmtId="43" fontId="39" fillId="9" borderId="0" xfId="0" applyNumberFormat="1" applyFont="1" applyFill="1"/>
    <xf numFmtId="166" fontId="14" fillId="9" borderId="4" xfId="0" applyNumberFormat="1" applyFont="1" applyFill="1" applyBorder="1"/>
    <xf numFmtId="166" fontId="14" fillId="9" borderId="0" xfId="0" applyNumberFormat="1" applyFont="1" applyFill="1"/>
    <xf numFmtId="168" fontId="14" fillId="9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9" fillId="0" borderId="0" xfId="0" quotePrefix="1" applyFont="1" applyFill="1" applyBorder="1" applyAlignment="1">
      <alignment horizontal="left"/>
    </xf>
    <xf numFmtId="0" fontId="9" fillId="0" borderId="0" xfId="0" applyFont="1" applyFill="1" applyBorder="1" applyAlignment="1"/>
    <xf numFmtId="0" fontId="78" fillId="0" borderId="0" xfId="0" applyFont="1" applyFill="1" applyBorder="1" applyAlignment="1"/>
    <xf numFmtId="37" fontId="11" fillId="0" borderId="0" xfId="0" applyNumberFormat="1" applyFont="1" applyFill="1" applyBorder="1" applyAlignment="1">
      <alignment horizontal="center"/>
    </xf>
    <xf numFmtId="41" fontId="11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/>
    <xf numFmtId="41" fontId="11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/>
    <xf numFmtId="0" fontId="9" fillId="0" borderId="0" xfId="0" applyNumberFormat="1" applyFont="1" applyFill="1" applyBorder="1" applyAlignment="1">
      <alignment horizontal="left" indent="1"/>
    </xf>
    <xf numFmtId="41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Continuous"/>
    </xf>
    <xf numFmtId="41" fontId="11" fillId="0" borderId="0" xfId="0" applyNumberFormat="1" applyFont="1" applyFill="1" applyBorder="1" applyAlignment="1">
      <alignment horizontal="right"/>
    </xf>
    <xf numFmtId="166" fontId="9" fillId="0" borderId="0" xfId="1" applyNumberFormat="1" applyFont="1" applyFill="1" applyBorder="1" applyAlignment="1">
      <alignment horizontal="centerContinuous"/>
    </xf>
    <xf numFmtId="41" fontId="13" fillId="0" borderId="0" xfId="0" applyNumberFormat="1" applyFont="1" applyFill="1" applyBorder="1" applyAlignment="1">
      <alignment vertical="center"/>
    </xf>
    <xf numFmtId="41" fontId="13" fillId="0" borderId="0" xfId="0" applyNumberFormat="1" applyFont="1" applyFill="1" applyBorder="1" applyAlignment="1">
      <alignment horizontal="right"/>
    </xf>
    <xf numFmtId="0" fontId="39" fillId="0" borderId="0" xfId="0" applyFont="1" applyFill="1" applyBorder="1"/>
    <xf numFmtId="3" fontId="9" fillId="0" borderId="0" xfId="0" applyNumberFormat="1" applyFont="1" applyFill="1" applyBorder="1"/>
    <xf numFmtId="0" fontId="14" fillId="9" borderId="0" xfId="0" applyFont="1" applyFill="1"/>
    <xf numFmtId="0" fontId="4" fillId="9" borderId="41" xfId="0" applyFont="1" applyFill="1" applyBorder="1" applyAlignment="1">
      <alignment horizontal="center"/>
    </xf>
    <xf numFmtId="0" fontId="6" fillId="9" borderId="22" xfId="0" applyFont="1" applyFill="1" applyBorder="1" applyAlignment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9" xfId="0" applyFont="1" applyFill="1" applyBorder="1" applyAlignment="1">
      <alignment horizontal="center"/>
    </xf>
    <xf numFmtId="0" fontId="6" fillId="9" borderId="19" xfId="0" applyFont="1" applyFill="1" applyBorder="1" applyAlignment="1">
      <alignment horizontal="center"/>
    </xf>
    <xf numFmtId="0" fontId="6" fillId="9" borderId="7" xfId="0" applyFont="1" applyFill="1" applyBorder="1" applyAlignment="1">
      <alignment horizontal="center"/>
    </xf>
    <xf numFmtId="0" fontId="6" fillId="9" borderId="15" xfId="0" applyFont="1" applyFill="1" applyBorder="1" applyAlignment="1">
      <alignment horizontal="center"/>
    </xf>
    <xf numFmtId="0" fontId="20" fillId="9" borderId="0" xfId="0" applyNumberFormat="1" applyFont="1" applyFill="1" applyAlignment="1">
      <alignment horizontal="center"/>
    </xf>
    <xf numFmtId="0" fontId="27" fillId="20" borderId="0" xfId="0" applyFont="1" applyFill="1"/>
    <xf numFmtId="0" fontId="11" fillId="20" borderId="11" xfId="0" applyFont="1" applyFill="1" applyBorder="1"/>
    <xf numFmtId="0" fontId="11" fillId="20" borderId="0" xfId="0" applyFont="1" applyFill="1"/>
    <xf numFmtId="42" fontId="9" fillId="0" borderId="0" xfId="0" applyNumberFormat="1" applyFont="1" applyFill="1" applyBorder="1" applyAlignment="1">
      <alignment horizontal="right"/>
    </xf>
    <xf numFmtId="4" fontId="4" fillId="0" borderId="0" xfId="0" applyNumberFormat="1" applyFont="1" applyFill="1" applyBorder="1"/>
    <xf numFmtId="3" fontId="11" fillId="20" borderId="0" xfId="0" applyNumberFormat="1" applyFont="1" applyFill="1"/>
    <xf numFmtId="185" fontId="4" fillId="0" borderId="0" xfId="0" applyNumberFormat="1" applyFont="1" applyFill="1" applyBorder="1" applyAlignment="1" applyProtection="1">
      <protection locked="0"/>
    </xf>
    <xf numFmtId="41" fontId="11" fillId="20" borderId="0" xfId="0" applyNumberFormat="1" applyFont="1" applyFill="1"/>
    <xf numFmtId="186" fontId="4" fillId="0" borderId="0" xfId="0" applyNumberFormat="1" applyFont="1" applyFill="1" applyBorder="1" applyAlignment="1" applyProtection="1">
      <protection locked="0"/>
    </xf>
    <xf numFmtId="42" fontId="11" fillId="20" borderId="0" xfId="0" applyNumberFormat="1" applyFont="1" applyFill="1"/>
    <xf numFmtId="0" fontId="11" fillId="20" borderId="48" xfId="0" applyFont="1" applyFill="1" applyBorder="1"/>
    <xf numFmtId="168" fontId="11" fillId="20" borderId="11" xfId="0" applyNumberFormat="1" applyFont="1" applyFill="1" applyBorder="1"/>
    <xf numFmtId="41" fontId="11" fillId="20" borderId="0" xfId="0" applyNumberFormat="1" applyFont="1" applyFill="1" applyAlignment="1"/>
    <xf numFmtId="41" fontId="11" fillId="20" borderId="6" xfId="0" applyNumberFormat="1" applyFont="1" applyFill="1" applyBorder="1"/>
    <xf numFmtId="0" fontId="11" fillId="20" borderId="4" xfId="0" applyFont="1" applyFill="1" applyBorder="1"/>
    <xf numFmtId="179" fontId="43" fillId="0" borderId="0" xfId="0" applyNumberFormat="1" applyFont="1" applyFill="1" applyBorder="1" applyAlignment="1" applyProtection="1">
      <protection locked="0"/>
    </xf>
    <xf numFmtId="187" fontId="4" fillId="0" borderId="0" xfId="0" applyNumberFormat="1" applyFont="1" applyFill="1" applyBorder="1" applyAlignment="1">
      <alignment horizontal="right" wrapText="1"/>
    </xf>
    <xf numFmtId="181" fontId="4" fillId="0" borderId="0" xfId="0" applyNumberFormat="1" applyFont="1" applyFill="1" applyBorder="1" applyAlignment="1">
      <alignment horizontal="left" wrapText="1"/>
    </xf>
    <xf numFmtId="41" fontId="11" fillId="20" borderId="0" xfId="0" applyNumberFormat="1" applyFont="1" applyFill="1" applyBorder="1" applyAlignment="1"/>
    <xf numFmtId="41" fontId="11" fillId="20" borderId="6" xfId="0" applyNumberFormat="1" applyFont="1" applyFill="1" applyBorder="1" applyAlignment="1"/>
    <xf numFmtId="166" fontId="11" fillId="20" borderId="4" xfId="0" applyNumberFormat="1" applyFont="1" applyFill="1" applyBorder="1"/>
    <xf numFmtId="166" fontId="11" fillId="20" borderId="0" xfId="0" applyNumberFormat="1" applyFont="1" applyFill="1"/>
    <xf numFmtId="164" fontId="43" fillId="0" borderId="0" xfId="0" applyNumberFormat="1" applyFont="1" applyFill="1" applyBorder="1" applyAlignment="1" applyProtection="1">
      <alignment horizontal="left"/>
      <protection locked="0"/>
    </xf>
    <xf numFmtId="9" fontId="4" fillId="0" borderId="0" xfId="0" applyNumberFormat="1" applyFont="1" applyFill="1" applyBorder="1" applyAlignment="1" applyProtection="1">
      <alignment horizontal="left"/>
      <protection locked="0"/>
    </xf>
    <xf numFmtId="42" fontId="11" fillId="20" borderId="0" xfId="0" applyNumberFormat="1" applyFont="1" applyFill="1" applyBorder="1" applyAlignment="1">
      <alignment horizontal="right"/>
    </xf>
    <xf numFmtId="0" fontId="0" fillId="20" borderId="0" xfId="0" applyFont="1" applyFill="1"/>
    <xf numFmtId="0" fontId="35" fillId="20" borderId="0" xfId="0" applyFont="1" applyFill="1"/>
    <xf numFmtId="0" fontId="55" fillId="20" borderId="11" xfId="0" applyFont="1" applyFill="1" applyBorder="1"/>
    <xf numFmtId="0" fontId="55" fillId="20" borderId="0" xfId="0" applyFont="1" applyFill="1"/>
    <xf numFmtId="166" fontId="80" fillId="0" borderId="0" xfId="0" applyNumberFormat="1" applyFont="1" applyFill="1" applyBorder="1" applyAlignment="1"/>
    <xf numFmtId="0" fontId="80" fillId="0" borderId="0" xfId="0" applyNumberFormat="1" applyFont="1" applyFill="1" applyBorder="1" applyAlignment="1">
      <alignment horizontal="left"/>
    </xf>
    <xf numFmtId="166" fontId="80" fillId="0" borderId="0" xfId="0" applyNumberFormat="1" applyFont="1" applyFill="1" applyBorder="1" applyAlignment="1" applyProtection="1">
      <protection locked="0"/>
    </xf>
    <xf numFmtId="3" fontId="55" fillId="20" borderId="0" xfId="0" applyNumberFormat="1" applyFont="1" applyFill="1"/>
    <xf numFmtId="166" fontId="78" fillId="0" borderId="0" xfId="0" applyNumberFormat="1" applyFont="1" applyFill="1" applyBorder="1" applyAlignment="1"/>
    <xf numFmtId="166" fontId="78" fillId="0" borderId="0" xfId="1" applyNumberFormat="1" applyFont="1" applyFill="1" applyBorder="1" applyAlignment="1"/>
    <xf numFmtId="166" fontId="80" fillId="0" borderId="0" xfId="1" applyNumberFormat="1" applyFont="1" applyFill="1" applyBorder="1" applyAlignment="1"/>
    <xf numFmtId="41" fontId="55" fillId="20" borderId="0" xfId="0" applyNumberFormat="1" applyFont="1" applyFill="1"/>
    <xf numFmtId="166" fontId="81" fillId="0" borderId="0" xfId="1" applyNumberFormat="1" applyFont="1" applyFill="1" applyBorder="1" applyAlignment="1"/>
    <xf numFmtId="0" fontId="81" fillId="0" borderId="0" xfId="0" applyFont="1" applyFill="1" applyBorder="1" applyAlignment="1">
      <alignment horizontal="left"/>
    </xf>
    <xf numFmtId="42" fontId="55" fillId="20" borderId="0" xfId="0" applyNumberFormat="1" applyFont="1" applyFill="1"/>
    <xf numFmtId="0" fontId="80" fillId="0" borderId="0" xfId="0" applyFont="1" applyFill="1" applyBorder="1" applyAlignment="1">
      <alignment horizontal="left" indent="1"/>
    </xf>
    <xf numFmtId="0" fontId="55" fillId="20" borderId="48" xfId="0" applyFont="1" applyFill="1" applyBorder="1"/>
    <xf numFmtId="43" fontId="80" fillId="0" borderId="0" xfId="0" applyNumberFormat="1" applyFont="1" applyFill="1" applyBorder="1" applyAlignment="1"/>
    <xf numFmtId="166" fontId="64" fillId="0" borderId="0" xfId="0" applyNumberFormat="1" applyFont="1" applyFill="1" applyBorder="1"/>
    <xf numFmtId="166" fontId="64" fillId="0" borderId="0" xfId="1" applyNumberFormat="1" applyFont="1" applyFill="1" applyBorder="1"/>
    <xf numFmtId="0" fontId="82" fillId="0" borderId="0" xfId="0" applyFont="1" applyFill="1" applyBorder="1" applyAlignment="1">
      <alignment horizontal="left"/>
    </xf>
    <xf numFmtId="168" fontId="55" fillId="20" borderId="11" xfId="0" applyNumberFormat="1" applyFont="1" applyFill="1" applyBorder="1"/>
    <xf numFmtId="166" fontId="4" fillId="0" borderId="0" xfId="1" applyNumberFormat="1" applyFont="1" applyFill="1" applyBorder="1"/>
    <xf numFmtId="164" fontId="4" fillId="0" borderId="0" xfId="0" applyNumberFormat="1" applyFont="1" applyFill="1" applyBorder="1" applyAlignment="1">
      <alignment horizontal="center" wrapText="1"/>
    </xf>
    <xf numFmtId="41" fontId="55" fillId="20" borderId="0" xfId="0" applyNumberFormat="1" applyFont="1" applyFill="1" applyAlignment="1"/>
    <xf numFmtId="41" fontId="55" fillId="20" borderId="6" xfId="0" applyNumberFormat="1" applyFont="1" applyFill="1" applyBorder="1"/>
    <xf numFmtId="0" fontId="55" fillId="20" borderId="4" xfId="0" applyFont="1" applyFill="1" applyBorder="1"/>
    <xf numFmtId="0" fontId="80" fillId="0" borderId="0" xfId="0" applyFont="1" applyFill="1" applyBorder="1"/>
    <xf numFmtId="0" fontId="64" fillId="0" borderId="0" xfId="0" applyFont="1" applyFill="1" applyBorder="1"/>
    <xf numFmtId="10" fontId="80" fillId="0" borderId="0" xfId="0" applyNumberFormat="1" applyFont="1" applyFill="1" applyBorder="1" applyAlignment="1">
      <alignment horizontal="left" indent="1"/>
    </xf>
    <xf numFmtId="166" fontId="0" fillId="0" borderId="0" xfId="1" applyNumberFormat="1" applyFont="1" applyFill="1" applyBorder="1"/>
    <xf numFmtId="41" fontId="55" fillId="20" borderId="0" xfId="0" applyNumberFormat="1" applyFont="1" applyFill="1" applyBorder="1" applyAlignment="1"/>
    <xf numFmtId="168" fontId="34" fillId="0" borderId="11" xfId="0" applyNumberFormat="1" applyFont="1" applyBorder="1"/>
    <xf numFmtId="168" fontId="39" fillId="0" borderId="11" xfId="0" applyNumberFormat="1" applyFont="1" applyBorder="1"/>
    <xf numFmtId="166" fontId="34" fillId="0" borderId="4" xfId="0" applyNumberFormat="1" applyFont="1" applyBorder="1"/>
    <xf numFmtId="166" fontId="39" fillId="0" borderId="4" xfId="0" applyNumberFormat="1" applyFont="1" applyBorder="1"/>
    <xf numFmtId="166" fontId="34" fillId="0" borderId="0" xfId="0" applyNumberFormat="1" applyFont="1"/>
    <xf numFmtId="166" fontId="39" fillId="0" borderId="0" xfId="0" applyNumberFormat="1" applyFont="1"/>
    <xf numFmtId="166" fontId="80" fillId="0" borderId="0" xfId="0" applyNumberFormat="1" applyFont="1" applyFill="1" applyBorder="1"/>
    <xf numFmtId="43" fontId="80" fillId="0" borderId="0" xfId="0" applyNumberFormat="1" applyFont="1" applyFill="1" applyBorder="1"/>
    <xf numFmtId="168" fontId="34" fillId="0" borderId="0" xfId="0" applyNumberFormat="1" applyFont="1"/>
    <xf numFmtId="168" fontId="39" fillId="0" borderId="0" xfId="0" applyNumberFormat="1" applyFont="1"/>
    <xf numFmtId="166" fontId="78" fillId="0" borderId="0" xfId="0" applyNumberFormat="1" applyFont="1" applyFill="1" applyBorder="1" applyAlignment="1">
      <alignment vertical="center"/>
    </xf>
    <xf numFmtId="43" fontId="78" fillId="0" borderId="0" xfId="0" applyNumberFormat="1" applyFont="1" applyFill="1" applyBorder="1" applyAlignment="1">
      <alignment vertical="center"/>
    </xf>
    <xf numFmtId="41" fontId="55" fillId="20" borderId="6" xfId="0" applyNumberFormat="1" applyFont="1" applyFill="1" applyBorder="1" applyAlignment="1"/>
    <xf numFmtId="0" fontId="35" fillId="0" borderId="0" xfId="0" applyFont="1"/>
    <xf numFmtId="0" fontId="39" fillId="0" borderId="0" xfId="0" applyFont="1"/>
    <xf numFmtId="166" fontId="55" fillId="20" borderId="4" xfId="0" applyNumberFormat="1" applyFont="1" applyFill="1" applyBorder="1"/>
    <xf numFmtId="168" fontId="34" fillId="0" borderId="13" xfId="0" applyNumberFormat="1" applyFont="1" applyBorder="1"/>
    <xf numFmtId="168" fontId="39" fillId="0" borderId="13" xfId="0" applyNumberFormat="1" applyFont="1" applyBorder="1"/>
    <xf numFmtId="9" fontId="14" fillId="0" borderId="0" xfId="0" applyNumberFormat="1" applyFont="1"/>
    <xf numFmtId="166" fontId="55" fillId="20" borderId="0" xfId="0" applyNumberFormat="1" applyFont="1" applyFill="1"/>
    <xf numFmtId="0" fontId="34" fillId="0" borderId="6" xfId="0" applyFont="1" applyBorder="1"/>
    <xf numFmtId="0" fontId="39" fillId="0" borderId="6" xfId="0" applyFont="1" applyBorder="1"/>
    <xf numFmtId="0" fontId="71" fillId="0" borderId="0" xfId="0" applyFont="1" applyFill="1" applyBorder="1" applyAlignment="1">
      <alignment vertical="center"/>
    </xf>
    <xf numFmtId="43" fontId="34" fillId="0" borderId="0" xfId="0" applyNumberFormat="1" applyFont="1"/>
    <xf numFmtId="43" fontId="39" fillId="0" borderId="0" xfId="0" applyNumberFormat="1" applyFont="1"/>
    <xf numFmtId="166" fontId="4" fillId="0" borderId="0" xfId="1" applyNumberFormat="1" applyFont="1" applyFill="1" applyBorder="1" applyAlignment="1" applyProtection="1">
      <protection locked="0"/>
    </xf>
    <xf numFmtId="0" fontId="52" fillId="0" borderId="0" xfId="0" applyFont="1" applyFill="1" applyBorder="1" applyAlignment="1">
      <alignment horizontal="center" vertical="center"/>
    </xf>
    <xf numFmtId="42" fontId="4" fillId="6" borderId="11" xfId="0" applyNumberFormat="1" applyFont="1" applyFill="1" applyBorder="1" applyAlignment="1"/>
    <xf numFmtId="42" fontId="83" fillId="0" borderId="0" xfId="0" applyNumberFormat="1" applyFont="1" applyFill="1" applyBorder="1"/>
    <xf numFmtId="41" fontId="4" fillId="6" borderId="0" xfId="0" applyNumberFormat="1" applyFont="1" applyFill="1" applyBorder="1"/>
    <xf numFmtId="43" fontId="4" fillId="6" borderId="0" xfId="0" applyNumberFormat="1" applyFont="1" applyFill="1" applyBorder="1"/>
    <xf numFmtId="9" fontId="4" fillId="0" borderId="0" xfId="3" applyFont="1" applyFill="1" applyBorder="1"/>
    <xf numFmtId="0" fontId="4" fillId="6" borderId="4" xfId="0" applyFont="1" applyFill="1" applyBorder="1"/>
    <xf numFmtId="41" fontId="4" fillId="6" borderId="4" xfId="0" applyNumberFormat="1" applyFont="1" applyFill="1" applyBorder="1"/>
    <xf numFmtId="0" fontId="34" fillId="0" borderId="0" xfId="0" applyFont="1"/>
    <xf numFmtId="42" fontId="55" fillId="20" borderId="0" xfId="0" applyNumberFormat="1" applyFont="1" applyFill="1" applyBorder="1" applyAlignment="1">
      <alignment horizontal="right"/>
    </xf>
    <xf numFmtId="42" fontId="4" fillId="6" borderId="11" xfId="0" applyNumberFormat="1" applyFont="1" applyFill="1" applyBorder="1"/>
    <xf numFmtId="0" fontId="84" fillId="20" borderId="0" xfId="0" applyFont="1" applyFill="1"/>
    <xf numFmtId="41" fontId="4" fillId="6" borderId="0" xfId="0" applyNumberFormat="1" applyFont="1" applyFill="1"/>
    <xf numFmtId="0" fontId="35" fillId="0" borderId="0" xfId="0" applyFont="1" applyFill="1"/>
    <xf numFmtId="168" fontId="0" fillId="0" borderId="0" xfId="0" applyNumberFormat="1" applyFont="1"/>
    <xf numFmtId="41" fontId="4" fillId="6" borderId="0" xfId="0" applyNumberFormat="1" applyFont="1" applyFill="1" applyAlignment="1"/>
    <xf numFmtId="41" fontId="4" fillId="6" borderId="0" xfId="0" applyNumberFormat="1" applyFont="1" applyFill="1" applyBorder="1" applyAlignment="1">
      <alignment horizontal="right"/>
    </xf>
    <xf numFmtId="0" fontId="9" fillId="0" borderId="11" xfId="0" applyFont="1" applyFill="1" applyBorder="1"/>
    <xf numFmtId="42" fontId="10" fillId="0" borderId="6" xfId="0" applyNumberFormat="1" applyFont="1" applyFill="1" applyBorder="1"/>
    <xf numFmtId="41" fontId="4" fillId="6" borderId="6" xfId="0" applyNumberFormat="1" applyFont="1" applyFill="1" applyBorder="1" applyAlignment="1">
      <alignment horizontal="right"/>
    </xf>
    <xf numFmtId="41" fontId="4" fillId="6" borderId="0" xfId="0" applyNumberFormat="1" applyFont="1" applyFill="1" applyAlignment="1">
      <alignment horizontal="right"/>
    </xf>
    <xf numFmtId="166" fontId="35" fillId="0" borderId="0" xfId="0" applyNumberFormat="1" applyFont="1"/>
    <xf numFmtId="37" fontId="4" fillId="6" borderId="6" xfId="0" applyNumberFormat="1" applyFont="1" applyFill="1" applyBorder="1" applyAlignment="1">
      <alignment horizontal="right"/>
    </xf>
    <xf numFmtId="168" fontId="4" fillId="6" borderId="0" xfId="2" applyNumberFormat="1" applyFont="1" applyFill="1" applyBorder="1"/>
    <xf numFmtId="42" fontId="4" fillId="6" borderId="0" xfId="0" applyNumberFormat="1" applyFont="1" applyFill="1"/>
    <xf numFmtId="42" fontId="4" fillId="6" borderId="0" xfId="0" applyNumberFormat="1" applyFont="1" applyFill="1" applyAlignment="1">
      <alignment horizontal="right"/>
    </xf>
    <xf numFmtId="37" fontId="9" fillId="0" borderId="0" xfId="0" applyNumberFormat="1" applyFont="1" applyFill="1" applyBorder="1" applyAlignment="1">
      <alignment horizontal="left"/>
    </xf>
    <xf numFmtId="0" fontId="4" fillId="21" borderId="0" xfId="0" applyFont="1" applyFill="1"/>
    <xf numFmtId="37" fontId="9" fillId="0" borderId="0" xfId="0" applyNumberFormat="1" applyFont="1" applyFill="1" applyBorder="1" applyAlignment="1">
      <alignment horizontal="right"/>
    </xf>
    <xf numFmtId="0" fontId="4" fillId="20" borderId="0" xfId="0" applyFont="1" applyFill="1"/>
    <xf numFmtId="180" fontId="4" fillId="6" borderId="0" xfId="0" applyNumberFormat="1" applyFont="1" applyFill="1" applyAlignment="1">
      <alignment horizontal="right"/>
    </xf>
    <xf numFmtId="42" fontId="4" fillId="4" borderId="11" xfId="0" applyNumberFormat="1" applyFont="1" applyFill="1" applyBorder="1" applyAlignment="1"/>
    <xf numFmtId="37" fontId="9" fillId="0" borderId="0" xfId="0" applyNumberFormat="1" applyFont="1" applyFill="1" applyBorder="1"/>
    <xf numFmtId="37" fontId="4" fillId="0" borderId="0" xfId="0" applyNumberFormat="1" applyFont="1" applyFill="1" applyBorder="1"/>
    <xf numFmtId="10" fontId="43" fillId="6" borderId="0" xfId="0" applyNumberFormat="1" applyFont="1" applyFill="1" applyAlignment="1">
      <alignment horizontal="center"/>
    </xf>
    <xf numFmtId="10" fontId="9" fillId="0" borderId="0" xfId="0" applyNumberFormat="1" applyFont="1" applyFill="1" applyBorder="1" applyAlignment="1">
      <alignment horizontal="left"/>
    </xf>
    <xf numFmtId="41" fontId="4" fillId="4" borderId="0" xfId="0" applyNumberFormat="1" applyFont="1" applyFill="1" applyBorder="1"/>
    <xf numFmtId="43" fontId="4" fillId="4" borderId="0" xfId="0" applyNumberFormat="1" applyFont="1" applyFill="1" applyBorder="1"/>
    <xf numFmtId="41" fontId="4" fillId="6" borderId="0" xfId="0" applyNumberFormat="1" applyFont="1" applyFill="1" applyAlignment="1">
      <alignment horizontal="center"/>
    </xf>
    <xf numFmtId="0" fontId="39" fillId="0" borderId="0" xfId="0" applyNumberFormat="1" applyFont="1" applyFill="1" applyBorder="1"/>
    <xf numFmtId="0" fontId="84" fillId="6" borderId="63" xfId="0" applyFont="1" applyFill="1" applyBorder="1" applyAlignment="1">
      <alignment horizontal="centerContinuous"/>
    </xf>
    <xf numFmtId="0" fontId="85" fillId="6" borderId="64" xfId="0" applyFont="1" applyFill="1" applyBorder="1" applyAlignment="1">
      <alignment horizontal="centerContinuous"/>
    </xf>
    <xf numFmtId="0" fontId="85" fillId="0" borderId="0" xfId="0" applyFont="1" applyFill="1" applyBorder="1" applyAlignment="1">
      <alignment horizontal="centerContinuous"/>
    </xf>
    <xf numFmtId="0" fontId="9" fillId="0" borderId="0" xfId="0" quotePrefix="1" applyFont="1" applyFill="1" applyAlignment="1">
      <alignment horizontal="left"/>
    </xf>
    <xf numFmtId="0" fontId="39" fillId="0" borderId="0" xfId="0" applyNumberFormat="1" applyFont="1" applyFill="1" applyBorder="1" applyAlignment="1"/>
    <xf numFmtId="0" fontId="9" fillId="0" borderId="0" xfId="0" applyFont="1" applyFill="1" applyAlignment="1"/>
    <xf numFmtId="0" fontId="4" fillId="4" borderId="4" xfId="0" applyFont="1" applyFill="1" applyBorder="1"/>
    <xf numFmtId="164" fontId="86" fillId="0" borderId="0" xfId="0" applyNumberFormat="1" applyFont="1" applyFill="1" applyBorder="1" applyAlignment="1"/>
    <xf numFmtId="168" fontId="10" fillId="0" borderId="11" xfId="0" applyNumberFormat="1" applyFont="1" applyFill="1" applyBorder="1"/>
    <xf numFmtId="166" fontId="39" fillId="0" borderId="0" xfId="0" applyNumberFormat="1" applyFont="1" applyFill="1" applyBorder="1"/>
    <xf numFmtId="41" fontId="4" fillId="4" borderId="4" xfId="0" applyNumberFormat="1" applyFont="1" applyFill="1" applyBorder="1"/>
    <xf numFmtId="0" fontId="87" fillId="0" borderId="0" xfId="0" applyFont="1" applyFill="1" applyBorder="1" applyAlignment="1">
      <alignment horizontal="left"/>
    </xf>
    <xf numFmtId="0" fontId="78" fillId="0" borderId="0" xfId="0" applyFont="1" applyAlignment="1"/>
    <xf numFmtId="0" fontId="39" fillId="0" borderId="0" xfId="0" applyNumberFormat="1" applyFont="1" applyFill="1" applyBorder="1" applyAlignment="1">
      <alignment horizontal="left"/>
    </xf>
    <xf numFmtId="4" fontId="4" fillId="0" borderId="0" xfId="0" applyNumberFormat="1" applyFont="1" applyFill="1"/>
    <xf numFmtId="37" fontId="4" fillId="0" borderId="4" xfId="0" applyNumberFormat="1" applyFont="1" applyFill="1" applyBorder="1" applyAlignment="1"/>
    <xf numFmtId="37" fontId="11" fillId="0" borderId="4" xfId="0" applyNumberFormat="1" applyFont="1" applyFill="1" applyBorder="1" applyAlignment="1">
      <alignment horizontal="center"/>
    </xf>
    <xf numFmtId="41" fontId="11" fillId="0" borderId="4" xfId="0" applyNumberFormat="1" applyFont="1" applyFill="1" applyBorder="1" applyAlignment="1">
      <alignment horizontal="center" vertical="center"/>
    </xf>
    <xf numFmtId="0" fontId="79" fillId="0" borderId="0" xfId="0" applyFont="1"/>
    <xf numFmtId="41" fontId="4" fillId="0" borderId="4" xfId="0" applyNumberFormat="1" applyFont="1" applyFill="1" applyBorder="1" applyAlignment="1"/>
    <xf numFmtId="0" fontId="45" fillId="0" borderId="0" xfId="0" applyFont="1" applyFill="1" applyAlignment="1"/>
    <xf numFmtId="0" fontId="5" fillId="0" borderId="0" xfId="0" quotePrefix="1" applyFont="1" applyFill="1" applyBorder="1" applyAlignment="1" applyProtection="1">
      <alignment horizontal="center"/>
      <protection locked="0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/>
    <xf numFmtId="0" fontId="5" fillId="0" borderId="0" xfId="0" applyNumberFormat="1" applyFont="1" applyFill="1" applyBorder="1" applyAlignment="1"/>
    <xf numFmtId="0" fontId="5" fillId="0" borderId="0" xfId="0" applyFont="1" applyFill="1" applyBorder="1" applyAlignment="1" applyProtection="1">
      <protection locked="0"/>
    </xf>
    <xf numFmtId="41" fontId="6" fillId="0" borderId="3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centerContinuous"/>
    </xf>
    <xf numFmtId="166" fontId="80" fillId="0" borderId="11" xfId="0" applyNumberFormat="1" applyFont="1" applyFill="1" applyBorder="1" applyAlignment="1"/>
    <xf numFmtId="166" fontId="88" fillId="0" borderId="11" xfId="0" applyNumberFormat="1" applyFont="1" applyFill="1" applyBorder="1" applyAlignment="1"/>
    <xf numFmtId="0" fontId="80" fillId="0" borderId="0" xfId="0" applyFont="1" applyFill="1" applyBorder="1" applyAlignment="1">
      <alignment horizontal="left"/>
    </xf>
    <xf numFmtId="166" fontId="80" fillId="0" borderId="4" xfId="0" applyNumberFormat="1" applyFont="1" applyFill="1" applyBorder="1" applyAlignment="1" applyProtection="1">
      <protection locked="0"/>
    </xf>
    <xf numFmtId="166" fontId="88" fillId="0" borderId="4" xfId="0" applyNumberFormat="1" applyFont="1" applyFill="1" applyBorder="1" applyAlignment="1" applyProtection="1">
      <protection locked="0"/>
    </xf>
    <xf numFmtId="9" fontId="0" fillId="0" borderId="0" xfId="0" applyNumberFormat="1" applyFont="1" applyFill="1" applyBorder="1"/>
    <xf numFmtId="0" fontId="39" fillId="0" borderId="0" xfId="0" applyFont="1" applyFill="1" applyBorder="1" applyAlignment="1">
      <alignment horizontal="centerContinuous"/>
    </xf>
    <xf numFmtId="43" fontId="4" fillId="6" borderId="0" xfId="0" applyNumberFormat="1" applyFont="1" applyFill="1" applyAlignment="1">
      <alignment horizontal="center"/>
    </xf>
    <xf numFmtId="166" fontId="88" fillId="0" borderId="0" xfId="0" applyNumberFormat="1" applyFont="1" applyFill="1" applyBorder="1" applyAlignment="1"/>
    <xf numFmtId="0" fontId="80" fillId="0" borderId="0" xfId="0" applyNumberFormat="1" applyFont="1" applyFill="1" applyBorder="1" applyAlignment="1" applyProtection="1">
      <protection locked="0"/>
    </xf>
    <xf numFmtId="166" fontId="78" fillId="0" borderId="6" xfId="0" applyNumberFormat="1" applyFont="1" applyFill="1" applyBorder="1" applyAlignment="1"/>
    <xf numFmtId="166" fontId="78" fillId="0" borderId="6" xfId="1" applyNumberFormat="1" applyFont="1" applyFill="1" applyBorder="1" applyAlignment="1"/>
    <xf numFmtId="166" fontId="81" fillId="0" borderId="6" xfId="1" applyNumberFormat="1" applyFont="1" applyFill="1" applyBorder="1" applyAlignment="1"/>
    <xf numFmtId="0" fontId="81" fillId="0" borderId="0" xfId="0" applyFont="1" applyFill="1" applyAlignment="1">
      <alignment horizontal="left"/>
    </xf>
    <xf numFmtId="168" fontId="4" fillId="4" borderId="0" xfId="2" applyNumberFormat="1" applyFont="1" applyFill="1" applyBorder="1"/>
    <xf numFmtId="166" fontId="80" fillId="0" borderId="6" xfId="0" applyNumberFormat="1" applyFont="1" applyFill="1" applyBorder="1" applyAlignment="1"/>
    <xf numFmtId="0" fontId="80" fillId="0" borderId="0" xfId="0" applyFont="1" applyFill="1" applyAlignment="1">
      <alignment horizontal="left" indent="1"/>
    </xf>
    <xf numFmtId="42" fontId="4" fillId="6" borderId="4" xfId="0" applyNumberFormat="1" applyFont="1" applyFill="1" applyBorder="1" applyAlignment="1" applyProtection="1">
      <protection locked="0"/>
    </xf>
    <xf numFmtId="42" fontId="4" fillId="4" borderId="11" xfId="0" applyNumberFormat="1" applyFont="1" applyFill="1" applyBorder="1"/>
    <xf numFmtId="0" fontId="0" fillId="6" borderId="0" xfId="0" applyFill="1"/>
    <xf numFmtId="41" fontId="4" fillId="4" borderId="0" xfId="0" applyNumberFormat="1" applyFont="1" applyFill="1"/>
    <xf numFmtId="41" fontId="11" fillId="0" borderId="0" xfId="0" applyNumberFormat="1" applyFont="1" applyFill="1" applyBorder="1"/>
    <xf numFmtId="0" fontId="11" fillId="0" borderId="0" xfId="0" applyFont="1" applyFill="1" applyBorder="1"/>
    <xf numFmtId="0" fontId="82" fillId="0" borderId="0" xfId="0" applyFont="1" applyFill="1" applyAlignment="1">
      <alignment horizontal="left"/>
    </xf>
    <xf numFmtId="41" fontId="4" fillId="4" borderId="0" xfId="0" applyNumberFormat="1" applyFont="1" applyFill="1" applyAlignment="1"/>
    <xf numFmtId="0" fontId="6" fillId="6" borderId="25" xfId="0" applyFont="1" applyFill="1" applyBorder="1" applyAlignment="1">
      <alignment horizontal="center"/>
    </xf>
    <xf numFmtId="41" fontId="4" fillId="4" borderId="0" xfId="0" applyNumberFormat="1" applyFont="1" applyFill="1" applyBorder="1" applyAlignment="1">
      <alignment horizontal="right"/>
    </xf>
    <xf numFmtId="43" fontId="14" fillId="0" borderId="0" xfId="0" applyNumberFormat="1" applyFont="1"/>
    <xf numFmtId="0" fontId="6" fillId="6" borderId="20" xfId="0" applyFont="1" applyFill="1" applyBorder="1" applyAlignment="1">
      <alignment horizontal="center"/>
    </xf>
    <xf numFmtId="41" fontId="4" fillId="4" borderId="6" xfId="0" applyNumberFormat="1" applyFont="1" applyFill="1" applyBorder="1" applyAlignment="1">
      <alignment horizontal="right"/>
    </xf>
    <xf numFmtId="166" fontId="9" fillId="0" borderId="0" xfId="0" applyNumberFormat="1" applyFont="1" applyFill="1" applyAlignment="1"/>
    <xf numFmtId="166" fontId="4" fillId="0" borderId="4" xfId="1" applyNumberFormat="1" applyFont="1" applyFill="1" applyBorder="1"/>
    <xf numFmtId="0" fontId="6" fillId="6" borderId="16" xfId="0" applyFont="1" applyFill="1" applyBorder="1" applyAlignment="1">
      <alignment horizontal="center"/>
    </xf>
    <xf numFmtId="41" fontId="4" fillId="4" borderId="0" xfId="0" applyNumberFormat="1" applyFont="1" applyFill="1" applyAlignment="1">
      <alignment horizontal="right"/>
    </xf>
    <xf numFmtId="43" fontId="35" fillId="0" borderId="0" xfId="0" applyNumberFormat="1" applyFont="1"/>
    <xf numFmtId="41" fontId="4" fillId="0" borderId="3" xfId="0" applyNumberFormat="1" applyFont="1" applyFill="1" applyBorder="1" applyAlignment="1"/>
    <xf numFmtId="166" fontId="64" fillId="0" borderId="0" xfId="0" applyNumberFormat="1" applyFont="1" applyBorder="1"/>
    <xf numFmtId="0" fontId="9" fillId="6" borderId="0" xfId="0" applyNumberFormat="1" applyFont="1" applyFill="1" applyAlignment="1">
      <alignment horizontal="center"/>
    </xf>
    <xf numFmtId="166" fontId="64" fillId="0" borderId="6" xfId="0" applyNumberFormat="1" applyFont="1" applyBorder="1"/>
    <xf numFmtId="166" fontId="64" fillId="0" borderId="6" xfId="0" applyNumberFormat="1" applyFont="1" applyFill="1" applyBorder="1"/>
    <xf numFmtId="166" fontId="64" fillId="0" borderId="6" xfId="1" applyNumberFormat="1" applyFont="1" applyFill="1" applyBorder="1"/>
    <xf numFmtId="0" fontId="80" fillId="0" borderId="0" xfId="0" applyFont="1" applyFill="1"/>
    <xf numFmtId="0" fontId="64" fillId="0" borderId="0" xfId="0" applyFont="1"/>
    <xf numFmtId="37" fontId="4" fillId="4" borderId="6" xfId="0" applyNumberFormat="1" applyFont="1" applyFill="1" applyBorder="1" applyAlignment="1">
      <alignment horizontal="right"/>
    </xf>
    <xf numFmtId="41" fontId="10" fillId="0" borderId="6" xfId="0" applyNumberFormat="1" applyFont="1" applyFill="1" applyBorder="1"/>
    <xf numFmtId="42" fontId="83" fillId="0" borderId="11" xfId="0" applyNumberFormat="1" applyFont="1" applyBorder="1"/>
    <xf numFmtId="166" fontId="88" fillId="0" borderId="6" xfId="0" applyNumberFormat="1" applyFont="1" applyFill="1" applyBorder="1" applyAlignment="1"/>
    <xf numFmtId="10" fontId="80" fillId="0" borderId="0" xfId="0" applyNumberFormat="1" applyFont="1" applyFill="1" applyAlignment="1">
      <alignment horizontal="left" indent="1"/>
    </xf>
    <xf numFmtId="42" fontId="4" fillId="4" borderId="0" xfId="0" applyNumberFormat="1" applyFont="1" applyFill="1"/>
    <xf numFmtId="42" fontId="4" fillId="4" borderId="0" xfId="0" applyNumberFormat="1" applyFont="1" applyFill="1" applyAlignment="1">
      <alignment horizontal="right"/>
    </xf>
    <xf numFmtId="181" fontId="4" fillId="0" borderId="4" xfId="0" applyNumberFormat="1" applyFont="1" applyFill="1" applyBorder="1" applyAlignment="1">
      <alignment horizontal="left" wrapText="1"/>
    </xf>
    <xf numFmtId="164" fontId="4" fillId="0" borderId="4" xfId="0" quotePrefix="1" applyNumberFormat="1" applyFont="1" applyFill="1" applyBorder="1" applyAlignment="1">
      <alignment horizontal="left"/>
    </xf>
    <xf numFmtId="9" fontId="4" fillId="0" borderId="0" xfId="3" applyFont="1" applyFill="1"/>
    <xf numFmtId="166" fontId="0" fillId="0" borderId="0" xfId="1" applyNumberFormat="1" applyFont="1"/>
    <xf numFmtId="168" fontId="39" fillId="0" borderId="0" xfId="0" applyNumberFormat="1" applyFont="1" applyFill="1"/>
    <xf numFmtId="9" fontId="39" fillId="0" borderId="0" xfId="0" applyNumberFormat="1" applyFont="1"/>
    <xf numFmtId="180" fontId="4" fillId="4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centerContinuous"/>
    </xf>
    <xf numFmtId="166" fontId="39" fillId="0" borderId="4" xfId="0" applyNumberFormat="1" applyFont="1" applyFill="1" applyBorder="1"/>
    <xf numFmtId="166" fontId="14" fillId="0" borderId="4" xfId="0" applyNumberFormat="1" applyFont="1" applyFill="1" applyBorder="1"/>
    <xf numFmtId="43" fontId="39" fillId="0" borderId="4" xfId="0" applyNumberFormat="1" applyFont="1" applyBorder="1"/>
    <xf numFmtId="42" fontId="6" fillId="0" borderId="13" xfId="0" applyNumberFormat="1" applyFont="1" applyFill="1" applyBorder="1" applyAlignment="1"/>
    <xf numFmtId="166" fontId="6" fillId="0" borderId="13" xfId="1" applyNumberFormat="1" applyFont="1" applyFill="1" applyBorder="1" applyAlignment="1"/>
    <xf numFmtId="166" fontId="78" fillId="0" borderId="13" xfId="0" applyNumberFormat="1" applyFont="1" applyFill="1" applyBorder="1" applyAlignment="1"/>
    <xf numFmtId="43" fontId="80" fillId="0" borderId="13" xfId="0" applyNumberFormat="1" applyFont="1" applyFill="1" applyBorder="1" applyAlignment="1"/>
    <xf numFmtId="166" fontId="80" fillId="0" borderId="13" xfId="0" applyNumberFormat="1" applyFont="1" applyFill="1" applyBorder="1" applyAlignment="1"/>
    <xf numFmtId="10" fontId="43" fillId="4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left" wrapText="1"/>
    </xf>
    <xf numFmtId="166" fontId="9" fillId="0" borderId="0" xfId="1" applyNumberFormat="1" applyFont="1" applyFill="1" applyAlignment="1">
      <alignment horizontal="centerContinuous"/>
    </xf>
    <xf numFmtId="41" fontId="4" fillId="0" borderId="3" xfId="0" applyNumberFormat="1" applyFont="1" applyFill="1" applyBorder="1"/>
    <xf numFmtId="0" fontId="6" fillId="0" borderId="4" xfId="0" applyFont="1" applyFill="1" applyBorder="1"/>
    <xf numFmtId="41" fontId="4" fillId="4" borderId="0" xfId="0" applyNumberFormat="1" applyFont="1" applyFill="1" applyAlignment="1">
      <alignment horizontal="center"/>
    </xf>
    <xf numFmtId="43" fontId="4" fillId="4" borderId="0" xfId="0" applyNumberFormat="1" applyFont="1" applyFill="1" applyAlignment="1">
      <alignment horizontal="center"/>
    </xf>
    <xf numFmtId="0" fontId="58" fillId="0" borderId="0" xfId="0" applyFont="1"/>
    <xf numFmtId="166" fontId="4" fillId="0" borderId="6" xfId="1" applyNumberFormat="1" applyFont="1" applyFill="1" applyBorder="1" applyAlignment="1"/>
    <xf numFmtId="166" fontId="78" fillId="0" borderId="3" xfId="0" applyNumberFormat="1" applyFont="1" applyFill="1" applyBorder="1" applyAlignment="1"/>
    <xf numFmtId="43" fontId="80" fillId="0" borderId="3" xfId="0" applyNumberFormat="1" applyFont="1" applyFill="1" applyBorder="1" applyAlignment="1"/>
    <xf numFmtId="166" fontId="80" fillId="0" borderId="3" xfId="0" applyNumberFormat="1" applyFont="1" applyFill="1" applyBorder="1" applyAlignment="1"/>
    <xf numFmtId="42" fontId="4" fillId="4" borderId="4" xfId="0" applyNumberFormat="1" applyFont="1" applyFill="1" applyBorder="1" applyAlignment="1" applyProtection="1">
      <protection locked="0"/>
    </xf>
    <xf numFmtId="0" fontId="78" fillId="0" borderId="0" xfId="0" applyFont="1"/>
    <xf numFmtId="0" fontId="84" fillId="4" borderId="63" xfId="0" applyFont="1" applyFill="1" applyBorder="1" applyAlignment="1">
      <alignment horizontal="centerContinuous"/>
    </xf>
    <xf numFmtId="0" fontId="85" fillId="4" borderId="64" xfId="0" applyFont="1" applyFill="1" applyBorder="1" applyAlignment="1">
      <alignment horizontal="centerContinuous"/>
    </xf>
    <xf numFmtId="0" fontId="0" fillId="4" borderId="0" xfId="0" applyFill="1"/>
    <xf numFmtId="9" fontId="4" fillId="0" borderId="0" xfId="0" applyNumberFormat="1" applyFont="1" applyAlignment="1">
      <alignment horizontal="right"/>
    </xf>
    <xf numFmtId="42" fontId="45" fillId="0" borderId="11" xfId="0" applyNumberFormat="1" applyFont="1" applyFill="1" applyBorder="1" applyAlignment="1"/>
    <xf numFmtId="0" fontId="9" fillId="0" borderId="0" xfId="0" applyFont="1" applyFill="1" applyAlignment="1">
      <alignment horizontal="left" vertical="center"/>
    </xf>
    <xf numFmtId="37" fontId="9" fillId="0" borderId="0" xfId="0" applyNumberFormat="1" applyFont="1" applyFill="1"/>
    <xf numFmtId="0" fontId="6" fillId="4" borderId="25" xfId="0" applyFont="1" applyFill="1" applyBorder="1" applyAlignment="1">
      <alignment horizontal="center"/>
    </xf>
    <xf numFmtId="43" fontId="14" fillId="0" borderId="4" xfId="0" applyNumberFormat="1" applyFont="1" applyBorder="1"/>
    <xf numFmtId="0" fontId="6" fillId="4" borderId="20" xfId="0" applyFont="1" applyFill="1" applyBorder="1" applyAlignment="1">
      <alignment horizontal="center"/>
    </xf>
    <xf numFmtId="0" fontId="0" fillId="0" borderId="6" xfId="0" applyBorder="1"/>
    <xf numFmtId="166" fontId="80" fillId="0" borderId="6" xfId="1" applyNumberFormat="1" applyFont="1" applyFill="1" applyBorder="1" applyAlignment="1"/>
    <xf numFmtId="43" fontId="80" fillId="0" borderId="6" xfId="0" applyNumberFormat="1" applyFont="1" applyFill="1" applyBorder="1" applyAlignment="1"/>
    <xf numFmtId="166" fontId="9" fillId="0" borderId="3" xfId="0" applyNumberFormat="1" applyFont="1" applyFill="1" applyBorder="1"/>
    <xf numFmtId="41" fontId="9" fillId="0" borderId="3" xfId="0" applyNumberFormat="1" applyFont="1" applyFill="1" applyBorder="1" applyAlignment="1"/>
    <xf numFmtId="164" fontId="86" fillId="0" borderId="0" xfId="0" applyNumberFormat="1" applyFont="1" applyAlignment="1"/>
    <xf numFmtId="0" fontId="6" fillId="4" borderId="16" xfId="0" applyFont="1" applyFill="1" applyBorder="1" applyAlignment="1">
      <alignment horizontal="center"/>
    </xf>
    <xf numFmtId="0" fontId="39" fillId="0" borderId="0" xfId="0" applyNumberFormat="1" applyFont="1" applyFill="1"/>
    <xf numFmtId="0" fontId="9" fillId="4" borderId="0" xfId="0" applyNumberFormat="1" applyFont="1" applyFill="1" applyAlignment="1">
      <alignment horizontal="center"/>
    </xf>
    <xf numFmtId="0" fontId="89" fillId="0" borderId="0" xfId="0" applyNumberFormat="1" applyFont="1" applyFill="1" applyAlignment="1"/>
    <xf numFmtId="43" fontId="0" fillId="0" borderId="0" xfId="0" applyNumberFormat="1"/>
    <xf numFmtId="0" fontId="39" fillId="0" borderId="0" xfId="0" applyNumberFormat="1" applyFont="1" applyFill="1" applyAlignment="1"/>
    <xf numFmtId="0" fontId="14" fillId="0" borderId="0" xfId="0" applyFont="1" applyAlignment="1">
      <alignment horizontal="center"/>
    </xf>
    <xf numFmtId="41" fontId="6" fillId="5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 applyAlignment="1" applyProtection="1">
      <alignment horizontal="right"/>
      <protection locked="0"/>
    </xf>
    <xf numFmtId="166" fontId="6" fillId="0" borderId="11" xfId="0" applyNumberFormat="1" applyFont="1" applyFill="1" applyBorder="1"/>
    <xf numFmtId="166" fontId="5" fillId="0" borderId="11" xfId="0" applyNumberFormat="1" applyFont="1" applyFill="1" applyBorder="1"/>
    <xf numFmtId="166" fontId="90" fillId="0" borderId="11" xfId="0" applyNumberFormat="1" applyFont="1" applyFill="1" applyBorder="1"/>
    <xf numFmtId="166" fontId="14" fillId="0" borderId="11" xfId="0" applyNumberFormat="1" applyFont="1" applyFill="1" applyBorder="1"/>
    <xf numFmtId="165" fontId="4" fillId="0" borderId="4" xfId="0" applyNumberFormat="1" applyFont="1" applyFill="1" applyBorder="1" applyAlignment="1"/>
    <xf numFmtId="164" fontId="4" fillId="0" borderId="4" xfId="0" applyNumberFormat="1" applyFont="1" applyFill="1" applyBorder="1" applyAlignment="1">
      <alignment horizontal="left"/>
    </xf>
    <xf numFmtId="43" fontId="34" fillId="0" borderId="0" xfId="0" applyNumberFormat="1" applyFont="1" applyFill="1"/>
    <xf numFmtId="43" fontId="39" fillId="0" borderId="0" xfId="0" applyNumberFormat="1" applyFont="1" applyFill="1"/>
    <xf numFmtId="9" fontId="14" fillId="0" borderId="0" xfId="0" applyNumberFormat="1" applyFont="1" applyFill="1"/>
    <xf numFmtId="41" fontId="4" fillId="21" borderId="4" xfId="0" applyNumberFormat="1" applyFont="1" applyFill="1" applyBorder="1" applyAlignment="1">
      <alignment horizontal="right"/>
    </xf>
    <xf numFmtId="41" fontId="4" fillId="0" borderId="4" xfId="0" applyNumberFormat="1" applyFont="1" applyFill="1" applyBorder="1" applyAlignment="1">
      <alignment horizontal="right"/>
    </xf>
    <xf numFmtId="41" fontId="10" fillId="0" borderId="4" xfId="0" applyNumberFormat="1" applyFont="1" applyFill="1" applyBorder="1" applyAlignment="1">
      <alignment horizontal="right"/>
    </xf>
    <xf numFmtId="166" fontId="4" fillId="0" borderId="4" xfId="1" applyNumberFormat="1" applyFont="1" applyFill="1" applyBorder="1" applyAlignment="1">
      <alignment horizontal="right"/>
    </xf>
    <xf numFmtId="0" fontId="4" fillId="0" borderId="4" xfId="0" applyNumberFormat="1" applyFont="1" applyFill="1" applyBorder="1" applyAlignment="1">
      <alignment horizontal="left"/>
    </xf>
    <xf numFmtId="0" fontId="91" fillId="0" borderId="0" xfId="0" applyFont="1" applyFill="1"/>
    <xf numFmtId="0" fontId="89" fillId="0" borderId="0" xfId="0" applyNumberFormat="1" applyFont="1" applyFill="1" applyAlignment="1">
      <alignment horizontal="left"/>
    </xf>
    <xf numFmtId="42" fontId="92" fillId="0" borderId="13" xfId="0" applyNumberFormat="1" applyFont="1" applyFill="1" applyBorder="1"/>
    <xf numFmtId="166" fontId="90" fillId="0" borderId="0" xfId="0" applyNumberFormat="1" applyFont="1" applyFill="1"/>
    <xf numFmtId="166" fontId="34" fillId="0" borderId="0" xfId="0" applyNumberFormat="1" applyFont="1" applyFill="1" applyBorder="1"/>
    <xf numFmtId="166" fontId="14" fillId="0" borderId="0" xfId="0" applyNumberFormat="1" applyFont="1" applyBorder="1"/>
    <xf numFmtId="166" fontId="80" fillId="0" borderId="6" xfId="1" applyNumberFormat="1" applyFont="1" applyFill="1" applyBorder="1"/>
    <xf numFmtId="41" fontId="4" fillId="5" borderId="0" xfId="0" applyNumberFormat="1" applyFont="1" applyFill="1" applyBorder="1" applyAlignment="1">
      <alignment horizontal="right"/>
    </xf>
    <xf numFmtId="41" fontId="92" fillId="0" borderId="0" xfId="0" applyNumberFormat="1" applyFont="1" applyAlignment="1"/>
    <xf numFmtId="168" fontId="81" fillId="0" borderId="11" xfId="0" applyNumberFormat="1" applyFont="1" applyFill="1" applyBorder="1"/>
    <xf numFmtId="166" fontId="4" fillId="0" borderId="13" xfId="0" applyNumberFormat="1" applyFont="1" applyBorder="1" applyAlignment="1"/>
    <xf numFmtId="164" fontId="39" fillId="0" borderId="0" xfId="0" applyNumberFormat="1" applyFont="1" applyFill="1" applyBorder="1" applyAlignment="1">
      <alignment horizontal="left"/>
    </xf>
    <xf numFmtId="166" fontId="78" fillId="0" borderId="6" xfId="1" applyNumberFormat="1" applyFont="1" applyBorder="1" applyAlignment="1">
      <alignment vertical="center"/>
    </xf>
    <xf numFmtId="166" fontId="78" fillId="0" borderId="3" xfId="0" applyNumberFormat="1" applyFont="1" applyBorder="1" applyAlignment="1">
      <alignment vertical="center"/>
    </xf>
    <xf numFmtId="43" fontId="78" fillId="0" borderId="3" xfId="0" applyNumberFormat="1" applyFont="1" applyFill="1" applyBorder="1" applyAlignment="1">
      <alignment vertical="center"/>
    </xf>
    <xf numFmtId="166" fontId="78" fillId="0" borderId="3" xfId="0" applyNumberFormat="1" applyFont="1" applyFill="1" applyBorder="1" applyAlignment="1">
      <alignment vertical="center"/>
    </xf>
    <xf numFmtId="41" fontId="4" fillId="20" borderId="0" xfId="0" applyNumberFormat="1" applyFont="1" applyFill="1" applyBorder="1" applyAlignment="1">
      <alignment horizontal="right"/>
    </xf>
    <xf numFmtId="41" fontId="10" fillId="0" borderId="0" xfId="0" applyNumberFormat="1" applyFont="1" applyFill="1" applyBorder="1" applyAlignment="1" applyProtection="1">
      <protection locked="0"/>
    </xf>
    <xf numFmtId="9" fontId="0" fillId="0" borderId="0" xfId="0" applyNumberFormat="1" applyFont="1"/>
    <xf numFmtId="41" fontId="92" fillId="0" borderId="4" xfId="0" applyNumberFormat="1" applyFont="1" applyBorder="1" applyAlignment="1"/>
    <xf numFmtId="10" fontId="9" fillId="0" borderId="0" xfId="0" applyNumberFormat="1" applyFont="1" applyFill="1" applyAlignment="1"/>
    <xf numFmtId="166" fontId="80" fillId="0" borderId="0" xfId="0" applyNumberFormat="1" applyFont="1" applyFill="1"/>
    <xf numFmtId="166" fontId="6" fillId="0" borderId="6" xfId="0" applyNumberFormat="1" applyFont="1" applyFill="1" applyBorder="1"/>
    <xf numFmtId="41" fontId="5" fillId="0" borderId="6" xfId="0" applyNumberFormat="1" applyFont="1" applyFill="1" applyBorder="1"/>
    <xf numFmtId="166" fontId="5" fillId="0" borderId="6" xfId="0" applyNumberFormat="1" applyFont="1" applyFill="1" applyBorder="1"/>
    <xf numFmtId="0" fontId="4" fillId="0" borderId="6" xfId="0" applyFont="1" applyBorder="1" applyAlignment="1"/>
    <xf numFmtId="166" fontId="4" fillId="0" borderId="6" xfId="0" applyNumberFormat="1" applyFont="1" applyBorder="1" applyAlignment="1"/>
    <xf numFmtId="0" fontId="39" fillId="0" borderId="0" xfId="0" applyNumberFormat="1" applyFont="1" applyFill="1" applyAlignment="1">
      <alignment horizontal="left"/>
    </xf>
    <xf numFmtId="166" fontId="14" fillId="0" borderId="4" xfId="1" applyNumberFormat="1" applyFont="1" applyBorder="1"/>
    <xf numFmtId="166" fontId="49" fillId="0" borderId="4" xfId="1" applyNumberFormat="1" applyFont="1" applyFill="1" applyBorder="1"/>
    <xf numFmtId="164" fontId="39" fillId="0" borderId="0" xfId="0" applyNumberFormat="1" applyFont="1" applyFill="1" applyAlignment="1"/>
    <xf numFmtId="166" fontId="80" fillId="0" borderId="0" xfId="1" applyNumberFormat="1" applyFont="1" applyFill="1" applyBorder="1"/>
    <xf numFmtId="42" fontId="10" fillId="0" borderId="4" xfId="0" applyNumberFormat="1" applyFont="1" applyBorder="1"/>
    <xf numFmtId="41" fontId="4" fillId="0" borderId="0" xfId="0" applyNumberFormat="1" applyFont="1" applyFill="1" applyAlignment="1" applyProtection="1">
      <alignment horizontal="right"/>
      <protection locked="0"/>
    </xf>
    <xf numFmtId="42" fontId="92" fillId="0" borderId="0" xfId="0" applyNumberFormat="1" applyFont="1" applyBorder="1"/>
    <xf numFmtId="10" fontId="14" fillId="0" borderId="0" xfId="0" applyNumberFormat="1" applyFont="1" applyFill="1" applyAlignment="1">
      <alignment horizontal="center"/>
    </xf>
    <xf numFmtId="37" fontId="9" fillId="0" borderId="0" xfId="0" applyNumberFormat="1" applyFont="1" applyFill="1" applyAlignment="1">
      <alignment horizontal="left"/>
    </xf>
    <xf numFmtId="166" fontId="49" fillId="0" borderId="0" xfId="1" applyNumberFormat="1" applyFont="1" applyFill="1" applyBorder="1"/>
    <xf numFmtId="0" fontId="93" fillId="0" borderId="0" xfId="0" applyNumberFormat="1" applyFont="1" applyFill="1"/>
    <xf numFmtId="41" fontId="77" fillId="0" borderId="0" xfId="0" applyNumberFormat="1" applyFont="1" applyFill="1" applyBorder="1" applyAlignment="1"/>
    <xf numFmtId="0" fontId="77" fillId="0" borderId="0" xfId="0" applyFont="1" applyFill="1" applyBorder="1" applyAlignment="1"/>
    <xf numFmtId="166" fontId="14" fillId="0" borderId="0" xfId="0" applyNumberFormat="1" applyFont="1" applyFill="1" applyBorder="1"/>
    <xf numFmtId="166" fontId="4" fillId="20" borderId="0" xfId="0" applyNumberFormat="1" applyFont="1" applyFill="1" applyAlignment="1"/>
    <xf numFmtId="37" fontId="9" fillId="0" borderId="0" xfId="0" applyNumberFormat="1" applyFont="1" applyFill="1" applyAlignment="1">
      <alignment horizontal="right"/>
    </xf>
    <xf numFmtId="166" fontId="49" fillId="0" borderId="0" xfId="1" applyNumberFormat="1" applyFont="1" applyFill="1" applyBorder="1" applyAlignment="1"/>
    <xf numFmtId="0" fontId="0" fillId="0" borderId="4" xfId="0" applyBorder="1"/>
    <xf numFmtId="42" fontId="10" fillId="0" borderId="0" xfId="0" applyNumberFormat="1" applyFont="1"/>
    <xf numFmtId="168" fontId="14" fillId="0" borderId="4" xfId="0" applyNumberFormat="1" applyFont="1" applyFill="1" applyBorder="1"/>
    <xf numFmtId="44" fontId="4" fillId="0" borderId="0" xfId="0" applyNumberFormat="1" applyFont="1"/>
    <xf numFmtId="168" fontId="4" fillId="0" borderId="4" xfId="0" applyNumberFormat="1" applyFont="1" applyFill="1" applyBorder="1" applyAlignment="1"/>
    <xf numFmtId="164" fontId="39" fillId="0" borderId="0" xfId="0" applyNumberFormat="1" applyFont="1" applyFill="1" applyAlignment="1">
      <alignment horizontal="left"/>
    </xf>
    <xf numFmtId="0" fontId="71" fillId="0" borderId="0" xfId="0" applyFont="1" applyAlignment="1">
      <alignment vertical="center"/>
    </xf>
    <xf numFmtId="42" fontId="4" fillId="5" borderId="4" xfId="0" applyNumberFormat="1" applyFont="1" applyFill="1" applyBorder="1" applyAlignment="1" applyProtection="1">
      <protection locked="0"/>
    </xf>
    <xf numFmtId="41" fontId="4" fillId="0" borderId="4" xfId="0" applyNumberFormat="1" applyFont="1" applyFill="1" applyBorder="1" applyAlignment="1" applyProtection="1">
      <protection locked="0"/>
    </xf>
    <xf numFmtId="5" fontId="4" fillId="0" borderId="0" xfId="0" applyNumberFormat="1" applyFont="1" applyFill="1" applyAlignment="1" applyProtection="1">
      <alignment horizontal="right"/>
      <protection locked="0"/>
    </xf>
    <xf numFmtId="10" fontId="9" fillId="0" borderId="0" xfId="0" applyNumberFormat="1" applyFont="1" applyFill="1" applyAlignment="1">
      <alignment horizontal="left"/>
    </xf>
    <xf numFmtId="168" fontId="10" fillId="0" borderId="4" xfId="0" applyNumberFormat="1" applyFont="1" applyBorder="1"/>
    <xf numFmtId="168" fontId="9" fillId="0" borderId="4" xfId="0" applyNumberFormat="1" applyFont="1" applyBorder="1"/>
    <xf numFmtId="0" fontId="96" fillId="0" borderId="0" xfId="0" applyNumberFormat="1" applyFont="1" applyFill="1" applyAlignment="1">
      <alignment horizontal="left"/>
    </xf>
    <xf numFmtId="166" fontId="4" fillId="0" borderId="0" xfId="1" applyNumberFormat="1" applyFont="1" applyFill="1" applyAlignment="1" applyProtection="1">
      <protection locked="0"/>
    </xf>
    <xf numFmtId="0" fontId="52" fillId="0" borderId="0" xfId="0" applyFont="1" applyAlignment="1">
      <alignment horizontal="center" vertical="center"/>
    </xf>
    <xf numFmtId="0" fontId="53" fillId="0" borderId="0" xfId="0" applyFont="1" applyFill="1"/>
    <xf numFmtId="42" fontId="6" fillId="0" borderId="0" xfId="0" applyNumberFormat="1" applyFont="1" applyFill="1" applyAlignment="1">
      <alignment horizontal="right"/>
    </xf>
    <xf numFmtId="43" fontId="4" fillId="0" borderId="0" xfId="0" applyNumberFormat="1" applyFont="1" applyFill="1" applyAlignment="1">
      <alignment horizontal="center"/>
    </xf>
    <xf numFmtId="0" fontId="39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84" fillId="0" borderId="63" xfId="0" applyFont="1" applyBorder="1" applyAlignment="1">
      <alignment horizontal="centerContinuous"/>
    </xf>
    <xf numFmtId="0" fontId="85" fillId="0" borderId="65" xfId="0" applyFont="1" applyBorder="1" applyAlignment="1">
      <alignment horizontal="centerContinuous"/>
    </xf>
    <xf numFmtId="0" fontId="85" fillId="0" borderId="63" xfId="0" applyFont="1" applyBorder="1" applyAlignment="1">
      <alignment horizontal="centerContinuous"/>
    </xf>
    <xf numFmtId="0" fontId="85" fillId="0" borderId="64" xfId="0" applyFont="1" applyBorder="1" applyAlignment="1">
      <alignment horizontal="centerContinuous"/>
    </xf>
    <xf numFmtId="0" fontId="5" fillId="0" borderId="4" xfId="0" quotePrefix="1" applyFont="1" applyFill="1" applyBorder="1" applyAlignment="1" applyProtection="1">
      <alignment horizontal="center"/>
      <protection locked="0"/>
    </xf>
    <xf numFmtId="0" fontId="5" fillId="0" borderId="4" xfId="0" applyNumberFormat="1" applyFont="1" applyFill="1" applyBorder="1" applyAlignment="1">
      <alignment horizontal="left"/>
    </xf>
    <xf numFmtId="0" fontId="5" fillId="0" borderId="4" xfId="0" applyNumberFormat="1" applyFont="1" applyFill="1" applyBorder="1" applyAlignment="1">
      <alignment horizontal="center"/>
    </xf>
    <xf numFmtId="0" fontId="5" fillId="0" borderId="0" xfId="0" applyNumberFormat="1" applyFont="1" applyFill="1" applyAlignment="1"/>
    <xf numFmtId="0" fontId="5" fillId="0" borderId="0" xfId="0" applyNumberFormat="1" applyFont="1" applyFill="1" applyAlignment="1" applyProtection="1">
      <alignment horizontal="center"/>
      <protection locked="0"/>
    </xf>
    <xf numFmtId="0" fontId="6" fillId="0" borderId="0" xfId="0" applyFont="1" applyBorder="1" applyAlignment="1">
      <alignment horizontal="center"/>
    </xf>
    <xf numFmtId="0" fontId="6" fillId="7" borderId="66" xfId="0" applyFont="1" applyFill="1" applyBorder="1" applyAlignment="1">
      <alignment horizontal="center"/>
    </xf>
    <xf numFmtId="0" fontId="14" fillId="0" borderId="0" xfId="0" applyFont="1" applyFill="1" applyAlignment="1">
      <alignment horizontal="centerContinuous"/>
    </xf>
    <xf numFmtId="0" fontId="6" fillId="7" borderId="67" xfId="0" applyFont="1" applyFill="1" applyBorder="1" applyAlignment="1">
      <alignment horizontal="center"/>
    </xf>
    <xf numFmtId="0" fontId="39" fillId="0" borderId="0" xfId="0" applyFont="1" applyFill="1" applyAlignment="1">
      <alignment horizontal="centerContinuous"/>
    </xf>
    <xf numFmtId="0" fontId="18" fillId="0" borderId="0" xfId="0" applyFont="1"/>
    <xf numFmtId="0" fontId="6" fillId="0" borderId="0" xfId="0" applyFont="1" applyFill="1" applyAlignment="1">
      <alignment vertical="top"/>
    </xf>
    <xf numFmtId="0" fontId="5" fillId="0" borderId="0" xfId="0" applyFont="1" applyFill="1" applyAlignment="1">
      <alignment horizontal="centerContinuous" vertical="top"/>
    </xf>
    <xf numFmtId="0" fontId="5" fillId="0" borderId="0" xfId="0" applyFont="1" applyFill="1" applyAlignment="1">
      <alignment horizontal="left" vertical="top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centerContinuous"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centerContinuous" vertical="top"/>
    </xf>
    <xf numFmtId="0" fontId="0" fillId="0" borderId="0" xfId="0" applyAlignment="1">
      <alignment horizontal="centerContinuous" vertical="top"/>
    </xf>
    <xf numFmtId="166" fontId="6" fillId="0" borderId="0" xfId="1" applyNumberFormat="1" applyFont="1" applyFill="1" applyAlignment="1">
      <alignment horizontal="left" vertical="top"/>
    </xf>
    <xf numFmtId="166" fontId="6" fillId="0" borderId="0" xfId="1" applyNumberFormat="1" applyFont="1" applyFill="1" applyAlignment="1">
      <alignment horizontal="centerContinuous" vertical="top"/>
    </xf>
    <xf numFmtId="0" fontId="5" fillId="0" borderId="0" xfId="0" applyFont="1" applyFill="1" applyAlignment="1">
      <alignment horizontal="centerContinuous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6" fontId="6" fillId="0" borderId="0" xfId="1" applyNumberFormat="1" applyFont="1" applyFill="1" applyAlignment="1">
      <alignment horizontal="left"/>
    </xf>
    <xf numFmtId="166" fontId="6" fillId="0" borderId="0" xfId="1" applyNumberFormat="1" applyFont="1" applyFill="1" applyAlignment="1">
      <alignment horizontal="centerContinuous"/>
    </xf>
    <xf numFmtId="0" fontId="37" fillId="0" borderId="0" xfId="0" applyFont="1" applyFill="1" applyAlignment="1">
      <alignment horizontal="centerContinuous"/>
    </xf>
    <xf numFmtId="0" fontId="37" fillId="0" borderId="0" xfId="0" applyNumberFormat="1" applyFont="1" applyFill="1" applyAlignment="1" applyProtection="1">
      <alignment horizontal="centerContinuous"/>
      <protection locked="0"/>
    </xf>
    <xf numFmtId="0" fontId="37" fillId="0" borderId="0" xfId="0" applyFont="1" applyFill="1" applyAlignment="1">
      <alignment horizontal="left"/>
    </xf>
    <xf numFmtId="0" fontId="84" fillId="0" borderId="0" xfId="0" applyFont="1"/>
    <xf numFmtId="0" fontId="37" fillId="0" borderId="0" xfId="0" applyFont="1" applyFill="1" applyAlignment="1">
      <alignment horizontal="center"/>
    </xf>
    <xf numFmtId="166" fontId="7" fillId="0" borderId="0" xfId="1" applyNumberFormat="1" applyFont="1" applyFill="1" applyAlignment="1" applyProtection="1">
      <alignment horizontal="left"/>
      <protection locked="0"/>
    </xf>
    <xf numFmtId="166" fontId="7" fillId="0" borderId="0" xfId="1" applyNumberFormat="1" applyFont="1" applyFill="1" applyAlignment="1" applyProtection="1">
      <alignment horizontal="centerContinuous"/>
      <protection locked="0"/>
    </xf>
    <xf numFmtId="43" fontId="6" fillId="0" borderId="47" xfId="0" applyNumberFormat="1" applyFont="1" applyFill="1" applyBorder="1" applyAlignment="1">
      <alignment horizontal="right"/>
    </xf>
    <xf numFmtId="177" fontId="5" fillId="0" borderId="0" xfId="0" applyNumberFormat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right"/>
    </xf>
    <xf numFmtId="166" fontId="0" fillId="0" borderId="0" xfId="1" applyNumberFormat="1" applyFont="1" applyFill="1"/>
    <xf numFmtId="3" fontId="74" fillId="0" borderId="0" xfId="0" applyNumberFormat="1" applyFont="1" applyFill="1"/>
    <xf numFmtId="166" fontId="9" fillId="0" borderId="0" xfId="0" applyNumberFormat="1" applyFont="1" applyFill="1" applyBorder="1" applyAlignment="1">
      <alignment horizontal="centerContinuous"/>
    </xf>
    <xf numFmtId="41" fontId="97" fillId="0" borderId="0" xfId="0" applyNumberFormat="1" applyFont="1" applyFill="1" applyBorder="1" applyAlignment="1"/>
    <xf numFmtId="41" fontId="98" fillId="0" borderId="0" xfId="0" applyNumberFormat="1" applyFont="1" applyFill="1" applyBorder="1" applyAlignment="1"/>
    <xf numFmtId="0" fontId="45" fillId="0" borderId="0" xfId="0" applyFont="1" applyFill="1" applyBorder="1" applyAlignment="1">
      <alignment horizontal="right"/>
    </xf>
    <xf numFmtId="41" fontId="99" fillId="0" borderId="0" xfId="0" applyNumberFormat="1" applyFont="1" applyFill="1" applyBorder="1" applyAlignment="1"/>
    <xf numFmtId="37" fontId="73" fillId="0" borderId="0" xfId="0" applyNumberFormat="1" applyFont="1" applyFill="1" applyBorder="1"/>
    <xf numFmtId="37" fontId="100" fillId="0" borderId="0" xfId="0" applyNumberFormat="1" applyFont="1" applyFill="1" applyBorder="1"/>
    <xf numFmtId="0" fontId="56" fillId="0" borderId="0" xfId="0" applyNumberFormat="1" applyFont="1" applyFill="1" applyBorder="1" applyAlignment="1">
      <alignment horizontal="right" indent="2"/>
    </xf>
    <xf numFmtId="166" fontId="99" fillId="0" borderId="0" xfId="0" applyNumberFormat="1" applyFont="1" applyFill="1" applyBorder="1" applyAlignment="1"/>
    <xf numFmtId="42" fontId="99" fillId="0" borderId="0" xfId="0" applyNumberFormat="1" applyFont="1" applyFill="1" applyBorder="1" applyAlignment="1"/>
    <xf numFmtId="0" fontId="4" fillId="0" borderId="0" xfId="0" applyNumberFormat="1" applyFont="1" applyFill="1" applyBorder="1" applyAlignment="1" applyProtection="1">
      <alignment horizontal="center"/>
      <protection locked="0"/>
    </xf>
    <xf numFmtId="41" fontId="0" fillId="0" borderId="0" xfId="0" applyNumberFormat="1"/>
    <xf numFmtId="0" fontId="51" fillId="0" borderId="0" xfId="0" applyFont="1" applyFill="1"/>
    <xf numFmtId="37" fontId="4" fillId="0" borderId="0" xfId="0" applyNumberFormat="1" applyFont="1" applyFill="1" applyAlignment="1">
      <alignment horizontal="left" indent="7"/>
    </xf>
    <xf numFmtId="41" fontId="10" fillId="0" borderId="4" xfId="0" applyNumberFormat="1" applyFont="1" applyFill="1" applyBorder="1" applyAlignment="1" applyProtection="1">
      <protection locked="0"/>
    </xf>
    <xf numFmtId="37" fontId="66" fillId="0" borderId="0" xfId="0" applyNumberFormat="1" applyFont="1" applyFill="1" applyAlignment="1">
      <alignment horizontal="left" indent="2"/>
    </xf>
    <xf numFmtId="0" fontId="0" fillId="0" borderId="0" xfId="0" applyNumberFormat="1" applyFill="1" applyAlignment="1"/>
    <xf numFmtId="0" fontId="45" fillId="0" borderId="0" xfId="0" applyFont="1" applyFill="1" applyAlignment="1">
      <alignment horizontal="right"/>
    </xf>
    <xf numFmtId="166" fontId="9" fillId="0" borderId="11" xfId="0" applyNumberFormat="1" applyFont="1" applyFill="1" applyBorder="1" applyAlignment="1"/>
    <xf numFmtId="41" fontId="51" fillId="0" borderId="0" xfId="0" applyNumberFormat="1" applyFont="1" applyFill="1"/>
    <xf numFmtId="37" fontId="73" fillId="0" borderId="0" xfId="0" applyNumberFormat="1" applyFont="1" applyFill="1"/>
    <xf numFmtId="37" fontId="100" fillId="0" borderId="0" xfId="0" applyNumberFormat="1" applyFont="1" applyFill="1"/>
    <xf numFmtId="0" fontId="56" fillId="0" borderId="0" xfId="0" applyNumberFormat="1" applyFont="1" applyFill="1" applyAlignment="1">
      <alignment horizontal="right" indent="2"/>
    </xf>
    <xf numFmtId="166" fontId="99" fillId="0" borderId="13" xfId="0" applyNumberFormat="1" applyFont="1" applyFill="1" applyBorder="1" applyAlignment="1"/>
    <xf numFmtId="166" fontId="14" fillId="0" borderId="0" xfId="0" applyNumberFormat="1" applyFont="1" applyFill="1" applyBorder="1" applyAlignment="1"/>
    <xf numFmtId="41" fontId="99" fillId="0" borderId="6" xfId="0" applyNumberFormat="1" applyFont="1" applyFill="1" applyBorder="1" applyAlignment="1"/>
    <xf numFmtId="166" fontId="4" fillId="0" borderId="0" xfId="0" applyNumberFormat="1" applyFont="1" applyFill="1" applyAlignment="1">
      <alignment horizontal="left" wrapText="1"/>
    </xf>
    <xf numFmtId="166" fontId="4" fillId="0" borderId="0" xfId="0" applyNumberFormat="1" applyFont="1" applyFill="1" applyBorder="1" applyAlignment="1">
      <alignment horizontal="left" wrapText="1"/>
    </xf>
    <xf numFmtId="0" fontId="63" fillId="0" borderId="0" xfId="0" applyFont="1" applyFill="1" applyBorder="1" applyAlignment="1"/>
    <xf numFmtId="0" fontId="30" fillId="0" borderId="0" xfId="0" applyFont="1" applyFill="1" applyAlignment="1">
      <alignment horizontal="left" indent="2"/>
    </xf>
    <xf numFmtId="166" fontId="51" fillId="0" borderId="0" xfId="0" applyNumberFormat="1" applyFont="1" applyFill="1" applyAlignment="1"/>
    <xf numFmtId="41" fontId="68" fillId="0" borderId="0" xfId="2" applyNumberFormat="1" applyFont="1" applyFill="1" applyBorder="1"/>
    <xf numFmtId="166" fontId="68" fillId="0" borderId="0" xfId="1" applyNumberFormat="1" applyFont="1" applyFill="1" applyBorder="1"/>
    <xf numFmtId="9" fontId="68" fillId="0" borderId="0" xfId="3" applyFont="1" applyFill="1" applyBorder="1"/>
    <xf numFmtId="0" fontId="39" fillId="0" borderId="0" xfId="0" applyFont="1" applyFill="1" applyAlignment="1">
      <alignment horizontal="left" indent="2"/>
    </xf>
    <xf numFmtId="0" fontId="68" fillId="0" borderId="0" xfId="0" applyFont="1" applyFill="1" applyBorder="1" applyAlignment="1">
      <alignment horizontal="left" indent="1"/>
    </xf>
    <xf numFmtId="37" fontId="101" fillId="0" borderId="0" xfId="0" applyNumberFormat="1" applyFont="1" applyFill="1" applyAlignment="1">
      <alignment horizontal="left" indent="2"/>
    </xf>
    <xf numFmtId="166" fontId="68" fillId="0" borderId="4" xfId="1" applyNumberFormat="1" applyFont="1" applyFill="1" applyBorder="1"/>
    <xf numFmtId="42" fontId="14" fillId="0" borderId="0" xfId="0" applyNumberFormat="1" applyFont="1" applyFill="1" applyAlignment="1"/>
    <xf numFmtId="166" fontId="22" fillId="0" borderId="0" xfId="0" applyNumberFormat="1" applyFont="1" applyFill="1" applyBorder="1" applyAlignment="1"/>
    <xf numFmtId="0" fontId="63" fillId="0" borderId="0" xfId="0" applyFont="1" applyFill="1" applyBorder="1"/>
    <xf numFmtId="0" fontId="102" fillId="0" borderId="0" xfId="0" applyFont="1" applyFill="1" applyAlignment="1">
      <alignment horizontal="left"/>
    </xf>
    <xf numFmtId="0" fontId="4" fillId="0" borderId="0" xfId="0" applyNumberFormat="1" applyFont="1" applyFill="1" applyBorder="1"/>
    <xf numFmtId="43" fontId="103" fillId="0" borderId="0" xfId="0" applyNumberFormat="1" applyFont="1" applyFill="1" applyBorder="1" applyAlignment="1">
      <alignment horizontal="centerContinuous"/>
    </xf>
    <xf numFmtId="166" fontId="55" fillId="0" borderId="0" xfId="0" applyNumberFormat="1" applyFont="1" applyFill="1" applyBorder="1" applyAlignment="1">
      <alignment horizontal="centerContinuous"/>
    </xf>
    <xf numFmtId="43" fontId="103" fillId="0" borderId="0" xfId="0" applyNumberFormat="1" applyFont="1" applyFill="1" applyBorder="1" applyAlignment="1">
      <alignment horizontal="center"/>
    </xf>
    <xf numFmtId="0" fontId="30" fillId="0" borderId="0" xfId="0" applyFont="1" applyFill="1" applyAlignment="1">
      <alignment horizontal="left"/>
    </xf>
    <xf numFmtId="188" fontId="4" fillId="0" borderId="0" xfId="0" applyNumberFormat="1" applyFont="1" applyFill="1" applyBorder="1" applyAlignment="1">
      <alignment horizontal="left"/>
    </xf>
    <xf numFmtId="41" fontId="4" fillId="0" borderId="0" xfId="0" applyNumberFormat="1" applyFont="1" applyFill="1" applyBorder="1" applyAlignment="1" applyProtection="1">
      <alignment horizontal="left"/>
      <protection locked="0"/>
    </xf>
    <xf numFmtId="168" fontId="68" fillId="0" borderId="0" xfId="2" applyNumberFormat="1" applyFont="1" applyFill="1" applyBorder="1"/>
    <xf numFmtId="42" fontId="4" fillId="0" borderId="0" xfId="0" applyNumberFormat="1" applyFont="1" applyFill="1" applyAlignment="1">
      <alignment horizontal="left" wrapText="1"/>
    </xf>
    <xf numFmtId="0" fontId="43" fillId="0" borderId="0" xfId="0" applyNumberFormat="1" applyFont="1" applyFill="1" applyBorder="1" applyAlignment="1">
      <alignment horizontal="left"/>
    </xf>
    <xf numFmtId="0" fontId="68" fillId="0" borderId="0" xfId="0" applyFont="1" applyFill="1" applyBorder="1"/>
    <xf numFmtId="0" fontId="63" fillId="0" borderId="0" xfId="0" applyFont="1" applyFill="1" applyBorder="1" applyAlignment="1">
      <alignment horizontal="left"/>
    </xf>
    <xf numFmtId="0" fontId="4" fillId="0" borderId="6" xfId="0" applyFont="1" applyFill="1" applyBorder="1" applyAlignment="1">
      <alignment horizontal="center"/>
    </xf>
    <xf numFmtId="0" fontId="9" fillId="0" borderId="0" xfId="0" applyFont="1" applyFill="1" applyAlignment="1">
      <alignment horizontal="left" wrapText="1"/>
    </xf>
    <xf numFmtId="0" fontId="55" fillId="0" borderId="0" xfId="0" applyFont="1" applyFill="1" applyAlignment="1">
      <alignment horizontal="center"/>
    </xf>
    <xf numFmtId="0" fontId="45" fillId="0" borderId="4" xfId="0" quotePrefix="1" applyFont="1" applyFill="1" applyBorder="1" applyAlignment="1" applyProtection="1">
      <alignment horizontal="center"/>
      <protection locked="0"/>
    </xf>
    <xf numFmtId="0" fontId="45" fillId="0" borderId="4" xfId="0" applyFont="1" applyFill="1" applyBorder="1" applyAlignment="1">
      <alignment horizontal="left" wrapText="1"/>
    </xf>
    <xf numFmtId="0" fontId="45" fillId="0" borderId="4" xfId="0" applyFont="1" applyFill="1" applyBorder="1" applyAlignment="1">
      <alignment horizontal="center"/>
    </xf>
    <xf numFmtId="0" fontId="45" fillId="0" borderId="0" xfId="0" applyFont="1" applyFill="1" applyAlignment="1">
      <alignment horizontal="left" wrapText="1"/>
    </xf>
    <xf numFmtId="0" fontId="45" fillId="0" borderId="0" xfId="0" applyFont="1" applyFill="1" applyAlignment="1" applyProtection="1">
      <alignment horizontal="center"/>
      <protection locked="0"/>
    </xf>
    <xf numFmtId="0" fontId="45" fillId="0" borderId="0" xfId="0" applyFont="1" applyFill="1" applyBorder="1" applyAlignment="1" applyProtection="1">
      <protection locked="0"/>
    </xf>
    <xf numFmtId="164" fontId="45" fillId="0" borderId="0" xfId="0" applyNumberFormat="1" applyFont="1" applyFill="1" applyAlignment="1" applyProtection="1">
      <alignment horizontal="centerContinuous"/>
      <protection locked="0"/>
    </xf>
    <xf numFmtId="0" fontId="45" fillId="0" borderId="0" xfId="0" applyFont="1" applyFill="1" applyAlignment="1">
      <alignment horizontal="centerContinuous"/>
    </xf>
    <xf numFmtId="0" fontId="45" fillId="0" borderId="0" xfId="0" applyFont="1" applyFill="1" applyAlignment="1" applyProtection="1">
      <alignment horizontal="centerContinuous" vertical="center"/>
      <protection locked="0"/>
    </xf>
    <xf numFmtId="0" fontId="45" fillId="0" borderId="0" xfId="0" applyFont="1" applyFill="1" applyAlignment="1" applyProtection="1">
      <alignment horizontal="left" vertical="center"/>
      <protection locked="0"/>
    </xf>
    <xf numFmtId="0" fontId="51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Continuous" vertical="top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Continuous"/>
    </xf>
    <xf numFmtId="168" fontId="0" fillId="0" borderId="68" xfId="0" applyNumberFormat="1" applyFill="1" applyBorder="1"/>
    <xf numFmtId="168" fontId="0" fillId="0" borderId="49" xfId="0" applyNumberFormat="1" applyFill="1" applyBorder="1"/>
    <xf numFmtId="168" fontId="0" fillId="0" borderId="11" xfId="0" applyNumberFormat="1" applyFill="1" applyBorder="1"/>
    <xf numFmtId="168" fontId="71" fillId="0" borderId="68" xfId="0" applyNumberFormat="1" applyFont="1" applyFill="1" applyBorder="1"/>
    <xf numFmtId="168" fontId="71" fillId="0" borderId="11" xfId="0" applyNumberFormat="1" applyFont="1" applyFill="1" applyBorder="1"/>
    <xf numFmtId="0" fontId="73" fillId="0" borderId="0" xfId="0" applyFont="1"/>
    <xf numFmtId="1" fontId="72" fillId="0" borderId="0" xfId="0" applyNumberFormat="1" applyFont="1"/>
    <xf numFmtId="0" fontId="0" fillId="0" borderId="69" xfId="0" applyBorder="1"/>
    <xf numFmtId="41" fontId="73" fillId="0" borderId="4" xfId="0" applyNumberFormat="1" applyFont="1" applyFill="1" applyBorder="1"/>
    <xf numFmtId="41" fontId="0" fillId="0" borderId="0" xfId="0" applyNumberFormat="1" applyFill="1" applyBorder="1"/>
    <xf numFmtId="44" fontId="0" fillId="0" borderId="0" xfId="0" applyNumberFormat="1"/>
    <xf numFmtId="0" fontId="89" fillId="0" borderId="22" xfId="0" applyNumberFormat="1" applyFont="1" applyFill="1" applyBorder="1" applyAlignment="1"/>
    <xf numFmtId="41" fontId="104" fillId="0" borderId="10" xfId="0" applyNumberFormat="1" applyFont="1" applyFill="1" applyBorder="1"/>
    <xf numFmtId="166" fontId="71" fillId="0" borderId="10" xfId="0" applyNumberFormat="1" applyFont="1" applyFill="1" applyBorder="1"/>
    <xf numFmtId="0" fontId="89" fillId="0" borderId="9" xfId="0" applyNumberFormat="1" applyFont="1" applyFill="1" applyBorder="1" applyAlignment="1"/>
    <xf numFmtId="41" fontId="104" fillId="0" borderId="8" xfId="0" applyNumberFormat="1" applyFont="1" applyFill="1" applyBorder="1"/>
    <xf numFmtId="168" fontId="71" fillId="0" borderId="7" xfId="0" applyNumberFormat="1" applyFont="1" applyFill="1" applyBorder="1"/>
    <xf numFmtId="168" fontId="71" fillId="0" borderId="5" xfId="0" applyNumberFormat="1" applyFont="1" applyFill="1" applyBorder="1"/>
    <xf numFmtId="0" fontId="104" fillId="0" borderId="9" xfId="0" applyFont="1" applyBorder="1"/>
    <xf numFmtId="189" fontId="104" fillId="0" borderId="8" xfId="0" applyNumberFormat="1" applyFont="1" applyFill="1" applyBorder="1"/>
    <xf numFmtId="0" fontId="104" fillId="0" borderId="7" xfId="0" applyFont="1" applyBorder="1"/>
    <xf numFmtId="10" fontId="104" fillId="0" borderId="5" xfId="3" applyNumberFormat="1" applyFont="1" applyFill="1" applyBorder="1"/>
    <xf numFmtId="0" fontId="0" fillId="0" borderId="2" xfId="0" applyBorder="1"/>
    <xf numFmtId="168" fontId="105" fillId="0" borderId="1" xfId="0" applyNumberFormat="1" applyFont="1" applyBorder="1"/>
    <xf numFmtId="168" fontId="0" fillId="0" borderId="0" xfId="0" applyNumberFormat="1"/>
    <xf numFmtId="168" fontId="0" fillId="0" borderId="8" xfId="0" applyNumberFormat="1" applyFont="1" applyFill="1" applyBorder="1"/>
    <xf numFmtId="166" fontId="39" fillId="0" borderId="0" xfId="1" applyNumberFormat="1" applyFont="1" applyFill="1" applyAlignment="1" applyProtection="1">
      <protection locked="0"/>
    </xf>
    <xf numFmtId="0" fontId="32" fillId="22" borderId="3" xfId="0" applyFont="1" applyFill="1" applyBorder="1"/>
    <xf numFmtId="3" fontId="25" fillId="22" borderId="3" xfId="0" applyNumberFormat="1" applyFont="1" applyFill="1" applyBorder="1" applyAlignment="1">
      <alignment horizontal="right"/>
    </xf>
    <xf numFmtId="3" fontId="25" fillId="0" borderId="3" xfId="0" applyNumberFormat="1" applyFont="1" applyFill="1" applyBorder="1" applyAlignment="1">
      <alignment horizontal="right"/>
    </xf>
    <xf numFmtId="41" fontId="34" fillId="13" borderId="41" xfId="0" applyNumberFormat="1" applyFont="1" applyFill="1" applyBorder="1" applyAlignment="1" applyProtection="1">
      <protection locked="0"/>
    </xf>
    <xf numFmtId="0" fontId="14" fillId="13" borderId="0" xfId="0" applyNumberFormat="1" applyFont="1" applyFill="1" applyAlignment="1"/>
    <xf numFmtId="10" fontId="39" fillId="0" borderId="0" xfId="0" applyNumberFormat="1" applyFont="1" applyFill="1" applyBorder="1"/>
    <xf numFmtId="10" fontId="14" fillId="5" borderId="0" xfId="0" applyNumberFormat="1" applyFont="1" applyFill="1" applyBorder="1"/>
    <xf numFmtId="0" fontId="27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/>
    <xf numFmtId="0" fontId="35" fillId="0" borderId="0" xfId="0" applyFont="1" applyFill="1" applyAlignment="1">
      <alignment horizontal="center"/>
    </xf>
    <xf numFmtId="43" fontId="14" fillId="0" borderId="0" xfId="0" applyNumberFormat="1" applyFont="1" applyFill="1"/>
    <xf numFmtId="9" fontId="14" fillId="0" borderId="0" xfId="0" applyNumberFormat="1" applyFont="1" applyFill="1" applyAlignment="1" applyProtection="1">
      <protection locked="0"/>
    </xf>
    <xf numFmtId="44" fontId="14" fillId="0" borderId="0" xfId="0" applyNumberFormat="1" applyFont="1" applyFill="1"/>
    <xf numFmtId="41" fontId="34" fillId="0" borderId="0" xfId="0" applyNumberFormat="1" applyFont="1" applyFill="1"/>
    <xf numFmtId="174" fontId="39" fillId="0" borderId="0" xfId="0" applyNumberFormat="1" applyFont="1" applyFill="1"/>
    <xf numFmtId="42" fontId="14" fillId="5" borderId="9" xfId="0" applyNumberFormat="1" applyFont="1" applyFill="1" applyBorder="1" applyAlignment="1" applyProtection="1">
      <protection locked="0"/>
    </xf>
    <xf numFmtId="3" fontId="32" fillId="5" borderId="12" xfId="0" applyNumberFormat="1" applyFont="1" applyFill="1" applyBorder="1"/>
    <xf numFmtId="17" fontId="14" fillId="5" borderId="12" xfId="0" applyNumberFormat="1" applyFont="1" applyFill="1" applyBorder="1" applyAlignment="1">
      <alignment horizontal="center"/>
    </xf>
    <xf numFmtId="17" fontId="33" fillId="5" borderId="12" xfId="0" applyNumberFormat="1" applyFont="1" applyFill="1" applyBorder="1" applyAlignment="1">
      <alignment horizontal="center"/>
    </xf>
    <xf numFmtId="3" fontId="32" fillId="5" borderId="37" xfId="0" applyNumberFormat="1" applyFont="1" applyFill="1" applyBorder="1"/>
    <xf numFmtId="3" fontId="25" fillId="12" borderId="12" xfId="0" applyNumberFormat="1" applyFont="1" applyFill="1" applyBorder="1" applyAlignment="1">
      <alignment horizontal="right"/>
    </xf>
    <xf numFmtId="3" fontId="32" fillId="11" borderId="12" xfId="0" applyNumberFormat="1" applyFont="1" applyFill="1" applyBorder="1"/>
    <xf numFmtId="0" fontId="14" fillId="0" borderId="12" xfId="0" applyFont="1" applyFill="1" applyBorder="1"/>
    <xf numFmtId="41" fontId="34" fillId="13" borderId="12" xfId="0" applyNumberFormat="1" applyFont="1" applyFill="1" applyBorder="1" applyAlignment="1" applyProtection="1">
      <protection locked="0"/>
    </xf>
    <xf numFmtId="42" fontId="39" fillId="5" borderId="12" xfId="0" applyNumberFormat="1" applyFont="1" applyFill="1" applyBorder="1" applyAlignment="1" applyProtection="1">
      <protection locked="0"/>
    </xf>
    <xf numFmtId="42" fontId="0" fillId="5" borderId="12" xfId="0" applyNumberFormat="1" applyFont="1" applyFill="1" applyBorder="1"/>
    <xf numFmtId="168" fontId="34" fillId="5" borderId="12" xfId="0" applyNumberFormat="1" applyFont="1" applyFill="1" applyBorder="1"/>
    <xf numFmtId="168" fontId="14" fillId="5" borderId="12" xfId="0" applyNumberFormat="1" applyFont="1" applyFill="1" applyBorder="1"/>
    <xf numFmtId="41" fontId="27" fillId="5" borderId="12" xfId="0" applyNumberFormat="1" applyFont="1" applyFill="1" applyBorder="1" applyAlignment="1" applyProtection="1">
      <protection locked="0"/>
    </xf>
    <xf numFmtId="166" fontId="14" fillId="5" borderId="12" xfId="0" applyNumberFormat="1" applyFont="1" applyFill="1" applyBorder="1"/>
    <xf numFmtId="0" fontId="14" fillId="5" borderId="8" xfId="0" applyFont="1" applyFill="1" applyBorder="1"/>
    <xf numFmtId="0" fontId="106" fillId="0" borderId="0" xfId="0" applyFont="1" applyFill="1" applyAlignment="1">
      <alignment horizontal="center"/>
    </xf>
    <xf numFmtId="0" fontId="32" fillId="11" borderId="12" xfId="0" applyFont="1" applyFill="1" applyBorder="1"/>
    <xf numFmtId="10" fontId="14" fillId="0" borderId="12" xfId="0" applyNumberFormat="1" applyFont="1" applyFill="1" applyBorder="1"/>
    <xf numFmtId="41" fontId="14" fillId="5" borderId="10" xfId="0" applyNumberFormat="1" applyFont="1" applyFill="1" applyBorder="1" applyAlignment="1" applyProtection="1">
      <protection locked="0"/>
    </xf>
    <xf numFmtId="41" fontId="14" fillId="0" borderId="12" xfId="0" applyNumberFormat="1" applyFont="1" applyFill="1" applyBorder="1" applyAlignment="1" applyProtection="1">
      <protection locked="0"/>
    </xf>
    <xf numFmtId="41" fontId="14" fillId="5" borderId="8" xfId="0" applyNumberFormat="1" applyFont="1" applyFill="1" applyBorder="1" applyAlignment="1" applyProtection="1">
      <protection locked="0"/>
    </xf>
    <xf numFmtId="41" fontId="34" fillId="0" borderId="12" xfId="0" applyNumberFormat="1" applyFont="1" applyFill="1" applyBorder="1" applyAlignment="1" applyProtection="1">
      <protection locked="0"/>
    </xf>
    <xf numFmtId="0" fontId="34" fillId="0" borderId="12" xfId="0" applyFont="1" applyFill="1" applyBorder="1"/>
    <xf numFmtId="10" fontId="14" fillId="5" borderId="8" xfId="0" applyNumberFormat="1" applyFont="1" applyFill="1" applyBorder="1"/>
    <xf numFmtId="42" fontId="14" fillId="5" borderId="49" xfId="0" applyNumberFormat="1" applyFont="1" applyFill="1" applyBorder="1"/>
    <xf numFmtId="42" fontId="14" fillId="5" borderId="8" xfId="0" applyNumberFormat="1" applyFont="1" applyFill="1" applyBorder="1"/>
    <xf numFmtId="42" fontId="0" fillId="5" borderId="70" xfId="0" applyNumberFormat="1" applyFont="1" applyFill="1" applyBorder="1"/>
    <xf numFmtId="42" fontId="14" fillId="5" borderId="71" xfId="0" applyNumberFormat="1" applyFont="1" applyFill="1" applyBorder="1" applyAlignment="1" applyProtection="1">
      <protection locked="0"/>
    </xf>
    <xf numFmtId="0" fontId="14" fillId="5" borderId="5" xfId="0" applyFont="1" applyFill="1" applyBorder="1"/>
    <xf numFmtId="168" fontId="14" fillId="5" borderId="5" xfId="0" applyNumberFormat="1" applyFont="1" applyFill="1" applyBorder="1"/>
    <xf numFmtId="166" fontId="14" fillId="5" borderId="5" xfId="0" applyNumberFormat="1" applyFont="1" applyFill="1" applyBorder="1"/>
    <xf numFmtId="42" fontId="14" fillId="5" borderId="8" xfId="0" applyNumberFormat="1" applyFont="1" applyFill="1" applyBorder="1" applyAlignment="1" applyProtection="1">
      <protection locked="0"/>
    </xf>
    <xf numFmtId="3" fontId="32" fillId="5" borderId="8" xfId="0" applyNumberFormat="1" applyFont="1" applyFill="1" applyBorder="1"/>
    <xf numFmtId="17" fontId="14" fillId="5" borderId="8" xfId="0" applyNumberFormat="1" applyFont="1" applyFill="1" applyBorder="1" applyAlignment="1">
      <alignment horizontal="center"/>
    </xf>
    <xf numFmtId="3" fontId="25" fillId="12" borderId="6" xfId="0" applyNumberFormat="1" applyFont="1" applyFill="1" applyBorder="1" applyAlignment="1">
      <alignment horizontal="right"/>
    </xf>
    <xf numFmtId="41" fontId="35" fillId="0" borderId="0" xfId="0" applyNumberFormat="1" applyFont="1" applyFill="1" applyAlignment="1">
      <alignment horizontal="left"/>
    </xf>
    <xf numFmtId="3" fontId="25" fillId="5" borderId="41" xfId="0" applyNumberFormat="1" applyFont="1" applyFill="1" applyBorder="1" applyAlignment="1">
      <alignment horizontal="right"/>
    </xf>
    <xf numFmtId="3" fontId="25" fillId="12" borderId="41" xfId="0" applyNumberFormat="1" applyFont="1" applyFill="1" applyBorder="1" applyAlignment="1">
      <alignment horizontal="right"/>
    </xf>
    <xf numFmtId="0" fontId="32" fillId="5" borderId="41" xfId="0" applyFont="1" applyFill="1" applyBorder="1"/>
    <xf numFmtId="0" fontId="106" fillId="0" borderId="0" xfId="0" applyFont="1" applyFill="1"/>
    <xf numFmtId="10" fontId="35" fillId="3" borderId="62" xfId="0" applyNumberFormat="1" applyFont="1" applyFill="1" applyBorder="1"/>
    <xf numFmtId="0" fontId="23" fillId="9" borderId="1" xfId="0" applyFont="1" applyFill="1" applyBorder="1" applyAlignment="1">
      <alignment horizontal="center"/>
    </xf>
    <xf numFmtId="0" fontId="26" fillId="9" borderId="1" xfId="0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168" fontId="10" fillId="0" borderId="0" xfId="0" applyNumberFormat="1" applyFont="1" applyFill="1" applyBorder="1"/>
  </cellXfs>
  <cellStyles count="7">
    <cellStyle name="Bad" xfId="4" builtinId="27"/>
    <cellStyle name="Comma" xfId="1" builtinId="3"/>
    <cellStyle name="Comma 4" xfId="5"/>
    <cellStyle name="Currency" xfId="2" builtinId="4"/>
    <cellStyle name="Normal" xfId="0" builtinId="0"/>
    <cellStyle name="Percent" xfId="3" builtinId="5"/>
    <cellStyle name="Percent 2" xfId="6"/>
  </cellStyles>
  <dxfs count="348"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99065\Documents\safekeep%20of%20gas%20mode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4%20GRC/04%20Rebuttal/240004-05-PSE-WP-REVREQ-COS-24GRC-Rebuttal-09-2024%20(C)/240004-05-PSE-WP-SEF-34G-GAS-REV-REQ-MODEL-24GRC-09-202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4%20GRC/04%20Rebuttal/240004-05-PSE-WP-REVREQ-COS-24GRC-Rebuttal-09-2024%20(C)/240004-05-PSE-WP-SEF-30E-ELECTRIC-REV-REQ-MODEL-24GRC-09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Rate Years"/>
      <sheetName val="Rollforward"/>
      <sheetName val="G OOE"/>
      <sheetName val="G OOR"/>
      <sheetName val="TBPI, ETR, Rev"/>
      <sheetName val="GAS COS Revenues"/>
      <sheetName val="Proofs=&gt;"/>
      <sheetName val="Named Ranges E"/>
      <sheetName val="Subject to Refund"/>
      <sheetName val="BD-FF"/>
      <sheetName val="O&amp;M"/>
      <sheetName val="408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E5">
            <v>-61857847.440000013</v>
          </cell>
        </row>
      </sheetData>
      <sheetData sheetId="6" refreshError="1"/>
      <sheetData sheetId="7">
        <row r="2">
          <cell r="B2" t="str">
            <v>PUGET SOUND ENERGY - GAS</v>
          </cell>
        </row>
        <row r="3">
          <cell r="B3" t="str">
            <v>12 MONTHS ENDED JUNE 30, 2023</v>
          </cell>
        </row>
        <row r="4">
          <cell r="B4" t="str">
            <v>12 MOE DECEMBER 2025</v>
          </cell>
        </row>
        <row r="5">
          <cell r="B5" t="str">
            <v>12 MOE DECEMBER 2026</v>
          </cell>
        </row>
        <row r="6">
          <cell r="B6" t="str">
            <v>12 MOE DECEMBER 2027</v>
          </cell>
        </row>
        <row r="8">
          <cell r="B8" t="str">
            <v>2024 GENERAL RATE CASE</v>
          </cell>
        </row>
        <row r="9">
          <cell r="B9" t="str">
            <v>UE-__________</v>
          </cell>
        </row>
        <row r="10">
          <cell r="B10" t="str">
            <v>Exhibit No.</v>
          </cell>
        </row>
        <row r="11">
          <cell r="B11">
            <v>0.21</v>
          </cell>
        </row>
      </sheetData>
      <sheetData sheetId="8" refreshError="1"/>
      <sheetData sheetId="9" refreshError="1"/>
      <sheetData sheetId="10">
        <row r="154">
          <cell r="L154">
            <v>358964.49331030715</v>
          </cell>
        </row>
      </sheetData>
      <sheetData sheetId="11">
        <row r="145">
          <cell r="N145">
            <v>-1907825.035493671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Def, COC, ConvF"/>
      <sheetName val="Summary"/>
      <sheetName val="Detailed Summary"/>
      <sheetName val="Common Adj"/>
      <sheetName val="Gas Adj"/>
      <sheetName val="O&amp;M"/>
      <sheetName val="4081"/>
      <sheetName val="BD-FF"/>
      <sheetName val="Subject to Refund"/>
      <sheetName val="Adj List"/>
      <sheetName val="SEF-NOI-RB p1 Gas wp"/>
      <sheetName val="SEF-NOI-RB p2 Gas wp"/>
      <sheetName val="Final Rate Years"/>
      <sheetName val="Named Ranges E"/>
      <sheetName val="Proofs=&gt;"/>
      <sheetName val="GAS COS Revenues"/>
      <sheetName val="TBPI, ETR, Rev"/>
      <sheetName val="G OOR"/>
      <sheetName val="G OOE"/>
    </sheetNames>
    <sheetDataSet>
      <sheetData sheetId="0"/>
      <sheetData sheetId="1"/>
      <sheetData sheetId="2">
        <row r="30">
          <cell r="K30">
            <v>8236810.4740378801</v>
          </cell>
        </row>
      </sheetData>
      <sheetData sheetId="3">
        <row r="34">
          <cell r="E34">
            <v>123632.45326100978</v>
          </cell>
        </row>
      </sheetData>
      <sheetData sheetId="4">
        <row r="16">
          <cell r="HT16">
            <v>30503.742766919091</v>
          </cell>
        </row>
      </sheetData>
      <sheetData sheetId="5">
        <row r="40">
          <cell r="BI40">
            <v>-58054.486119000001</v>
          </cell>
        </row>
      </sheetData>
      <sheetData sheetId="6">
        <row r="40">
          <cell r="L40">
            <v>2674780.2619089624</v>
          </cell>
        </row>
      </sheetData>
      <sheetData sheetId="7"/>
      <sheetData sheetId="8">
        <row r="14">
          <cell r="E14">
            <v>-99777.814414048684</v>
          </cell>
        </row>
      </sheetData>
      <sheetData sheetId="9"/>
      <sheetData sheetId="10">
        <row r="7">
          <cell r="A7" t="str">
            <v>REVENUES AND EXPENSES</v>
          </cell>
        </row>
      </sheetData>
      <sheetData sheetId="11"/>
      <sheetData sheetId="12"/>
      <sheetData sheetId="13"/>
      <sheetData sheetId="14">
        <row r="2">
          <cell r="B2" t="str">
            <v>PUGET SOUND ENERGY - GAS</v>
          </cell>
        </row>
        <row r="3">
          <cell r="B3" t="str">
            <v>12 MONTHS ENDED JUNE 30, 2023</v>
          </cell>
        </row>
        <row r="8">
          <cell r="B8" t="str">
            <v>2024 GENERAL RATE CASE</v>
          </cell>
        </row>
        <row r="11">
          <cell r="B11">
            <v>0.21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Def, COC, ConvF"/>
      <sheetName val="Summary"/>
      <sheetName val="Detailed Summary"/>
      <sheetName val="Common Adj"/>
      <sheetName val="Electric Adj"/>
      <sheetName val="Subject to Refund"/>
      <sheetName val="Targ Elec Pilot RR"/>
      <sheetName val="CTM Exh Summary"/>
      <sheetName val="SEF NOI-RB p 1 Elect wp"/>
      <sheetName val="SEF NOI-RB p 2 Elect wp"/>
      <sheetName val="O&amp;M"/>
      <sheetName val="4081"/>
      <sheetName val="BD-FF"/>
      <sheetName val="Sch139 Credit-141A"/>
      <sheetName val="Sch 141-139 Dfr"/>
      <sheetName val="Adj List"/>
      <sheetName val="Final Rate Years"/>
      <sheetName val="Named Ranges E"/>
      <sheetName val="Proofs=&gt;"/>
      <sheetName val="555 &amp; 557"/>
      <sheetName val="TBPI, ETR, Rev"/>
      <sheetName val="Prod O&amp;M"/>
      <sheetName val="Schedule 141A 2023"/>
      <sheetName val="Schedule 141A 2024"/>
      <sheetName val="E OOR"/>
      <sheetName val="E OO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 t="str">
            <v>PUGET SOUND ENERGY - ELECTRIC</v>
          </cell>
        </row>
        <row r="3">
          <cell r="B3" t="str">
            <v>12 MONTHS ENDED JUNE 30, 2023</v>
          </cell>
        </row>
        <row r="8">
          <cell r="B8" t="str">
            <v>2024 GENERAL RATE CASE</v>
          </cell>
        </row>
        <row r="11">
          <cell r="B11">
            <v>0.21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209"/>
  <sheetViews>
    <sheetView zoomScale="90" zoomScaleNormal="90" workbookViewId="0">
      <pane ySplit="10" topLeftCell="A23" activePane="bottomLeft" state="frozen"/>
      <selection activeCell="H26" sqref="H26"/>
      <selection pane="bottomLeft" activeCell="B45" sqref="B45"/>
    </sheetView>
  </sheetViews>
  <sheetFormatPr defaultColWidth="9.42578125" defaultRowHeight="12.75" outlineLevelRow="1" outlineLevelCol="1" x14ac:dyDescent="0.2"/>
  <cols>
    <col min="1" max="1" width="5" style="1" bestFit="1" customWidth="1"/>
    <col min="2" max="2" width="68.5703125" style="1" customWidth="1"/>
    <col min="3" max="3" width="17.42578125" style="1" customWidth="1"/>
    <col min="4" max="4" width="16" style="1" bestFit="1" customWidth="1"/>
    <col min="5" max="5" width="16" style="1" hidden="1" customWidth="1" outlineLevel="1"/>
    <col min="6" max="6" width="18.42578125" style="1" hidden="1" customWidth="1" outlineLevel="1"/>
    <col min="7" max="7" width="7.5703125" style="1" customWidth="1" collapsed="1"/>
    <col min="8" max="8" width="41.5703125" style="1" customWidth="1"/>
    <col min="9" max="11" width="12.42578125" style="1" customWidth="1"/>
    <col min="12" max="12" width="8.85546875" style="1" customWidth="1"/>
    <col min="13" max="13" width="61.5703125" style="1" customWidth="1"/>
    <col min="14" max="14" width="11.5703125" style="1" customWidth="1"/>
    <col min="15" max="15" width="9.42578125" style="1" customWidth="1"/>
    <col min="16" max="16" width="11.5703125" style="1" customWidth="1"/>
    <col min="17" max="17" width="9.42578125" style="1" customWidth="1"/>
    <col min="18" max="19" width="9.42578125" style="1"/>
    <col min="20" max="20" width="15.42578125" style="1" bestFit="1" customWidth="1"/>
    <col min="21" max="21" width="19.42578125" style="1" customWidth="1"/>
    <col min="22" max="22" width="12.42578125" style="1" bestFit="1" customWidth="1"/>
    <col min="23" max="23" width="15.42578125" style="1" bestFit="1" customWidth="1"/>
    <col min="24" max="26" width="9.42578125" style="1"/>
    <col min="27" max="27" width="16.5703125" style="1" customWidth="1"/>
    <col min="28" max="16384" width="9.42578125" style="1"/>
  </cols>
  <sheetData>
    <row r="1" spans="1:28" ht="14.25" x14ac:dyDescent="0.2">
      <c r="C1" s="2" t="s">
        <v>780</v>
      </c>
      <c r="D1" s="3"/>
      <c r="E1" s="4"/>
      <c r="J1" s="2" t="s">
        <v>781</v>
      </c>
      <c r="K1" s="3"/>
    </row>
    <row r="2" spans="1:28" x14ac:dyDescent="0.2">
      <c r="A2" s="6" t="s">
        <v>779</v>
      </c>
      <c r="B2" s="6"/>
      <c r="C2" s="6"/>
      <c r="D2" s="6"/>
      <c r="E2" s="7"/>
      <c r="F2" s="7"/>
      <c r="G2" s="6" t="s">
        <v>779</v>
      </c>
      <c r="H2" s="6"/>
      <c r="I2" s="6"/>
      <c r="J2" s="6"/>
      <c r="K2" s="6"/>
    </row>
    <row r="3" spans="1:28" x14ac:dyDescent="0.2">
      <c r="A3" s="6" t="s">
        <v>0</v>
      </c>
      <c r="B3" s="6"/>
      <c r="C3" s="6"/>
      <c r="D3" s="6"/>
      <c r="E3" s="7"/>
      <c r="F3" s="7"/>
      <c r="G3" s="6" t="s">
        <v>0</v>
      </c>
      <c r="H3" s="6"/>
      <c r="I3" s="6"/>
      <c r="J3" s="6"/>
      <c r="K3" s="6"/>
    </row>
    <row r="4" spans="1:28" x14ac:dyDescent="0.2">
      <c r="A4" s="6" t="s">
        <v>51</v>
      </c>
      <c r="B4" s="6"/>
      <c r="C4" s="6"/>
      <c r="D4" s="6"/>
      <c r="E4" s="7"/>
      <c r="F4" s="7"/>
      <c r="G4" s="6" t="str">
        <f>$A$4</f>
        <v>2024 GENERAL RATE CASE</v>
      </c>
      <c r="H4" s="6"/>
      <c r="I4" s="6"/>
      <c r="J4" s="6"/>
      <c r="K4" s="6"/>
    </row>
    <row r="5" spans="1:28" x14ac:dyDescent="0.2">
      <c r="A5" s="6" t="s">
        <v>52</v>
      </c>
      <c r="B5" s="6"/>
      <c r="C5" s="6"/>
      <c r="D5" s="6"/>
      <c r="E5" s="7"/>
      <c r="F5" s="7"/>
      <c r="G5" s="6" t="str">
        <f>$A$5</f>
        <v>12 MONTHS ENDED JUNE 30, 2023</v>
      </c>
      <c r="H5" s="6"/>
      <c r="I5" s="6"/>
      <c r="J5" s="6"/>
      <c r="K5" s="6"/>
    </row>
    <row r="6" spans="1:28" s="11" customFormat="1" x14ac:dyDescent="0.2">
      <c r="A6" s="9" t="s">
        <v>1</v>
      </c>
      <c r="B6" s="9"/>
      <c r="C6" s="9"/>
      <c r="D6" s="9"/>
      <c r="E6" s="10"/>
      <c r="F6" s="10"/>
      <c r="G6" s="9" t="s">
        <v>2</v>
      </c>
      <c r="H6" s="9"/>
      <c r="I6" s="9"/>
      <c r="J6" s="9"/>
      <c r="K6" s="9"/>
    </row>
    <row r="7" spans="1:28" x14ac:dyDescent="0.2">
      <c r="B7" s="8"/>
      <c r="C7" s="8"/>
      <c r="D7" s="12"/>
      <c r="E7" s="8"/>
      <c r="F7" s="8"/>
      <c r="H7" s="8"/>
      <c r="I7" s="8"/>
      <c r="J7" s="8"/>
      <c r="K7" s="8"/>
    </row>
    <row r="8" spans="1:28" x14ac:dyDescent="0.2">
      <c r="B8" s="8"/>
      <c r="D8" s="12"/>
    </row>
    <row r="9" spans="1:28" x14ac:dyDescent="0.2">
      <c r="A9" s="13" t="s">
        <v>4</v>
      </c>
      <c r="B9" s="13"/>
      <c r="C9" s="14">
        <v>2025</v>
      </c>
      <c r="D9" s="14">
        <v>2026</v>
      </c>
      <c r="E9" s="14">
        <v>2027</v>
      </c>
      <c r="F9" s="14">
        <v>2028</v>
      </c>
      <c r="G9" s="13" t="s">
        <v>4</v>
      </c>
      <c r="H9" s="13"/>
      <c r="I9" s="14" t="s">
        <v>5</v>
      </c>
      <c r="K9" s="14" t="s">
        <v>6</v>
      </c>
    </row>
    <row r="10" spans="1:28" ht="15" x14ac:dyDescent="0.25">
      <c r="A10" s="15" t="s">
        <v>7</v>
      </c>
      <c r="B10" s="15" t="s">
        <v>8</v>
      </c>
      <c r="C10" s="16" t="s">
        <v>9</v>
      </c>
      <c r="D10" s="16" t="s">
        <v>10</v>
      </c>
      <c r="E10" s="16" t="s">
        <v>11</v>
      </c>
      <c r="F10" s="16" t="s">
        <v>12</v>
      </c>
      <c r="G10" s="15" t="s">
        <v>7</v>
      </c>
      <c r="H10" s="15" t="s">
        <v>8</v>
      </c>
      <c r="I10" s="16" t="s">
        <v>13</v>
      </c>
      <c r="J10" s="16" t="s">
        <v>14</v>
      </c>
      <c r="K10" s="16" t="s">
        <v>14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ht="15" x14ac:dyDescent="0.25">
      <c r="G11"/>
      <c r="H11"/>
      <c r="I11" s="19"/>
      <c r="J11" s="19"/>
      <c r="K11" s="19"/>
      <c r="S11" s="20"/>
      <c r="T11" s="21"/>
      <c r="U11" s="20"/>
      <c r="V11" s="18"/>
      <c r="W11" s="18"/>
      <c r="X11" s="18"/>
      <c r="Y11" s="18"/>
      <c r="Z11" s="18"/>
      <c r="AA11" s="18"/>
      <c r="AB11" s="18"/>
    </row>
    <row r="12" spans="1:28" ht="15" x14ac:dyDescent="0.25">
      <c r="A12" s="22">
        <f>ROW()</f>
        <v>12</v>
      </c>
      <c r="B12" s="23" t="s">
        <v>15</v>
      </c>
      <c r="C12" s="24">
        <f>'SEF-30 pg 1'!K58</f>
        <v>6606402751.560873</v>
      </c>
      <c r="D12" s="24">
        <f>'SEF-30 pg 1'!M58</f>
        <v>7416985016.6452789</v>
      </c>
      <c r="E12" s="24"/>
      <c r="F12" s="24"/>
      <c r="G12" s="22">
        <f>ROW()</f>
        <v>12</v>
      </c>
      <c r="H12" s="25" t="s">
        <v>16</v>
      </c>
      <c r="I12" s="26"/>
      <c r="J12" s="26"/>
      <c r="K12" s="27"/>
      <c r="S12" s="30"/>
      <c r="T12" s="21"/>
      <c r="U12" s="21"/>
      <c r="V12" s="18"/>
      <c r="W12" s="18"/>
      <c r="X12" s="18"/>
      <c r="Y12" s="18"/>
      <c r="Z12" s="18"/>
      <c r="AA12" s="18"/>
      <c r="AB12" s="18"/>
    </row>
    <row r="13" spans="1:28" ht="15" x14ac:dyDescent="0.25">
      <c r="A13" s="22">
        <f t="shared" ref="A13:A44" si="0">A12+1</f>
        <v>13</v>
      </c>
      <c r="B13" s="28" t="s">
        <v>18</v>
      </c>
      <c r="C13" s="31">
        <f>+K24</f>
        <v>7.6499999999999999E-2</v>
      </c>
      <c r="D13" s="31">
        <f>+K33</f>
        <v>7.9899999999999999E-2</v>
      </c>
      <c r="E13" s="32"/>
      <c r="F13" s="32"/>
      <c r="G13" s="30">
        <f>+G12+1</f>
        <v>13</v>
      </c>
      <c r="H13" s="33" t="s">
        <v>19</v>
      </c>
      <c r="I13" s="34">
        <v>0.50929999999999997</v>
      </c>
      <c r="J13" s="34">
        <f>K13/I13</f>
        <v>5.1639505203220103E-2</v>
      </c>
      <c r="K13" s="35">
        <v>2.6299999999999997E-2</v>
      </c>
      <c r="S13" s="30"/>
      <c r="T13" s="34"/>
      <c r="U13" s="21"/>
      <c r="V13" s="18"/>
      <c r="W13" s="18"/>
      <c r="X13" s="18"/>
      <c r="Y13" s="18"/>
      <c r="Z13" s="18"/>
      <c r="AA13" s="18"/>
      <c r="AB13" s="18"/>
    </row>
    <row r="14" spans="1:28" ht="15" x14ac:dyDescent="0.25">
      <c r="A14" s="22">
        <f t="shared" si="0"/>
        <v>14</v>
      </c>
      <c r="B14" s="28"/>
      <c r="C14" s="36"/>
      <c r="D14" s="36"/>
      <c r="E14" s="26"/>
      <c r="F14" s="26"/>
      <c r="G14" s="30">
        <f t="shared" ref="G14:G37" si="1">+G13+1</f>
        <v>14</v>
      </c>
      <c r="H14" s="33" t="s">
        <v>21</v>
      </c>
      <c r="I14" s="34">
        <v>0.49070000000000003</v>
      </c>
      <c r="J14" s="34">
        <v>9.4E-2</v>
      </c>
      <c r="K14" s="35">
        <f>ROUND(I14*J14,4)</f>
        <v>4.6100000000000002E-2</v>
      </c>
      <c r="S14" s="30"/>
      <c r="T14" s="20"/>
      <c r="U14" s="21"/>
      <c r="V14" s="18"/>
      <c r="W14" s="18"/>
      <c r="X14" s="18"/>
      <c r="Y14" s="18"/>
      <c r="Z14" s="18"/>
      <c r="AA14" s="18"/>
      <c r="AB14" s="18"/>
    </row>
    <row r="15" spans="1:28" ht="15" x14ac:dyDescent="0.25">
      <c r="A15" s="22">
        <f t="shared" si="0"/>
        <v>15</v>
      </c>
      <c r="B15" s="23" t="s">
        <v>22</v>
      </c>
      <c r="C15" s="39">
        <f>+C13*C12</f>
        <v>505389810.49440676</v>
      </c>
      <c r="D15" s="39">
        <f>+D13*D12</f>
        <v>592617102.82995772</v>
      </c>
      <c r="E15" s="39">
        <f>+E13*E12</f>
        <v>0</v>
      </c>
      <c r="F15" s="39">
        <f>+F13*F12</f>
        <v>0</v>
      </c>
      <c r="G15" s="30">
        <f t="shared" si="1"/>
        <v>15</v>
      </c>
      <c r="H15" s="33" t="s">
        <v>23</v>
      </c>
      <c r="I15" s="40">
        <f>SUM(I13:I14)</f>
        <v>1</v>
      </c>
      <c r="J15" s="26"/>
      <c r="K15" s="1149">
        <f>SUM(K13:K14)</f>
        <v>7.2399999999999992E-2</v>
      </c>
      <c r="S15" s="30"/>
      <c r="T15" s="42"/>
      <c r="U15" s="21"/>
      <c r="V15" s="18"/>
      <c r="W15" s="18"/>
      <c r="X15" s="18"/>
      <c r="Y15" s="18"/>
      <c r="Z15" s="18"/>
      <c r="AA15" s="18"/>
      <c r="AB15" s="18"/>
    </row>
    <row r="16" spans="1:28" ht="15" x14ac:dyDescent="0.25">
      <c r="A16" s="22">
        <f t="shared" si="0"/>
        <v>16</v>
      </c>
      <c r="B16" s="23"/>
      <c r="C16" s="43"/>
      <c r="D16" s="43"/>
      <c r="G16" s="30">
        <f t="shared" si="1"/>
        <v>16</v>
      </c>
      <c r="H16" s="33"/>
      <c r="I16" s="20"/>
      <c r="J16" s="20"/>
      <c r="K16" s="44"/>
      <c r="S16" s="30"/>
      <c r="T16" s="20"/>
      <c r="U16" s="21"/>
      <c r="V16" s="18"/>
      <c r="W16" s="18"/>
      <c r="X16" s="18"/>
      <c r="Y16" s="18"/>
      <c r="Z16" s="18"/>
      <c r="AA16" s="18"/>
      <c r="AB16" s="18"/>
    </row>
    <row r="17" spans="1:28" ht="15" x14ac:dyDescent="0.25">
      <c r="A17" s="22">
        <f t="shared" si="0"/>
        <v>17</v>
      </c>
      <c r="B17" s="28" t="s">
        <v>25</v>
      </c>
      <c r="C17" s="46">
        <f>'SEF-30 pg 1'!K47</f>
        <v>-83596979.748764038</v>
      </c>
      <c r="D17" s="46">
        <f>'SEF-30 pg 1'!M47</f>
        <v>-123949418.40771055</v>
      </c>
      <c r="E17" s="39"/>
      <c r="F17" s="39"/>
      <c r="G17" s="30">
        <f t="shared" si="1"/>
        <v>17</v>
      </c>
      <c r="H17" s="33" t="s">
        <v>26</v>
      </c>
      <c r="I17" s="34">
        <f>+I13</f>
        <v>0.50929999999999997</v>
      </c>
      <c r="J17" s="34">
        <f>J13*0.79</f>
        <v>4.0795209110543885E-2</v>
      </c>
      <c r="K17" s="35">
        <f>ROUND(K13*0.79,4)</f>
        <v>2.0799999999999999E-2</v>
      </c>
      <c r="Q17"/>
      <c r="R17"/>
      <c r="S17" s="30"/>
      <c r="T17" s="42"/>
      <c r="U17" s="21"/>
      <c r="V17" s="18"/>
      <c r="W17" s="18"/>
      <c r="X17" s="18"/>
      <c r="Y17" s="18"/>
      <c r="Z17" s="18"/>
      <c r="AA17" s="18"/>
      <c r="AB17" s="18"/>
    </row>
    <row r="18" spans="1:28" ht="15" x14ac:dyDescent="0.25">
      <c r="A18" s="22">
        <f t="shared" si="0"/>
        <v>18</v>
      </c>
      <c r="B18" s="28" t="s">
        <v>27</v>
      </c>
      <c r="C18" s="47">
        <f>+C15-C17</f>
        <v>588986790.24317074</v>
      </c>
      <c r="D18" s="47">
        <f>+D15-D17</f>
        <v>716566521.23766828</v>
      </c>
      <c r="E18" s="48">
        <f>+E15-E17</f>
        <v>0</v>
      </c>
      <c r="F18" s="48">
        <f>+F15-F17</f>
        <v>0</v>
      </c>
      <c r="G18" s="30">
        <f t="shared" si="1"/>
        <v>18</v>
      </c>
      <c r="H18" s="33" t="s">
        <v>21</v>
      </c>
      <c r="I18" s="34">
        <f>+I14</f>
        <v>0.49070000000000003</v>
      </c>
      <c r="J18" s="34">
        <f>+J14</f>
        <v>9.4E-2</v>
      </c>
      <c r="K18" s="35">
        <f>ROUND(I18*J18,4)</f>
        <v>4.6100000000000002E-2</v>
      </c>
      <c r="Q18"/>
      <c r="R18"/>
      <c r="S18" s="30"/>
      <c r="T18" s="42"/>
      <c r="U18" s="21"/>
      <c r="V18" s="18"/>
      <c r="W18" s="18"/>
      <c r="X18" s="18"/>
      <c r="Y18" s="18"/>
      <c r="Z18" s="18"/>
      <c r="AA18" s="18"/>
      <c r="AB18" s="18"/>
    </row>
    <row r="19" spans="1:28" ht="15" x14ac:dyDescent="0.25">
      <c r="A19" s="22">
        <f t="shared" si="0"/>
        <v>19</v>
      </c>
      <c r="B19" s="23"/>
      <c r="C19" s="49"/>
      <c r="D19" s="49"/>
      <c r="E19" s="50"/>
      <c r="F19" s="51"/>
      <c r="G19" s="30">
        <f t="shared" si="1"/>
        <v>19</v>
      </c>
      <c r="H19" s="52" t="s">
        <v>28</v>
      </c>
      <c r="I19" s="53">
        <f>SUM(I17:I18)</f>
        <v>1</v>
      </c>
      <c r="J19" s="54"/>
      <c r="K19" s="55">
        <f>SUM(K17:K18)</f>
        <v>6.6900000000000001E-2</v>
      </c>
      <c r="Q19"/>
      <c r="R19"/>
      <c r="S19" s="30"/>
      <c r="T19" s="20"/>
      <c r="U19" s="21"/>
      <c r="V19" s="18"/>
      <c r="W19" s="18"/>
      <c r="X19" s="18"/>
      <c r="Y19" s="18"/>
      <c r="Z19" s="18"/>
      <c r="AA19" s="18"/>
      <c r="AB19" s="18"/>
    </row>
    <row r="20" spans="1:28" ht="15" x14ac:dyDescent="0.25">
      <c r="A20" s="22">
        <f t="shared" si="0"/>
        <v>20</v>
      </c>
      <c r="B20" s="23" t="s">
        <v>3</v>
      </c>
      <c r="C20" s="57">
        <f>+'SEF-31'!E20</f>
        <v>0.75052300000000005</v>
      </c>
      <c r="D20" s="57">
        <f>C20</f>
        <v>0.75052300000000005</v>
      </c>
      <c r="E20" s="58"/>
      <c r="F20" s="58">
        <f>+E20</f>
        <v>0</v>
      </c>
      <c r="G20" s="30">
        <f t="shared" si="1"/>
        <v>20</v>
      </c>
      <c r="H20"/>
      <c r="I20" s="20"/>
      <c r="J20" s="20"/>
      <c r="K20" s="20"/>
      <c r="Q20"/>
      <c r="R20"/>
      <c r="S20" s="30"/>
      <c r="T20" s="60"/>
      <c r="U20" s="21"/>
      <c r="V20" s="18"/>
      <c r="W20" s="18"/>
      <c r="X20" s="18"/>
      <c r="Y20" s="18"/>
      <c r="Z20" s="18"/>
      <c r="AA20" s="18"/>
      <c r="AB20" s="18"/>
    </row>
    <row r="21" spans="1:28" ht="15.75" thickBot="1" x14ac:dyDescent="0.3">
      <c r="A21" s="22">
        <f t="shared" si="0"/>
        <v>21</v>
      </c>
      <c r="B21" s="1" t="s">
        <v>29</v>
      </c>
      <c r="C21" s="61">
        <f>ROUND(+C18/C20,0)</f>
        <v>784768475</v>
      </c>
      <c r="D21" s="61">
        <f>ROUND(+D18/D20,0)</f>
        <v>954756245</v>
      </c>
      <c r="E21" s="62"/>
      <c r="F21" s="62"/>
      <c r="G21" s="30">
        <f t="shared" si="1"/>
        <v>21</v>
      </c>
      <c r="H21" s="25">
        <v>2025</v>
      </c>
      <c r="I21" s="26"/>
      <c r="J21" s="26"/>
      <c r="K21" s="27"/>
      <c r="Q21"/>
      <c r="R21"/>
      <c r="S21" s="30"/>
      <c r="T21" s="63"/>
      <c r="U21" s="21"/>
      <c r="V21" s="18"/>
      <c r="W21" s="18"/>
      <c r="X21" s="18"/>
      <c r="Y21" s="18"/>
      <c r="Z21" s="18"/>
      <c r="AA21" s="18"/>
      <c r="AB21" s="18"/>
    </row>
    <row r="22" spans="1:28" ht="15.75" thickTop="1" x14ac:dyDescent="0.25">
      <c r="A22" s="22">
        <f t="shared" si="0"/>
        <v>22</v>
      </c>
      <c r="C22" s="64"/>
      <c r="D22" s="64"/>
      <c r="E22" s="64"/>
      <c r="F22" s="64"/>
      <c r="G22" s="30">
        <f t="shared" si="1"/>
        <v>22</v>
      </c>
      <c r="H22" s="33" t="s">
        <v>19</v>
      </c>
      <c r="I22" s="34">
        <v>0.5</v>
      </c>
      <c r="J22" s="34">
        <f>K22/I22</f>
        <v>5.3399999999999996E-2</v>
      </c>
      <c r="K22" s="35">
        <v>2.6699999999999998E-2</v>
      </c>
      <c r="Q22"/>
      <c r="R22"/>
      <c r="S22" s="30"/>
      <c r="T22" s="20"/>
      <c r="U22" s="21"/>
      <c r="V22" s="18"/>
      <c r="W22" s="18"/>
      <c r="X22" s="18"/>
      <c r="Y22" s="18"/>
      <c r="Z22" s="18"/>
      <c r="AA22" s="18"/>
      <c r="AB22" s="18"/>
    </row>
    <row r="23" spans="1:28" ht="15" x14ac:dyDescent="0.25">
      <c r="A23" s="22">
        <f t="shared" si="0"/>
        <v>23</v>
      </c>
      <c r="B23" s="1" t="s">
        <v>31</v>
      </c>
      <c r="C23" s="66">
        <f>C21-0</f>
        <v>784768475</v>
      </c>
      <c r="D23" s="66">
        <f>D21-C21</f>
        <v>169987770</v>
      </c>
      <c r="E23" s="67"/>
      <c r="F23" s="67">
        <f>F21-E21</f>
        <v>0</v>
      </c>
      <c r="G23" s="30">
        <f t="shared" si="1"/>
        <v>23</v>
      </c>
      <c r="H23" s="33" t="s">
        <v>21</v>
      </c>
      <c r="I23" s="34">
        <v>0.5</v>
      </c>
      <c r="J23" s="34">
        <v>9.9500000000000005E-2</v>
      </c>
      <c r="K23" s="35">
        <f>ROUND(I23*J23,4)</f>
        <v>4.9799999999999997E-2</v>
      </c>
      <c r="Q23"/>
      <c r="R23"/>
      <c r="S23" s="30"/>
      <c r="T23" s="42"/>
      <c r="U23" s="21"/>
      <c r="V23" s="18"/>
      <c r="W23" s="18"/>
      <c r="X23" s="18"/>
      <c r="Y23" s="18"/>
      <c r="Z23" s="18"/>
      <c r="AA23" s="18"/>
      <c r="AB23" s="18"/>
    </row>
    <row r="24" spans="1:28" ht="15" x14ac:dyDescent="0.25">
      <c r="A24" s="22">
        <f t="shared" si="0"/>
        <v>24</v>
      </c>
      <c r="C24" s="68"/>
      <c r="D24" s="68"/>
      <c r="E24" s="69"/>
      <c r="F24" s="69"/>
      <c r="G24" s="30">
        <f t="shared" si="1"/>
        <v>24</v>
      </c>
      <c r="H24" s="33" t="s">
        <v>23</v>
      </c>
      <c r="I24" s="70">
        <f>SUM(I22:I23)</f>
        <v>1</v>
      </c>
      <c r="J24" s="26"/>
      <c r="K24" s="1149">
        <f>SUM(K22:K23)</f>
        <v>7.6499999999999999E-2</v>
      </c>
      <c r="M24"/>
      <c r="N24"/>
      <c r="O24"/>
      <c r="P24"/>
      <c r="Q24"/>
      <c r="R24"/>
      <c r="S24" s="30"/>
      <c r="T24" s="42"/>
      <c r="U24" s="21"/>
      <c r="V24" s="18"/>
      <c r="W24" s="18"/>
      <c r="X24" s="18"/>
      <c r="Y24" s="18"/>
      <c r="Z24" s="18"/>
      <c r="AA24" s="18"/>
      <c r="AB24" s="18"/>
    </row>
    <row r="25" spans="1:28" ht="15" x14ac:dyDescent="0.25">
      <c r="A25" s="22">
        <f t="shared" si="0"/>
        <v>25</v>
      </c>
      <c r="B25" s="43" t="s">
        <v>32</v>
      </c>
      <c r="C25" s="72"/>
      <c r="D25" s="72"/>
      <c r="E25" s="20"/>
      <c r="F25"/>
      <c r="G25" s="30">
        <f t="shared" si="1"/>
        <v>25</v>
      </c>
      <c r="H25" s="33"/>
      <c r="I25" s="20"/>
      <c r="J25" s="20"/>
      <c r="K25" s="44"/>
      <c r="M25"/>
      <c r="N25"/>
      <c r="O25"/>
      <c r="P25"/>
      <c r="Q25"/>
      <c r="R25"/>
      <c r="S25" s="30"/>
      <c r="T25" s="42"/>
      <c r="U25" s="21"/>
      <c r="V25" s="18"/>
      <c r="W25" s="18"/>
      <c r="X25" s="18"/>
      <c r="Y25" s="18"/>
      <c r="Z25" s="18"/>
      <c r="AA25" s="18"/>
      <c r="AB25" s="18"/>
    </row>
    <row r="26" spans="1:28" ht="15" x14ac:dyDescent="0.25">
      <c r="A26" s="22">
        <f t="shared" si="0"/>
        <v>26</v>
      </c>
      <c r="B26" s="73" t="s">
        <v>33</v>
      </c>
      <c r="C26" s="39"/>
      <c r="D26" s="39"/>
      <c r="E26" s="74"/>
      <c r="F26"/>
      <c r="G26" s="30">
        <f t="shared" si="1"/>
        <v>26</v>
      </c>
      <c r="H26" s="33" t="s">
        <v>26</v>
      </c>
      <c r="I26" s="34">
        <f>+I22</f>
        <v>0.5</v>
      </c>
      <c r="J26" s="34">
        <f>J22*0.79</f>
        <v>4.2186000000000001E-2</v>
      </c>
      <c r="K26" s="35">
        <f>ROUND(K22*0.79,4)</f>
        <v>2.1100000000000001E-2</v>
      </c>
      <c r="M26"/>
      <c r="N26"/>
      <c r="O26"/>
      <c r="P26"/>
      <c r="S26" s="30"/>
      <c r="T26" s="42"/>
      <c r="U26" s="21"/>
      <c r="V26" s="18"/>
      <c r="W26" s="18"/>
      <c r="X26" s="18"/>
      <c r="Y26" s="18"/>
      <c r="Z26" s="18"/>
      <c r="AA26" s="18"/>
      <c r="AB26" s="18"/>
    </row>
    <row r="27" spans="1:28" ht="15" x14ac:dyDescent="0.25">
      <c r="A27" s="22">
        <f t="shared" si="0"/>
        <v>27</v>
      </c>
      <c r="B27" s="75" t="s">
        <v>34</v>
      </c>
      <c r="C27" s="76"/>
      <c r="D27"/>
      <c r="E27" s="74"/>
      <c r="F27"/>
      <c r="G27" s="30">
        <f t="shared" si="1"/>
        <v>27</v>
      </c>
      <c r="H27" s="33" t="s">
        <v>21</v>
      </c>
      <c r="I27" s="34">
        <f>+I23</f>
        <v>0.5</v>
      </c>
      <c r="J27" s="34">
        <f>+J23</f>
        <v>9.9500000000000005E-2</v>
      </c>
      <c r="K27" s="35">
        <f>ROUND(I27*J27,4)</f>
        <v>4.9799999999999997E-2</v>
      </c>
      <c r="L27"/>
      <c r="M27"/>
      <c r="N27"/>
      <c r="O27"/>
      <c r="P27"/>
      <c r="S27" s="30"/>
      <c r="T27" s="42"/>
      <c r="U27" s="21"/>
      <c r="V27" s="18"/>
      <c r="W27" s="18"/>
      <c r="X27" s="18"/>
      <c r="Y27" s="18"/>
      <c r="Z27" s="18"/>
      <c r="AA27" s="18"/>
      <c r="AB27" s="18"/>
    </row>
    <row r="28" spans="1:28" ht="15" customHeight="1" x14ac:dyDescent="0.25">
      <c r="A28" s="22">
        <f t="shared" si="0"/>
        <v>28</v>
      </c>
      <c r="B28" s="75" t="s">
        <v>35</v>
      </c>
      <c r="C28" s="24">
        <v>-161629358.21501514</v>
      </c>
      <c r="D28"/>
      <c r="E28" s="24"/>
      <c r="F28" s="24"/>
      <c r="G28" s="30">
        <f t="shared" si="1"/>
        <v>28</v>
      </c>
      <c r="H28" s="52" t="s">
        <v>28</v>
      </c>
      <c r="I28" s="53">
        <f>SUM(I26:I27)</f>
        <v>1</v>
      </c>
      <c r="J28" s="54"/>
      <c r="K28" s="55">
        <f>SUM(K26:K27)</f>
        <v>7.0899999999999991E-2</v>
      </c>
      <c r="M28"/>
      <c r="N28"/>
      <c r="O28"/>
      <c r="P28"/>
      <c r="S28" s="30"/>
      <c r="T28" s="42"/>
      <c r="U28" s="21"/>
      <c r="V28" s="18"/>
      <c r="W28" s="18"/>
      <c r="X28" s="18"/>
      <c r="Y28" s="18"/>
      <c r="Z28" s="18"/>
      <c r="AA28" s="18"/>
      <c r="AB28" s="18"/>
    </row>
    <row r="29" spans="1:28" ht="15" x14ac:dyDescent="0.25">
      <c r="A29" s="22">
        <f>A28+1</f>
        <v>29</v>
      </c>
      <c r="B29" s="75" t="s">
        <v>36</v>
      </c>
      <c r="C29" s="39">
        <v>-23557981.999641716</v>
      </c>
      <c r="D29"/>
      <c r="E29" s="39"/>
      <c r="F29" s="39"/>
      <c r="G29" s="30">
        <f>+G28+1</f>
        <v>29</v>
      </c>
      <c r="H29"/>
      <c r="I29" s="20"/>
      <c r="J29" s="20"/>
      <c r="K29" s="20"/>
      <c r="M29"/>
      <c r="N29"/>
      <c r="O29"/>
      <c r="P29"/>
      <c r="S29" s="30"/>
      <c r="T29" s="42"/>
      <c r="U29" s="21"/>
      <c r="V29" s="18"/>
      <c r="W29" s="18"/>
      <c r="X29" s="18"/>
      <c r="Y29" s="18"/>
      <c r="Z29" s="18"/>
      <c r="AA29" s="18"/>
      <c r="AB29" s="18"/>
    </row>
    <row r="30" spans="1:28" ht="15" x14ac:dyDescent="0.25">
      <c r="A30" s="22">
        <f t="shared" si="0"/>
        <v>30</v>
      </c>
      <c r="B30" s="75" t="s">
        <v>37</v>
      </c>
      <c r="C30" s="39">
        <v>-142889.78736490113</v>
      </c>
      <c r="D30"/>
      <c r="E30" s="39"/>
      <c r="F30" s="39"/>
      <c r="G30" s="30">
        <f t="shared" si="1"/>
        <v>30</v>
      </c>
      <c r="H30" s="25">
        <v>2026</v>
      </c>
      <c r="I30" s="26"/>
      <c r="J30" s="26"/>
      <c r="K30" s="27"/>
      <c r="M30"/>
      <c r="N30"/>
      <c r="O30"/>
      <c r="P30"/>
      <c r="S30" s="30"/>
      <c r="T30" s="42"/>
      <c r="U30" s="21"/>
      <c r="V30" s="18"/>
      <c r="W30" s="18"/>
      <c r="X30" s="18"/>
      <c r="Y30" s="18"/>
      <c r="Z30" s="18"/>
      <c r="AA30" s="18"/>
      <c r="AB30" s="18"/>
    </row>
    <row r="31" spans="1:28" ht="15" x14ac:dyDescent="0.25">
      <c r="A31" s="22">
        <f t="shared" si="0"/>
        <v>31</v>
      </c>
      <c r="B31" s="75" t="s">
        <v>38</v>
      </c>
      <c r="C31" s="39">
        <v>-160864692.74075997</v>
      </c>
      <c r="D31"/>
      <c r="E31" s="39"/>
      <c r="F31" s="39"/>
      <c r="G31" s="30">
        <f t="shared" si="1"/>
        <v>31</v>
      </c>
      <c r="H31" s="33" t="s">
        <v>19</v>
      </c>
      <c r="I31" s="34">
        <v>0.49</v>
      </c>
      <c r="J31" s="34">
        <f>K31/I31</f>
        <v>5.3673469387755107E-2</v>
      </c>
      <c r="K31" s="35">
        <v>2.63E-2</v>
      </c>
      <c r="M31"/>
      <c r="N31"/>
      <c r="O31"/>
      <c r="P31"/>
      <c r="S31" s="30"/>
      <c r="T31" s="20"/>
      <c r="U31" s="21"/>
      <c r="V31" s="18"/>
      <c r="W31" s="18"/>
      <c r="X31" s="18"/>
      <c r="Y31" s="18"/>
      <c r="Z31" s="18"/>
      <c r="AA31" s="18"/>
      <c r="AB31" s="18"/>
    </row>
    <row r="32" spans="1:28" ht="15" x14ac:dyDescent="0.25">
      <c r="A32" s="22">
        <f t="shared" si="0"/>
        <v>32</v>
      </c>
      <c r="B32" s="75" t="s">
        <v>39</v>
      </c>
      <c r="C32" s="39">
        <v>-152840009.31612048</v>
      </c>
      <c r="D32"/>
      <c r="E32" s="39"/>
      <c r="F32" s="39"/>
      <c r="G32" s="30">
        <f t="shared" si="1"/>
        <v>32</v>
      </c>
      <c r="H32" s="33" t="s">
        <v>21</v>
      </c>
      <c r="I32" s="34">
        <v>0.51</v>
      </c>
      <c r="J32" s="34">
        <v>0.105</v>
      </c>
      <c r="K32" s="35">
        <f>ROUND(I32*J32,4)</f>
        <v>5.3600000000000002E-2</v>
      </c>
      <c r="M32"/>
      <c r="N32"/>
      <c r="O32"/>
      <c r="P32"/>
      <c r="S32" s="30"/>
      <c r="T32" s="78"/>
      <c r="U32" s="21"/>
      <c r="V32" s="18"/>
      <c r="W32" s="18"/>
      <c r="X32" s="18"/>
      <c r="Y32" s="18"/>
      <c r="Z32" s="18"/>
      <c r="AA32" s="18"/>
      <c r="AB32" s="18"/>
    </row>
    <row r="33" spans="1:58" ht="15" x14ac:dyDescent="0.25">
      <c r="A33" s="22">
        <f t="shared" si="0"/>
        <v>33</v>
      </c>
      <c r="B33" s="73" t="s">
        <v>40</v>
      </c>
      <c r="C33" s="39"/>
      <c r="D33"/>
      <c r="E33" s="39"/>
      <c r="F33" s="39"/>
      <c r="G33" s="30">
        <f t="shared" si="1"/>
        <v>33</v>
      </c>
      <c r="H33" s="33" t="s">
        <v>23</v>
      </c>
      <c r="I33" s="79">
        <f>SUM(I31:I32)</f>
        <v>1</v>
      </c>
      <c r="J33" s="26"/>
      <c r="K33" s="1149">
        <f>SUM(K31:K32)</f>
        <v>7.9899999999999999E-2</v>
      </c>
      <c r="M33"/>
      <c r="N33"/>
      <c r="O33"/>
      <c r="P33"/>
      <c r="Q33" s="80"/>
      <c r="R33" s="80"/>
      <c r="S33" s="80"/>
      <c r="T33" s="80"/>
      <c r="U33" s="80"/>
      <c r="V33" s="80"/>
      <c r="W33" s="80">
        <f>+'SEF-29 pg 1-2'!$C$13</f>
        <v>7.6499999999999999E-2</v>
      </c>
      <c r="X33" s="80">
        <f>+'SEF-29 pg 1-2'!$C$13</f>
        <v>7.6499999999999999E-2</v>
      </c>
      <c r="Y33" s="80">
        <f>+'SEF-29 pg 1-2'!$C$13</f>
        <v>7.6499999999999999E-2</v>
      </c>
      <c r="Z33" s="80">
        <f>+'SEF-29 pg 1-2'!$C$13</f>
        <v>7.6499999999999999E-2</v>
      </c>
      <c r="AA33" s="80">
        <f>+'SEF-29 pg 1-2'!$C$13</f>
        <v>7.6499999999999999E-2</v>
      </c>
      <c r="AB33" s="80">
        <f>+'SEF-29 pg 1-2'!$C$13</f>
        <v>7.6499999999999999E-2</v>
      </c>
      <c r="AC33" s="80">
        <f>+'SEF-29 pg 1-2'!$C$13</f>
        <v>7.6499999999999999E-2</v>
      </c>
      <c r="AD33" s="80">
        <f>+'SEF-29 pg 1-2'!$C$13</f>
        <v>7.6499999999999999E-2</v>
      </c>
      <c r="AE33" s="80">
        <f>+'SEF-29 pg 1-2'!$C$13</f>
        <v>7.6499999999999999E-2</v>
      </c>
      <c r="AF33" s="80">
        <f>+'SEF-29 pg 1-2'!$C$13</f>
        <v>7.6499999999999999E-2</v>
      </c>
      <c r="AG33" s="80">
        <f>+'SEF-29 pg 1-2'!$C$13</f>
        <v>7.6499999999999999E-2</v>
      </c>
      <c r="AH33" s="80">
        <f>+'SEF-29 pg 1-2'!$C$13</f>
        <v>7.6499999999999999E-2</v>
      </c>
      <c r="AI33" s="80">
        <f>+'SEF-29 pg 1-2'!$C$13</f>
        <v>7.6499999999999999E-2</v>
      </c>
      <c r="AJ33" s="80">
        <f>+'SEF-29 pg 1-2'!$C$13</f>
        <v>7.6499999999999999E-2</v>
      </c>
      <c r="AK33" s="80">
        <f>+'SEF-29 pg 1-2'!$C$13</f>
        <v>7.6499999999999999E-2</v>
      </c>
      <c r="AL33" s="80">
        <f>+'SEF-29 pg 1-2'!$C$13</f>
        <v>7.6499999999999999E-2</v>
      </c>
      <c r="AM33" s="80">
        <f>+'SEF-29 pg 1-2'!$C$13</f>
        <v>7.6499999999999999E-2</v>
      </c>
      <c r="AN33" s="80">
        <f>+'SEF-29 pg 1-2'!$C$13</f>
        <v>7.6499999999999999E-2</v>
      </c>
      <c r="AO33" s="80">
        <f>+'SEF-29 pg 1-2'!$C$13</f>
        <v>7.6499999999999999E-2</v>
      </c>
      <c r="AP33" s="80">
        <f>+'SEF-29 pg 1-2'!$C$13</f>
        <v>7.6499999999999999E-2</v>
      </c>
      <c r="AQ33" s="80">
        <f>+'SEF-29 pg 1-2'!$C$13</f>
        <v>7.6499999999999999E-2</v>
      </c>
      <c r="AR33" s="80">
        <f>+'SEF-29 pg 1-2'!$C$13</f>
        <v>7.6499999999999999E-2</v>
      </c>
      <c r="AS33" s="80">
        <f>+'SEF-29 pg 1-2'!$C$13</f>
        <v>7.6499999999999999E-2</v>
      </c>
      <c r="AT33" s="80">
        <f>+'SEF-29 pg 1-2'!$C$13</f>
        <v>7.6499999999999999E-2</v>
      </c>
      <c r="AU33" s="80">
        <f>+'SEF-29 pg 1-2'!$C$13</f>
        <v>7.6499999999999999E-2</v>
      </c>
      <c r="AV33" s="80">
        <f>+'SEF-29 pg 1-2'!$C$13</f>
        <v>7.6499999999999999E-2</v>
      </c>
      <c r="AW33" s="80">
        <f>+'SEF-29 pg 1-2'!$C$13</f>
        <v>7.6499999999999999E-2</v>
      </c>
      <c r="AX33" s="80">
        <f>+'SEF-29 pg 1-2'!$C$13</f>
        <v>7.6499999999999999E-2</v>
      </c>
      <c r="AY33" s="80">
        <f>+'SEF-29 pg 1-2'!$C$13</f>
        <v>7.6499999999999999E-2</v>
      </c>
      <c r="AZ33" s="80">
        <f>+'SEF-29 pg 1-2'!$C$13</f>
        <v>7.6499999999999999E-2</v>
      </c>
      <c r="BA33" s="80">
        <f>+'SEF-29 pg 1-2'!$C$13</f>
        <v>7.6499999999999999E-2</v>
      </c>
      <c r="BB33" s="80">
        <f>+'SEF-29 pg 1-2'!$C$13</f>
        <v>7.6499999999999999E-2</v>
      </c>
      <c r="BC33" s="80">
        <f>+'SEF-29 pg 1-2'!$C$13</f>
        <v>7.6499999999999999E-2</v>
      </c>
      <c r="BD33" s="81">
        <f>+'SEF-29 pg 1-2'!$C$13</f>
        <v>7.6499999999999999E-2</v>
      </c>
      <c r="BE33" s="81">
        <f>+'SEF-29 pg 1-2'!$C$13</f>
        <v>7.6499999999999999E-2</v>
      </c>
      <c r="BF33" s="82" t="s">
        <v>41</v>
      </c>
    </row>
    <row r="34" spans="1:58" ht="15" x14ac:dyDescent="0.25">
      <c r="A34" s="22">
        <f t="shared" si="0"/>
        <v>34</v>
      </c>
      <c r="B34" s="75" t="s">
        <v>42</v>
      </c>
      <c r="C34" s="46">
        <v>71731585.706022918</v>
      </c>
      <c r="D34" s="46">
        <v>18439329.63333185</v>
      </c>
      <c r="E34" s="39"/>
      <c r="F34" s="39"/>
      <c r="G34" s="30">
        <f t="shared" si="1"/>
        <v>34</v>
      </c>
      <c r="H34" s="33"/>
      <c r="I34" s="20"/>
      <c r="J34" s="20"/>
      <c r="K34" s="44"/>
      <c r="M34"/>
      <c r="N34"/>
      <c r="O34"/>
      <c r="P34"/>
      <c r="S34" s="30"/>
      <c r="T34" s="78"/>
      <c r="U34" s="21"/>
      <c r="V34" s="18"/>
      <c r="W34" s="18"/>
      <c r="X34" s="18"/>
      <c r="Y34" s="18"/>
      <c r="Z34" s="18"/>
      <c r="AA34" s="18"/>
      <c r="AB34" s="18"/>
    </row>
    <row r="35" spans="1:58" ht="15" x14ac:dyDescent="0.25">
      <c r="A35" s="22">
        <f t="shared" si="0"/>
        <v>35</v>
      </c>
      <c r="B35" s="75" t="s">
        <v>43</v>
      </c>
      <c r="C35" s="46">
        <v>27575596.344614163</v>
      </c>
      <c r="D35" s="46">
        <v>6853553.1610220522</v>
      </c>
      <c r="E35" s="39"/>
      <c r="F35" s="39"/>
      <c r="G35" s="30">
        <f t="shared" si="1"/>
        <v>35</v>
      </c>
      <c r="H35" s="33" t="s">
        <v>26</v>
      </c>
      <c r="I35" s="34">
        <f>+I31</f>
        <v>0.49</v>
      </c>
      <c r="J35" s="34">
        <f>J31*0.79</f>
        <v>4.2402040816326536E-2</v>
      </c>
      <c r="K35" s="35">
        <f>ROUND(K31*0.79,4)</f>
        <v>2.0799999999999999E-2</v>
      </c>
      <c r="M35"/>
      <c r="N35"/>
      <c r="O35"/>
      <c r="P35"/>
      <c r="S35" s="30"/>
      <c r="T35" s="78"/>
      <c r="U35" s="21"/>
      <c r="V35" s="18"/>
      <c r="W35" s="18"/>
      <c r="X35" s="18"/>
      <c r="Y35" s="18"/>
      <c r="Z35" s="18"/>
      <c r="AA35" s="18"/>
      <c r="AB35" s="18"/>
    </row>
    <row r="36" spans="1:58" ht="15" x14ac:dyDescent="0.25">
      <c r="A36" s="22">
        <f t="shared" si="0"/>
        <v>36</v>
      </c>
      <c r="B36" s="75" t="s">
        <v>44</v>
      </c>
      <c r="C36" s="46">
        <v>7681528.669124837</v>
      </c>
      <c r="D36" s="83">
        <v>0</v>
      </c>
      <c r="E36" s="84"/>
      <c r="F36" s="84"/>
      <c r="G36" s="30">
        <f t="shared" si="1"/>
        <v>36</v>
      </c>
      <c r="H36" s="33" t="s">
        <v>21</v>
      </c>
      <c r="I36" s="34">
        <f>+I32</f>
        <v>0.51</v>
      </c>
      <c r="J36" s="34">
        <f>+J32</f>
        <v>0.105</v>
      </c>
      <c r="K36" s="35">
        <f>ROUND(I36*J36,4)</f>
        <v>5.3600000000000002E-2</v>
      </c>
      <c r="M36"/>
      <c r="N36"/>
      <c r="O36"/>
      <c r="P36"/>
      <c r="S36" s="30"/>
      <c r="T36" s="78"/>
      <c r="U36" s="21"/>
      <c r="V36" s="18"/>
      <c r="W36" s="18"/>
      <c r="X36" s="18"/>
      <c r="Y36" s="18"/>
      <c r="Z36" s="18"/>
      <c r="AA36" s="18"/>
      <c r="AB36" s="18"/>
    </row>
    <row r="37" spans="1:58" ht="15" x14ac:dyDescent="0.25">
      <c r="A37" s="22">
        <f t="shared" si="0"/>
        <v>37</v>
      </c>
      <c r="D37" s="85"/>
      <c r="E37" s="84"/>
      <c r="F37" s="84"/>
      <c r="G37" s="30">
        <f t="shared" si="1"/>
        <v>37</v>
      </c>
      <c r="H37" s="52" t="s">
        <v>28</v>
      </c>
      <c r="I37" s="53">
        <f>SUM(I35:I36)</f>
        <v>1</v>
      </c>
      <c r="J37" s="54"/>
      <c r="K37" s="55">
        <f>SUM(K35:K36)</f>
        <v>7.4399999999999994E-2</v>
      </c>
      <c r="M37"/>
      <c r="N37"/>
      <c r="O37"/>
      <c r="P37"/>
      <c r="S37" s="30"/>
      <c r="T37" s="21"/>
      <c r="U37" s="21"/>
      <c r="V37" s="18"/>
      <c r="W37" s="18"/>
      <c r="X37" s="18"/>
      <c r="Y37" s="18"/>
      <c r="Z37" s="18"/>
      <c r="AA37" s="18"/>
      <c r="AB37" s="18"/>
    </row>
    <row r="38" spans="1:58" ht="15" x14ac:dyDescent="0.25">
      <c r="A38" s="22">
        <f t="shared" si="0"/>
        <v>38</v>
      </c>
      <c r="B38" s="75"/>
      <c r="C38" s="84"/>
      <c r="D38" s="87"/>
      <c r="E38" s="84"/>
      <c r="F38" s="84"/>
      <c r="G38" s="30"/>
      <c r="H38" s="88"/>
      <c r="I38" s="89"/>
      <c r="J38" s="89"/>
      <c r="K38" s="89"/>
      <c r="M38"/>
      <c r="N38"/>
      <c r="O38"/>
      <c r="P38"/>
      <c r="S38" s="89"/>
      <c r="T38" s="89"/>
      <c r="U38" s="89"/>
      <c r="V38" s="18"/>
      <c r="W38" s="18"/>
      <c r="X38" s="18"/>
      <c r="Y38" s="18"/>
      <c r="Z38" s="18"/>
      <c r="AA38" s="18"/>
      <c r="AB38" s="18"/>
    </row>
    <row r="39" spans="1:58" ht="15" outlineLevel="1" x14ac:dyDescent="0.25">
      <c r="A39" s="22">
        <f t="shared" si="0"/>
        <v>39</v>
      </c>
      <c r="B39" s="43" t="s">
        <v>45</v>
      </c>
      <c r="C39" s="47">
        <f>SUM(C26:C38)</f>
        <v>-392046221.33914036</v>
      </c>
      <c r="D39" s="47">
        <f>SUM(D26:D38)</f>
        <v>25292882.794353902</v>
      </c>
      <c r="E39" s="48"/>
      <c r="F39" s="48"/>
      <c r="G39"/>
      <c r="H39"/>
      <c r="I39"/>
      <c r="J39"/>
      <c r="K39" s="19"/>
      <c r="L39"/>
      <c r="M39"/>
      <c r="N39"/>
      <c r="O39"/>
      <c r="P39"/>
      <c r="S39" s="89"/>
      <c r="T39" s="89"/>
      <c r="U39" s="89"/>
      <c r="V39" s="18"/>
      <c r="W39" s="18"/>
      <c r="X39" s="18"/>
      <c r="Y39" s="18"/>
      <c r="Z39" s="18"/>
      <c r="AA39" s="18"/>
      <c r="AB39" s="18"/>
    </row>
    <row r="40" spans="1:58" ht="15" outlineLevel="1" x14ac:dyDescent="0.25">
      <c r="A40" s="22">
        <f t="shared" si="0"/>
        <v>40</v>
      </c>
      <c r="B40" s="43"/>
      <c r="C40" s="48"/>
      <c r="D40" s="90"/>
      <c r="E40" s="48"/>
      <c r="F40" s="48"/>
      <c r="H40" s="91"/>
      <c r="I40"/>
      <c r="J40"/>
      <c r="K40" s="19"/>
      <c r="L40"/>
      <c r="M40"/>
      <c r="N40"/>
      <c r="O40"/>
      <c r="P40"/>
      <c r="S40" s="89"/>
      <c r="T40" s="89"/>
      <c r="U40" s="89"/>
      <c r="V40" s="18"/>
      <c r="W40" s="18"/>
      <c r="X40" s="18"/>
      <c r="Y40" s="18"/>
      <c r="Z40" s="18"/>
      <c r="AA40" s="18"/>
      <c r="AB40" s="18"/>
    </row>
    <row r="41" spans="1:58" ht="15.75" outlineLevel="1" thickBot="1" x14ac:dyDescent="0.3">
      <c r="A41" s="22">
        <f t="shared" si="0"/>
        <v>41</v>
      </c>
      <c r="B41" s="43" t="s">
        <v>46</v>
      </c>
      <c r="C41" s="92">
        <f>C23+C39</f>
        <v>392722253.66085964</v>
      </c>
      <c r="D41" s="92">
        <f>D23+D39</f>
        <v>195280652.7943539</v>
      </c>
      <c r="E41" s="93">
        <f>B60</f>
        <v>0</v>
      </c>
      <c r="F41" s="93"/>
      <c r="M41"/>
      <c r="N41"/>
      <c r="O41"/>
      <c r="P41"/>
      <c r="S41" s="89"/>
      <c r="T41" s="89"/>
      <c r="U41" s="89"/>
      <c r="V41" s="18"/>
      <c r="W41" s="18"/>
      <c r="X41" s="18"/>
      <c r="Y41" s="18"/>
      <c r="Z41" s="18"/>
      <c r="AA41" s="18"/>
      <c r="AB41" s="18"/>
    </row>
    <row r="42" spans="1:58" ht="15.75" outlineLevel="1" thickTop="1" x14ac:dyDescent="0.25">
      <c r="A42" s="22">
        <f t="shared" si="0"/>
        <v>42</v>
      </c>
      <c r="B42" s="43"/>
      <c r="C42" s="43"/>
      <c r="D42" s="43"/>
      <c r="E42" s="43">
        <f>B61</f>
        <v>0</v>
      </c>
      <c r="F42" s="43"/>
      <c r="M42"/>
      <c r="N42"/>
      <c r="O42"/>
      <c r="P42"/>
      <c r="S42" s="89"/>
      <c r="T42" s="89"/>
      <c r="U42" s="89"/>
      <c r="V42" s="18"/>
      <c r="W42" s="18"/>
      <c r="X42" s="18"/>
      <c r="Y42" s="18"/>
      <c r="Z42" s="18"/>
      <c r="AA42" s="18"/>
      <c r="AB42" s="18"/>
    </row>
    <row r="43" spans="1:58" ht="15" outlineLevel="1" x14ac:dyDescent="0.25">
      <c r="A43" s="22">
        <f t="shared" si="0"/>
        <v>43</v>
      </c>
      <c r="B43" s="43" t="s">
        <v>47</v>
      </c>
      <c r="C43" s="94">
        <f>C41/C44</f>
        <v>0.13774394595167647</v>
      </c>
      <c r="D43" s="94">
        <f>D23/D44</f>
        <v>5.2044270166484746E-2</v>
      </c>
      <c r="E43" s="31"/>
      <c r="F43" s="31"/>
      <c r="M43"/>
      <c r="N43"/>
      <c r="O43"/>
      <c r="P43"/>
      <c r="S43" s="89"/>
      <c r="T43" s="89"/>
      <c r="U43" s="89"/>
      <c r="V43" s="18"/>
      <c r="W43" s="18"/>
      <c r="X43" s="18"/>
      <c r="Y43" s="18"/>
      <c r="Z43" s="18"/>
      <c r="AA43" s="18"/>
      <c r="AB43" s="18"/>
    </row>
    <row r="44" spans="1:58" ht="15" outlineLevel="1" x14ac:dyDescent="0.25">
      <c r="A44" s="22">
        <f t="shared" si="0"/>
        <v>44</v>
      </c>
      <c r="B44" s="43" t="s">
        <v>1050</v>
      </c>
      <c r="C44" s="95">
        <v>2851103552.6645579</v>
      </c>
      <c r="D44" s="95">
        <v>3266214886.9841971</v>
      </c>
      <c r="E44" s="96"/>
      <c r="F44" s="96"/>
      <c r="M44"/>
      <c r="N44"/>
      <c r="O44"/>
      <c r="P44"/>
      <c r="S44" s="89"/>
      <c r="T44" s="89"/>
      <c r="U44" s="89"/>
      <c r="V44" s="18"/>
      <c r="W44" s="18"/>
      <c r="X44" s="18"/>
      <c r="Y44" s="18"/>
      <c r="Z44" s="18"/>
      <c r="AA44" s="18"/>
      <c r="AB44" s="18"/>
    </row>
    <row r="45" spans="1:58" ht="15" outlineLevel="1" x14ac:dyDescent="0.25">
      <c r="A45" s="97" t="s">
        <v>30</v>
      </c>
      <c r="B45" s="43"/>
      <c r="C45" s="43"/>
      <c r="D45" s="98"/>
      <c r="E45" s="43"/>
      <c r="F45" s="43"/>
      <c r="M45"/>
      <c r="N45"/>
      <c r="O45"/>
      <c r="P45"/>
      <c r="S45" s="89"/>
      <c r="T45" s="89"/>
      <c r="U45" s="89"/>
      <c r="V45" s="18"/>
      <c r="W45" s="18"/>
      <c r="X45" s="18"/>
      <c r="Y45" s="18"/>
      <c r="Z45" s="18"/>
      <c r="AA45" s="18"/>
      <c r="AB45" s="18"/>
    </row>
    <row r="46" spans="1:58" ht="15" outlineLevel="1" x14ac:dyDescent="0.25">
      <c r="A46" s="22"/>
      <c r="B46"/>
      <c r="C46"/>
      <c r="D46"/>
      <c r="E46"/>
      <c r="F46"/>
      <c r="G46"/>
      <c r="H46"/>
      <c r="I46"/>
      <c r="J46"/>
      <c r="K46" s="19"/>
      <c r="L46"/>
      <c r="M46"/>
      <c r="N46"/>
      <c r="O46"/>
      <c r="P46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spans="1:58" customFormat="1" ht="15" outlineLevel="1" x14ac:dyDescent="0.25"/>
    <row r="48" spans="1:58" customFormat="1" ht="15" outlineLevel="1" x14ac:dyDescent="0.25"/>
    <row r="49" spans="1:28" customFormat="1" ht="15" outlineLevel="1" x14ac:dyDescent="0.25"/>
    <row r="50" spans="1:28" ht="15" outlineLevel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spans="1:28" ht="15" outlineLevel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spans="1:28" ht="15" outlineLevel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ht="15" outlineLevel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spans="1:28" ht="15" outlineLevel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S54" s="18"/>
      <c r="T54" s="18"/>
      <c r="U54" s="18"/>
      <c r="V54" s="18"/>
      <c r="W54" s="18"/>
      <c r="X54" s="18"/>
      <c r="Y54" s="18"/>
      <c r="Z54" s="18"/>
      <c r="AA54" s="18"/>
      <c r="AB54" s="18"/>
    </row>
    <row r="55" spans="1:28" ht="15" customHeight="1" outlineLevel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spans="1:28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spans="1:28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spans="1:28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spans="1:28" ht="15" x14ac:dyDescent="0.25">
      <c r="A59"/>
      <c r="B59"/>
      <c r="C59"/>
      <c r="D59"/>
      <c r="E59"/>
      <c r="F59"/>
      <c r="G59"/>
      <c r="H59"/>
      <c r="I59" s="19"/>
      <c r="J59" s="19"/>
      <c r="K59" s="19"/>
      <c r="L59"/>
      <c r="M59"/>
      <c r="N59"/>
      <c r="O59"/>
      <c r="P59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spans="1:28" ht="15" x14ac:dyDescent="0.25">
      <c r="A60"/>
      <c r="B60"/>
      <c r="C60"/>
      <c r="D60"/>
      <c r="E60"/>
      <c r="F60"/>
      <c r="G60"/>
      <c r="H60"/>
      <c r="I60" s="19"/>
      <c r="J60" s="19"/>
      <c r="K60" s="19"/>
      <c r="L60" s="18"/>
      <c r="M60" s="18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ht="15" x14ac:dyDescent="0.25">
      <c r="A61"/>
      <c r="B61"/>
      <c r="C61"/>
      <c r="D61"/>
      <c r="E61"/>
      <c r="F61"/>
      <c r="G61"/>
      <c r="H61"/>
      <c r="I61" s="19"/>
      <c r="J61" s="19"/>
      <c r="K61" s="19"/>
      <c r="L61" s="18"/>
      <c r="M61" s="18"/>
      <c r="S61" s="18"/>
      <c r="T61" s="18"/>
      <c r="U61" s="18"/>
      <c r="V61" s="18"/>
      <c r="W61" s="18"/>
      <c r="X61" s="18"/>
      <c r="Y61" s="18"/>
      <c r="Z61" s="18"/>
      <c r="AA61" s="18"/>
      <c r="AB61" s="18"/>
    </row>
    <row r="62" spans="1:28" ht="15" x14ac:dyDescent="0.25">
      <c r="A62"/>
      <c r="B62"/>
      <c r="C62"/>
      <c r="D62"/>
      <c r="E62"/>
      <c r="F62"/>
      <c r="G62"/>
      <c r="H62"/>
      <c r="I62" s="19"/>
      <c r="J62" s="19"/>
      <c r="K62" s="19"/>
      <c r="L62" s="18"/>
      <c r="M62" s="18"/>
      <c r="S62" s="18"/>
      <c r="T62" s="18"/>
      <c r="U62" s="18"/>
      <c r="V62" s="18"/>
      <c r="W62" s="18"/>
      <c r="X62" s="18"/>
      <c r="Y62" s="18"/>
      <c r="Z62" s="18"/>
      <c r="AA62" s="18"/>
      <c r="AB62" s="18"/>
    </row>
    <row r="63" spans="1:28" ht="15" x14ac:dyDescent="0.25">
      <c r="A63"/>
      <c r="B63"/>
      <c r="C63"/>
      <c r="D63"/>
      <c r="E63"/>
      <c r="F63"/>
      <c r="G63"/>
      <c r="H63"/>
      <c r="I63" s="19"/>
      <c r="J63" s="19"/>
      <c r="K63" s="19"/>
      <c r="L63" s="18"/>
      <c r="M63" s="18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spans="1:28" ht="15" x14ac:dyDescent="0.25">
      <c r="A64"/>
      <c r="B64"/>
      <c r="C64"/>
      <c r="D64"/>
      <c r="E64"/>
      <c r="F64"/>
      <c r="G64"/>
      <c r="H64"/>
      <c r="I64" s="19"/>
      <c r="J64" s="19"/>
      <c r="K64" s="19"/>
      <c r="L64" s="18"/>
      <c r="M64" s="18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spans="1:28" ht="15" x14ac:dyDescent="0.25">
      <c r="A65"/>
      <c r="B65"/>
      <c r="C65"/>
      <c r="D65"/>
      <c r="E65"/>
      <c r="F65"/>
      <c r="G65"/>
      <c r="H65"/>
      <c r="I65"/>
      <c r="J65"/>
      <c r="K65"/>
      <c r="L65" s="18"/>
      <c r="M65" s="18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spans="1:28" ht="15" x14ac:dyDescent="0.25">
      <c r="A66"/>
      <c r="B66"/>
      <c r="C66"/>
      <c r="D66"/>
      <c r="E66"/>
      <c r="F66"/>
      <c r="G66"/>
      <c r="H66"/>
      <c r="I66"/>
      <c r="J66"/>
      <c r="K66"/>
      <c r="L66" s="18"/>
      <c r="M66" s="18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spans="1:28" ht="15" x14ac:dyDescent="0.25">
      <c r="A67"/>
      <c r="B67"/>
      <c r="C67"/>
      <c r="D67"/>
      <c r="E67"/>
      <c r="F67"/>
      <c r="G67"/>
      <c r="H67"/>
      <c r="I67"/>
      <c r="J67"/>
      <c r="K67"/>
      <c r="L67" s="18"/>
      <c r="M67" s="18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spans="1:28" ht="15" x14ac:dyDescent="0.25">
      <c r="A68"/>
      <c r="B68"/>
      <c r="C68"/>
      <c r="D68"/>
      <c r="E68"/>
      <c r="F68"/>
      <c r="G68"/>
      <c r="H68"/>
      <c r="I68"/>
      <c r="J68"/>
      <c r="K68"/>
      <c r="L68" s="18"/>
      <c r="M68" s="18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pans="1:28" ht="15" x14ac:dyDescent="0.25">
      <c r="A69"/>
      <c r="B69"/>
      <c r="C69"/>
      <c r="D69"/>
      <c r="E69"/>
      <c r="F69"/>
      <c r="G69"/>
      <c r="H69"/>
      <c r="I69"/>
      <c r="J69"/>
      <c r="K69"/>
      <c r="L69" s="18"/>
      <c r="M69" s="18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ht="15" x14ac:dyDescent="0.25">
      <c r="A70" s="30"/>
      <c r="B70" s="547"/>
      <c r="C70" s="1178"/>
      <c r="D70" s="1178"/>
      <c r="E70"/>
      <c r="F70"/>
      <c r="G70"/>
      <c r="H70"/>
      <c r="I70"/>
      <c r="J70"/>
      <c r="K70"/>
      <c r="L70" s="18"/>
      <c r="M70" s="18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spans="1:28" ht="15" x14ac:dyDescent="0.25">
      <c r="A71" s="30"/>
      <c r="B71" s="842"/>
      <c r="C71" s="1231"/>
      <c r="D71" s="1231"/>
      <c r="E71"/>
      <c r="F71"/>
      <c r="G71"/>
      <c r="H71"/>
      <c r="I71"/>
      <c r="J71"/>
      <c r="K71"/>
      <c r="L71" s="18"/>
      <c r="M71" s="18"/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spans="1:28" ht="15" x14ac:dyDescent="0.25">
      <c r="A72" s="30"/>
      <c r="B72" s="842"/>
      <c r="C72" s="72"/>
      <c r="D72" s="72"/>
      <c r="E72"/>
      <c r="F72"/>
      <c r="G72"/>
      <c r="H72"/>
      <c r="I72"/>
      <c r="J72"/>
      <c r="K72"/>
      <c r="L72" s="18"/>
      <c r="M72" s="18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spans="1:28" ht="15" x14ac:dyDescent="0.25">
      <c r="A73" s="30"/>
      <c r="B73" s="547"/>
      <c r="C73" s="633"/>
      <c r="D73" s="633"/>
      <c r="E73"/>
      <c r="F73"/>
      <c r="G73"/>
      <c r="H73"/>
      <c r="I73"/>
      <c r="J73"/>
      <c r="K73"/>
      <c r="L73" s="18"/>
      <c r="M73" s="18"/>
      <c r="S73" s="18"/>
      <c r="T73" s="18"/>
      <c r="U73" s="18"/>
      <c r="V73" s="18"/>
      <c r="W73" s="18"/>
      <c r="X73" s="18"/>
      <c r="Y73" s="18"/>
      <c r="Z73" s="18"/>
      <c r="AA73" s="18"/>
      <c r="AB73" s="18"/>
    </row>
    <row r="74" spans="1:28" ht="15" x14ac:dyDescent="0.25">
      <c r="A74" s="30"/>
      <c r="B74" s="547"/>
      <c r="C74" s="72"/>
      <c r="D74" s="72"/>
      <c r="E74"/>
      <c r="F74"/>
      <c r="G74"/>
      <c r="H74"/>
      <c r="I74"/>
      <c r="J74"/>
      <c r="K74"/>
      <c r="L74" s="18"/>
      <c r="M74" s="18"/>
      <c r="S74" s="18"/>
      <c r="T74" s="18"/>
      <c r="U74" s="18"/>
      <c r="V74" s="18"/>
      <c r="W74" s="18"/>
      <c r="X74" s="18"/>
      <c r="Y74" s="18"/>
      <c r="Z74" s="18"/>
      <c r="AA74" s="18"/>
      <c r="AB74" s="18"/>
    </row>
    <row r="75" spans="1:28" ht="15" x14ac:dyDescent="0.25">
      <c r="A75" s="30"/>
      <c r="B75" s="842"/>
      <c r="C75" s="633"/>
      <c r="D75" s="633"/>
      <c r="E75"/>
      <c r="F75"/>
      <c r="G75"/>
      <c r="H75" s="18"/>
      <c r="I75" s="18"/>
      <c r="J75" s="18"/>
      <c r="K75" s="18"/>
      <c r="L75" s="18"/>
      <c r="M75" s="18"/>
      <c r="S75" s="18"/>
      <c r="T75" s="18"/>
      <c r="U75" s="18"/>
      <c r="V75" s="18"/>
      <c r="W75" s="18"/>
      <c r="X75" s="18"/>
      <c r="Y75" s="18"/>
      <c r="Z75" s="18"/>
      <c r="AA75" s="18"/>
      <c r="AB75" s="18"/>
    </row>
    <row r="76" spans="1:28" ht="15" x14ac:dyDescent="0.25">
      <c r="A76" s="30"/>
      <c r="B76" s="842"/>
      <c r="C76" s="633"/>
      <c r="D76" s="633"/>
      <c r="E76"/>
      <c r="F76"/>
      <c r="G76"/>
      <c r="H76" s="18"/>
      <c r="I76" s="18"/>
      <c r="J76" s="18"/>
      <c r="K76" s="18"/>
      <c r="L76" s="18"/>
      <c r="M76" s="18"/>
      <c r="S76" s="18"/>
      <c r="T76" s="18"/>
      <c r="U76" s="18"/>
      <c r="V76" s="18"/>
      <c r="W76" s="18"/>
      <c r="X76" s="18"/>
      <c r="Y76" s="18"/>
      <c r="Z76" s="18"/>
      <c r="AA76" s="18"/>
      <c r="AB76" s="18"/>
    </row>
    <row r="77" spans="1:28" ht="15" x14ac:dyDescent="0.25">
      <c r="A77" s="30"/>
      <c r="B77" s="547"/>
      <c r="C77" s="1232"/>
      <c r="D77" s="1232"/>
      <c r="E77"/>
      <c r="F77"/>
      <c r="G77"/>
      <c r="H77" s="18"/>
      <c r="I77" s="18"/>
      <c r="J77" s="18"/>
      <c r="K77" s="18"/>
      <c r="L77" s="18"/>
      <c r="M77" s="18"/>
      <c r="S77" s="18"/>
      <c r="T77" s="18"/>
      <c r="U77" s="18"/>
      <c r="V77" s="18"/>
      <c r="W77" s="18"/>
      <c r="X77" s="18"/>
      <c r="Y77" s="18"/>
      <c r="Z77" s="18"/>
      <c r="AA77" s="18"/>
      <c r="AB77" s="18"/>
    </row>
    <row r="78" spans="1:28" ht="15" x14ac:dyDescent="0.25">
      <c r="A78" s="30"/>
      <c r="B78" s="547"/>
      <c r="C78" s="1233"/>
      <c r="D78" s="1233"/>
      <c r="E78"/>
      <c r="F78"/>
      <c r="G78"/>
      <c r="H78" s="18"/>
      <c r="I78" s="18"/>
      <c r="J78" s="18"/>
      <c r="K78" s="18"/>
      <c r="L78" s="18"/>
      <c r="M78" s="18"/>
      <c r="S78" s="18"/>
      <c r="T78" s="18"/>
      <c r="U78" s="18"/>
      <c r="V78" s="18"/>
      <c r="W78" s="18"/>
      <c r="X78" s="18"/>
      <c r="Y78" s="18"/>
      <c r="Z78" s="18"/>
      <c r="AA78" s="18"/>
      <c r="AB78" s="18"/>
    </row>
    <row r="79" spans="1:28" ht="15" x14ac:dyDescent="0.25">
      <c r="A79" s="30"/>
      <c r="B79" s="20"/>
      <c r="C79" s="67"/>
      <c r="D79" s="67"/>
      <c r="E79"/>
      <c r="F79"/>
      <c r="G79"/>
      <c r="H79" s="18"/>
      <c r="I79" s="18"/>
      <c r="J79" s="18"/>
      <c r="K79" s="18"/>
      <c r="L79" s="18"/>
      <c r="M79" s="18"/>
      <c r="S79" s="18"/>
      <c r="T79" s="18"/>
      <c r="U79" s="18"/>
      <c r="V79" s="18"/>
      <c r="W79" s="18"/>
      <c r="X79" s="18"/>
      <c r="Y79" s="18"/>
      <c r="Z79" s="18"/>
      <c r="AA79" s="18"/>
      <c r="AB79" s="18"/>
    </row>
    <row r="80" spans="1:28" ht="15" x14ac:dyDescent="0.25">
      <c r="A80" s="30"/>
      <c r="B80" s="20"/>
      <c r="C80" s="64"/>
      <c r="D80" s="64"/>
      <c r="E80"/>
      <c r="F80"/>
      <c r="G80"/>
      <c r="H80" s="18"/>
      <c r="I80" s="18"/>
      <c r="J80" s="18"/>
      <c r="K80" s="18"/>
      <c r="L80" s="18"/>
      <c r="M80" s="18"/>
      <c r="S80" s="18"/>
      <c r="T80" s="18"/>
      <c r="U80" s="18"/>
      <c r="V80" s="18"/>
      <c r="W80" s="18"/>
      <c r="X80" s="18"/>
      <c r="Y80" s="18"/>
      <c r="Z80" s="18"/>
      <c r="AA80" s="18"/>
      <c r="AB80" s="18"/>
    </row>
    <row r="81" spans="1:28" ht="15" x14ac:dyDescent="0.25">
      <c r="A81" s="30"/>
      <c r="B81" s="20"/>
      <c r="C81" s="67"/>
      <c r="D81" s="67"/>
      <c r="E81"/>
      <c r="F81"/>
      <c r="G81"/>
      <c r="H81" s="18"/>
      <c r="I81" s="18"/>
      <c r="J81" s="18"/>
      <c r="K81" s="18"/>
      <c r="L81" s="18"/>
      <c r="M81" s="18"/>
      <c r="S81" s="18"/>
      <c r="T81" s="18"/>
      <c r="U81" s="18"/>
      <c r="V81" s="18"/>
      <c r="W81" s="18"/>
      <c r="X81" s="18"/>
      <c r="Y81" s="18"/>
      <c r="Z81" s="18"/>
      <c r="AA81" s="18"/>
      <c r="AB81" s="18"/>
    </row>
    <row r="82" spans="1:28" ht="15" x14ac:dyDescent="0.25">
      <c r="A82" s="30"/>
      <c r="B82" s="99"/>
      <c r="C82" s="67"/>
      <c r="D82" s="67"/>
      <c r="E82"/>
      <c r="F82"/>
      <c r="G82"/>
      <c r="H82" s="18"/>
      <c r="I82" s="18"/>
      <c r="J82" s="18"/>
      <c r="K82" s="18"/>
      <c r="L82" s="18"/>
      <c r="M82" s="18"/>
      <c r="S82" s="18"/>
      <c r="T82" s="18"/>
      <c r="U82" s="18"/>
      <c r="V82" s="18"/>
      <c r="W82" s="18"/>
      <c r="X82" s="18"/>
      <c r="Y82" s="18"/>
      <c r="Z82" s="18"/>
      <c r="AA82" s="18"/>
      <c r="AB82" s="18"/>
    </row>
    <row r="83" spans="1:28" ht="15" x14ac:dyDescent="0.25">
      <c r="A83" s="30"/>
      <c r="B83" s="99"/>
      <c r="C83" s="99"/>
      <c r="D83" s="99"/>
      <c r="E83"/>
      <c r="F83"/>
      <c r="G83"/>
      <c r="H83" s="18"/>
      <c r="I83" s="18"/>
      <c r="J83" s="18"/>
      <c r="K83" s="18"/>
      <c r="L83" s="18"/>
      <c r="M83" s="18"/>
      <c r="S83" s="18"/>
      <c r="T83" s="18"/>
      <c r="U83" s="18"/>
      <c r="V83" s="18"/>
      <c r="W83" s="18"/>
      <c r="X83" s="18"/>
      <c r="Y83" s="18"/>
      <c r="Z83" s="18"/>
      <c r="AA83" s="18"/>
      <c r="AB83" s="18"/>
    </row>
    <row r="84" spans="1:28" ht="15" x14ac:dyDescent="0.25">
      <c r="A84" s="30"/>
      <c r="B84" s="99"/>
      <c r="C84" s="99"/>
      <c r="D84" s="99"/>
      <c r="E84"/>
      <c r="F84"/>
      <c r="G84"/>
      <c r="H84" s="18"/>
      <c r="I84" s="18"/>
      <c r="J84" s="18"/>
      <c r="K84" s="18"/>
      <c r="L84" s="18"/>
      <c r="M84" s="18"/>
      <c r="S84" s="18"/>
      <c r="T84" s="18"/>
      <c r="U84" s="18"/>
      <c r="V84" s="18"/>
      <c r="W84" s="18"/>
      <c r="X84" s="18"/>
      <c r="Y84" s="18"/>
      <c r="Z84" s="18"/>
      <c r="AA84" s="18"/>
      <c r="AB84" s="18"/>
    </row>
    <row r="85" spans="1:28" ht="15" x14ac:dyDescent="0.25">
      <c r="A85" s="30"/>
      <c r="B85" s="547"/>
      <c r="C85" s="1178"/>
      <c r="D85" s="1178"/>
      <c r="E85"/>
      <c r="F85"/>
      <c r="G85"/>
      <c r="H85" s="18"/>
      <c r="I85" s="18"/>
      <c r="J85" s="18"/>
      <c r="K85" s="18"/>
      <c r="L85" s="18"/>
      <c r="M85" s="18"/>
      <c r="S85" s="18"/>
      <c r="T85" s="18"/>
      <c r="U85" s="18"/>
      <c r="V85" s="18"/>
      <c r="W85" s="18"/>
      <c r="X85" s="18"/>
      <c r="Y85" s="18"/>
      <c r="Z85" s="18"/>
      <c r="AA85" s="18"/>
      <c r="AB85" s="18"/>
    </row>
    <row r="86" spans="1:28" ht="15" x14ac:dyDescent="0.25">
      <c r="A86" s="30"/>
      <c r="B86" s="842"/>
      <c r="C86" s="1231"/>
      <c r="D86" s="1231"/>
      <c r="E86"/>
      <c r="F86"/>
      <c r="G86" s="18"/>
      <c r="H86" s="18"/>
      <c r="I86" s="18"/>
      <c r="J86" s="18"/>
      <c r="K86" s="18"/>
      <c r="L86" s="18"/>
      <c r="M86" s="18"/>
      <c r="S86" s="18"/>
      <c r="T86" s="18"/>
      <c r="U86" s="18"/>
      <c r="V86" s="18"/>
      <c r="W86" s="18"/>
      <c r="X86" s="18"/>
      <c r="Y86" s="18"/>
      <c r="Z86" s="18"/>
      <c r="AA86" s="18"/>
      <c r="AB86" s="18"/>
    </row>
    <row r="87" spans="1:28" ht="15" x14ac:dyDescent="0.25">
      <c r="A87" s="30"/>
      <c r="B87" s="842"/>
      <c r="C87" s="72"/>
      <c r="D87" s="72"/>
      <c r="E87"/>
      <c r="F87"/>
      <c r="G87" s="18"/>
      <c r="H87" s="18"/>
      <c r="I87" s="18"/>
      <c r="J87" s="18"/>
      <c r="K87" s="18"/>
      <c r="L87" s="18"/>
      <c r="M87" s="18"/>
      <c r="S87" s="18"/>
      <c r="T87" s="18"/>
      <c r="U87" s="18"/>
      <c r="V87" s="18"/>
      <c r="W87" s="18"/>
      <c r="X87" s="18"/>
      <c r="Y87" s="18"/>
      <c r="Z87" s="18"/>
      <c r="AA87" s="18"/>
      <c r="AB87" s="18"/>
    </row>
    <row r="88" spans="1:28" ht="15" x14ac:dyDescent="0.25">
      <c r="A88" s="30"/>
      <c r="B88" s="547"/>
      <c r="C88" s="633"/>
      <c r="D88" s="633"/>
      <c r="E88"/>
      <c r="F88"/>
      <c r="G88" s="18"/>
      <c r="H88" s="18"/>
      <c r="I88" s="18"/>
      <c r="J88" s="18"/>
      <c r="K88" s="18"/>
      <c r="L88" s="18"/>
      <c r="M88" s="18"/>
      <c r="S88" s="18"/>
      <c r="T88" s="18"/>
      <c r="U88" s="18"/>
      <c r="V88" s="18"/>
      <c r="W88" s="18"/>
      <c r="X88" s="18"/>
      <c r="Y88" s="18"/>
      <c r="Z88" s="18"/>
      <c r="AA88" s="18"/>
      <c r="AB88" s="18"/>
    </row>
    <row r="89" spans="1:28" ht="15" x14ac:dyDescent="0.25">
      <c r="A89" s="30"/>
      <c r="B89" s="547"/>
      <c r="C89" s="72"/>
      <c r="D89" s="72"/>
      <c r="E89"/>
      <c r="F89"/>
      <c r="G89" s="18"/>
      <c r="H89" s="18"/>
      <c r="I89" s="18"/>
      <c r="J89" s="18"/>
      <c r="K89" s="18"/>
      <c r="L89" s="18"/>
      <c r="M89" s="18"/>
      <c r="S89" s="18"/>
      <c r="T89" s="18"/>
      <c r="U89" s="18"/>
      <c r="V89" s="18"/>
      <c r="W89" s="18"/>
      <c r="X89" s="18"/>
      <c r="Y89" s="18"/>
      <c r="Z89" s="18"/>
      <c r="AA89" s="18"/>
      <c r="AB89" s="18"/>
    </row>
    <row r="90" spans="1:28" ht="15" x14ac:dyDescent="0.25">
      <c r="A90" s="30"/>
      <c r="B90" s="842"/>
      <c r="C90" s="633"/>
      <c r="D90" s="633"/>
      <c r="E90"/>
      <c r="F90"/>
      <c r="G90" s="18"/>
      <c r="H90" s="18"/>
      <c r="I90" s="18"/>
      <c r="J90" s="18"/>
      <c r="K90" s="18"/>
      <c r="L90" s="18"/>
      <c r="M90" s="18"/>
      <c r="S90" s="18"/>
      <c r="T90" s="18"/>
      <c r="U90" s="18"/>
      <c r="V90" s="18"/>
      <c r="W90" s="18"/>
      <c r="X90" s="18"/>
      <c r="Y90" s="18"/>
      <c r="Z90" s="18"/>
      <c r="AA90" s="18"/>
      <c r="AB90" s="18"/>
    </row>
    <row r="91" spans="1:28" ht="15" x14ac:dyDescent="0.25">
      <c r="A91" s="30"/>
      <c r="B91" s="842"/>
      <c r="C91" s="633"/>
      <c r="D91" s="633"/>
      <c r="E91"/>
      <c r="F91"/>
      <c r="G91" s="18"/>
      <c r="H91" s="18"/>
      <c r="I91" s="18"/>
      <c r="J91" s="18"/>
      <c r="K91" s="18"/>
      <c r="L91" s="18"/>
      <c r="M91" s="18"/>
      <c r="S91" s="18"/>
      <c r="T91" s="18"/>
      <c r="U91" s="18"/>
      <c r="V91" s="18"/>
      <c r="W91" s="18"/>
      <c r="X91" s="18"/>
      <c r="Y91" s="18"/>
      <c r="Z91" s="18"/>
      <c r="AA91" s="18"/>
      <c r="AB91" s="18"/>
    </row>
    <row r="92" spans="1:28" ht="15" x14ac:dyDescent="0.25">
      <c r="A92" s="30"/>
      <c r="B92" s="547"/>
      <c r="C92" s="1232"/>
      <c r="D92" s="1232"/>
      <c r="E92"/>
      <c r="F92"/>
      <c r="G92" s="18"/>
      <c r="H92" s="18"/>
      <c r="I92" s="18"/>
      <c r="J92" s="18"/>
      <c r="K92" s="18"/>
      <c r="L92" s="18"/>
      <c r="M92" s="18"/>
      <c r="S92" s="18"/>
      <c r="T92" s="18"/>
      <c r="U92" s="18"/>
      <c r="V92" s="18"/>
      <c r="W92" s="18"/>
      <c r="X92" s="18"/>
      <c r="Y92" s="18"/>
      <c r="Z92" s="18"/>
      <c r="AA92" s="18"/>
      <c r="AB92" s="18"/>
    </row>
    <row r="93" spans="1:28" ht="15" x14ac:dyDescent="0.25">
      <c r="A93" s="30"/>
      <c r="B93" s="547"/>
      <c r="C93" s="1233"/>
      <c r="D93" s="1233"/>
      <c r="E93"/>
      <c r="F93"/>
      <c r="G93" s="18"/>
      <c r="H93" s="18"/>
      <c r="I93" s="18"/>
      <c r="J93" s="18"/>
      <c r="K93" s="18"/>
      <c r="L93" s="18"/>
      <c r="M93" s="18"/>
      <c r="S93" s="18"/>
      <c r="T93" s="18"/>
      <c r="U93" s="18"/>
      <c r="V93" s="18"/>
      <c r="W93" s="18"/>
      <c r="X93" s="18"/>
      <c r="Y93" s="18"/>
      <c r="Z93" s="18"/>
      <c r="AA93" s="18"/>
      <c r="AB93" s="18"/>
    </row>
    <row r="94" spans="1:28" ht="15" x14ac:dyDescent="0.25">
      <c r="A94" s="30"/>
      <c r="B94" s="20"/>
      <c r="C94" s="67"/>
      <c r="D94" s="67"/>
      <c r="E94"/>
      <c r="F94"/>
      <c r="G94" s="18"/>
      <c r="H94" s="18"/>
      <c r="I94" s="18"/>
      <c r="J94" s="18"/>
      <c r="K94" s="18"/>
      <c r="L94" s="18"/>
      <c r="M94" s="18"/>
      <c r="S94" s="18"/>
      <c r="T94" s="18"/>
      <c r="U94" s="18"/>
      <c r="V94" s="18"/>
      <c r="W94" s="18"/>
      <c r="X94" s="18"/>
      <c r="Y94" s="18"/>
      <c r="Z94" s="18"/>
      <c r="AA94" s="18"/>
      <c r="AB94" s="18"/>
    </row>
    <row r="95" spans="1:28" ht="15" x14ac:dyDescent="0.25">
      <c r="A95" s="30"/>
      <c r="B95" s="20"/>
      <c r="C95" s="64"/>
      <c r="D95" s="64"/>
      <c r="E95"/>
      <c r="F95"/>
      <c r="G95" s="18"/>
      <c r="H95" s="18"/>
      <c r="I95" s="18"/>
      <c r="J95" s="18"/>
      <c r="K95" s="18"/>
      <c r="L95" s="18"/>
      <c r="M95" s="18"/>
      <c r="S95" s="18"/>
      <c r="T95" s="18"/>
      <c r="U95" s="18"/>
      <c r="V95" s="18"/>
      <c r="W95" s="18"/>
      <c r="X95" s="18"/>
      <c r="Y95" s="18"/>
      <c r="Z95" s="18"/>
      <c r="AA95" s="18"/>
      <c r="AB95" s="18"/>
    </row>
    <row r="96" spans="1:28" ht="15" x14ac:dyDescent="0.25">
      <c r="A96" s="30"/>
      <c r="B96" s="20"/>
      <c r="C96" s="67"/>
      <c r="D96" s="67"/>
      <c r="E96"/>
      <c r="F96"/>
      <c r="G96" s="18"/>
      <c r="H96" s="18"/>
      <c r="I96" s="18"/>
      <c r="J96" s="18"/>
      <c r="K96" s="18"/>
      <c r="L96" s="18"/>
      <c r="M96" s="18"/>
      <c r="S96" s="18"/>
      <c r="T96" s="18"/>
      <c r="U96" s="18"/>
      <c r="V96" s="18"/>
      <c r="W96" s="18"/>
      <c r="X96" s="18"/>
      <c r="Y96" s="18"/>
      <c r="Z96" s="18"/>
      <c r="AA96" s="18"/>
      <c r="AB96" s="18"/>
    </row>
    <row r="97" spans="1:28" ht="15" x14ac:dyDescent="0.25">
      <c r="A97" s="30"/>
      <c r="B97" s="99"/>
      <c r="C97" s="67"/>
      <c r="D97" s="67"/>
      <c r="E97"/>
      <c r="F97"/>
      <c r="G97" s="18"/>
      <c r="H97" s="18"/>
      <c r="I97" s="18"/>
      <c r="J97" s="18"/>
      <c r="K97" s="18"/>
      <c r="L97" s="18"/>
      <c r="M97" s="18"/>
      <c r="S97" s="18"/>
      <c r="T97" s="18"/>
      <c r="U97" s="18"/>
      <c r="V97" s="18"/>
      <c r="W97" s="18"/>
      <c r="X97" s="18"/>
      <c r="Y97" s="18"/>
      <c r="Z97" s="18"/>
      <c r="AA97" s="18"/>
      <c r="AB97" s="18"/>
    </row>
    <row r="98" spans="1:28" ht="15" x14ac:dyDescent="0.25">
      <c r="A98" s="30"/>
      <c r="B98" s="99"/>
      <c r="C98" s="64"/>
      <c r="D98" s="64"/>
      <c r="E98"/>
      <c r="F98"/>
      <c r="G98" s="18"/>
      <c r="H98" s="18"/>
      <c r="I98" s="18"/>
      <c r="J98" s="18"/>
      <c r="K98" s="18"/>
      <c r="L98" s="18"/>
      <c r="M98" s="18"/>
      <c r="S98" s="18"/>
      <c r="T98" s="18"/>
      <c r="U98" s="18"/>
      <c r="V98" s="18"/>
      <c r="W98" s="18"/>
      <c r="X98" s="18"/>
      <c r="Y98" s="18"/>
      <c r="Z98" s="18"/>
      <c r="AA98" s="18"/>
      <c r="AB98" s="18"/>
    </row>
    <row r="99" spans="1:28" ht="15" x14ac:dyDescent="0.25">
      <c r="A99" s="30"/>
      <c r="B99" s="99"/>
      <c r="C99" s="67"/>
      <c r="D99" s="67"/>
      <c r="E99"/>
      <c r="F99"/>
      <c r="G99" s="18"/>
      <c r="H99" s="18"/>
      <c r="I99" s="18"/>
      <c r="J99" s="18"/>
      <c r="K99" s="18"/>
      <c r="L99" s="18"/>
      <c r="M99" s="18"/>
      <c r="S99" s="18"/>
      <c r="T99" s="18"/>
      <c r="U99" s="18"/>
      <c r="V99" s="18"/>
      <c r="W99" s="18"/>
      <c r="X99" s="18"/>
      <c r="Y99" s="18"/>
      <c r="Z99" s="18"/>
      <c r="AA99" s="18"/>
      <c r="AB99" s="18"/>
    </row>
    <row r="100" spans="1:28" ht="15" x14ac:dyDescent="0.25">
      <c r="A100" s="30"/>
      <c r="B100" s="99"/>
      <c r="C100" s="99"/>
      <c r="D100" s="99"/>
      <c r="E100"/>
      <c r="F100"/>
      <c r="G100" s="18"/>
      <c r="H100" s="18"/>
      <c r="I100" s="18"/>
      <c r="J100" s="18"/>
      <c r="K100" s="18"/>
      <c r="L100" s="18"/>
      <c r="M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</row>
    <row r="101" spans="1:28" ht="15" x14ac:dyDescent="0.25">
      <c r="A101" s="30"/>
      <c r="B101" s="99"/>
      <c r="C101" s="99"/>
      <c r="D101" s="99"/>
      <c r="E101"/>
      <c r="F101"/>
      <c r="G101" s="18"/>
      <c r="H101" s="18"/>
      <c r="I101" s="18"/>
      <c r="J101" s="18"/>
      <c r="K101" s="18"/>
      <c r="L101" s="18"/>
      <c r="M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</row>
    <row r="102" spans="1:28" ht="15" x14ac:dyDescent="0.25">
      <c r="A102" s="30"/>
      <c r="B102" s="99"/>
      <c r="C102" s="99"/>
      <c r="D102" s="99"/>
      <c r="E102"/>
      <c r="F102"/>
      <c r="G102" s="18"/>
      <c r="H102" s="18"/>
      <c r="I102" s="18"/>
      <c r="J102" s="18"/>
      <c r="K102" s="18"/>
      <c r="L102" s="18"/>
      <c r="M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</row>
    <row r="103" spans="1:28" ht="15" x14ac:dyDescent="0.25">
      <c r="A103" s="30"/>
      <c r="B103" s="99"/>
      <c r="C103" s="99"/>
      <c r="D103" s="99"/>
      <c r="E103"/>
      <c r="F103"/>
      <c r="G103" s="18"/>
      <c r="H103" s="18"/>
      <c r="I103" s="18"/>
      <c r="J103" s="18"/>
      <c r="K103" s="18"/>
      <c r="L103" s="18"/>
      <c r="M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</row>
    <row r="104" spans="1:28" ht="15" x14ac:dyDescent="0.25">
      <c r="A104" s="30"/>
      <c r="B104" s="99"/>
      <c r="C104" s="99"/>
      <c r="D104" s="99"/>
      <c r="E104"/>
      <c r="F104"/>
      <c r="G104" s="18"/>
      <c r="H104" s="18"/>
      <c r="I104" s="18"/>
      <c r="J104" s="18"/>
      <c r="K104" s="18"/>
      <c r="L104" s="18"/>
      <c r="M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</row>
    <row r="105" spans="1:28" ht="15" x14ac:dyDescent="0.25">
      <c r="A105" s="30"/>
      <c r="B105" s="99"/>
      <c r="C105" s="99"/>
      <c r="D105" s="99"/>
      <c r="E105"/>
      <c r="F105"/>
      <c r="G105" s="18"/>
      <c r="H105" s="18"/>
      <c r="I105" s="18"/>
      <c r="J105" s="18"/>
      <c r="K105" s="18"/>
      <c r="L105" s="18"/>
      <c r="M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</row>
    <row r="106" spans="1:28" ht="15" x14ac:dyDescent="0.25">
      <c r="A106" s="30"/>
      <c r="B106" s="99"/>
      <c r="C106" s="99"/>
      <c r="D106" s="99"/>
      <c r="E106"/>
      <c r="F106"/>
      <c r="G106" s="18"/>
      <c r="H106" s="18"/>
      <c r="I106" s="18"/>
      <c r="J106" s="18"/>
      <c r="K106" s="18"/>
      <c r="L106" s="18"/>
      <c r="M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</row>
    <row r="107" spans="1:28" ht="15" x14ac:dyDescent="0.25">
      <c r="A107" s="89"/>
      <c r="B107" s="99"/>
      <c r="C107" s="99"/>
      <c r="D107" s="99"/>
      <c r="E107"/>
      <c r="F107"/>
      <c r="G107" s="18"/>
      <c r="H107" s="18"/>
      <c r="I107" s="18"/>
      <c r="J107" s="18"/>
      <c r="K107" s="18"/>
      <c r="L107" s="18"/>
      <c r="M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</row>
    <row r="108" spans="1:28" ht="15" x14ac:dyDescent="0.25">
      <c r="A108" s="89"/>
      <c r="B108" s="99"/>
      <c r="C108" s="99"/>
      <c r="D108" s="99"/>
      <c r="E108"/>
      <c r="F108"/>
      <c r="G108" s="18"/>
      <c r="H108" s="18"/>
      <c r="I108" s="18"/>
      <c r="J108" s="18"/>
      <c r="K108" s="18"/>
      <c r="L108" s="18"/>
      <c r="M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</row>
    <row r="109" spans="1:28" ht="15" x14ac:dyDescent="0.25">
      <c r="A109" s="89"/>
      <c r="B109" s="99"/>
      <c r="C109" s="99"/>
      <c r="D109" s="99"/>
      <c r="E109"/>
      <c r="F109"/>
      <c r="G109" s="18"/>
      <c r="H109" s="18"/>
      <c r="I109" s="18"/>
      <c r="J109" s="18"/>
      <c r="K109" s="18"/>
      <c r="L109" s="18"/>
      <c r="M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</row>
    <row r="110" spans="1:28" ht="15" x14ac:dyDescent="0.25">
      <c r="A110" s="89"/>
      <c r="B110" s="99"/>
      <c r="C110" s="99"/>
      <c r="D110" s="99"/>
      <c r="E110"/>
      <c r="F110"/>
      <c r="G110" s="18"/>
      <c r="H110" s="18"/>
      <c r="I110" s="18"/>
      <c r="J110" s="18"/>
      <c r="K110" s="18"/>
      <c r="L110" s="18"/>
      <c r="M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</row>
    <row r="111" spans="1:28" ht="15" x14ac:dyDescent="0.25">
      <c r="A111" s="89"/>
      <c r="B111" s="99"/>
      <c r="C111" s="99"/>
      <c r="D111" s="99"/>
      <c r="E111"/>
      <c r="F111"/>
      <c r="G111" s="18"/>
      <c r="H111" s="18"/>
      <c r="I111" s="18"/>
      <c r="J111" s="18"/>
      <c r="K111" s="18"/>
      <c r="L111" s="18"/>
      <c r="M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</row>
    <row r="112" spans="1:28" ht="15" x14ac:dyDescent="0.25">
      <c r="A112" s="18"/>
      <c r="B112"/>
      <c r="C112"/>
      <c r="D112"/>
      <c r="E112"/>
      <c r="F112"/>
      <c r="G112" s="18"/>
      <c r="H112" s="18"/>
      <c r="I112" s="18"/>
      <c r="J112" s="18"/>
      <c r="K112" s="18"/>
      <c r="L112" s="18"/>
      <c r="M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</row>
    <row r="113" spans="1:28" ht="15" x14ac:dyDescent="0.25">
      <c r="A113" s="18"/>
      <c r="B113"/>
      <c r="C113"/>
      <c r="D113"/>
      <c r="E113"/>
      <c r="F113"/>
      <c r="G113" s="18"/>
      <c r="H113" s="18"/>
      <c r="I113" s="18"/>
      <c r="J113" s="18"/>
      <c r="K113" s="18"/>
      <c r="L113" s="18"/>
      <c r="M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</row>
    <row r="114" spans="1:28" ht="15" x14ac:dyDescent="0.25">
      <c r="A114" s="18"/>
      <c r="B114"/>
      <c r="C114"/>
      <c r="D114"/>
      <c r="E114"/>
      <c r="F114"/>
      <c r="G114" s="18"/>
      <c r="H114" s="18"/>
      <c r="I114" s="18"/>
      <c r="J114" s="18"/>
      <c r="K114" s="18"/>
      <c r="L114" s="18"/>
      <c r="M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</row>
    <row r="115" spans="1:28" ht="15" x14ac:dyDescent="0.25">
      <c r="A115" s="18"/>
      <c r="B115"/>
      <c r="C115"/>
      <c r="D115"/>
      <c r="E115"/>
      <c r="F115"/>
      <c r="G115" s="18"/>
      <c r="H115" s="18"/>
      <c r="I115" s="18"/>
      <c r="J115" s="18"/>
      <c r="K115" s="18"/>
      <c r="L115" s="18"/>
      <c r="M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</row>
    <row r="116" spans="1:28" ht="15" x14ac:dyDescent="0.25">
      <c r="A116" s="18"/>
      <c r="B116"/>
      <c r="C116"/>
      <c r="D116"/>
      <c r="E116"/>
      <c r="F116"/>
      <c r="G116" s="18"/>
      <c r="H116" s="18"/>
      <c r="I116" s="18"/>
      <c r="J116" s="18"/>
      <c r="K116" s="18"/>
      <c r="L116" s="18"/>
      <c r="M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</row>
    <row r="117" spans="1:28" ht="15" x14ac:dyDescent="0.25">
      <c r="A117" s="18"/>
      <c r="B117"/>
      <c r="C117"/>
      <c r="D117"/>
      <c r="E117"/>
      <c r="F117"/>
      <c r="G117" s="18"/>
      <c r="H117" s="18"/>
      <c r="I117" s="18"/>
      <c r="J117" s="18"/>
      <c r="K117" s="18"/>
      <c r="L117" s="18"/>
      <c r="M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</row>
    <row r="118" spans="1:28" ht="15" x14ac:dyDescent="0.25">
      <c r="A118" s="18"/>
      <c r="B118"/>
      <c r="C118"/>
      <c r="D118"/>
      <c r="E118"/>
      <c r="F118"/>
      <c r="G118" s="18"/>
      <c r="H118" s="18"/>
      <c r="I118" s="18"/>
      <c r="J118" s="18"/>
      <c r="K118" s="18"/>
      <c r="L118" s="18"/>
      <c r="M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</row>
    <row r="119" spans="1:28" ht="15" x14ac:dyDescent="0.25">
      <c r="A119" s="18"/>
      <c r="B119"/>
      <c r="C119"/>
      <c r="D119"/>
      <c r="E119"/>
      <c r="F119"/>
      <c r="G119" s="18"/>
      <c r="H119" s="18"/>
      <c r="I119" s="18"/>
      <c r="J119" s="18"/>
      <c r="K119" s="18"/>
      <c r="L119" s="18"/>
      <c r="M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</row>
    <row r="120" spans="1:28" ht="15" x14ac:dyDescent="0.25">
      <c r="A120" s="18"/>
      <c r="B120"/>
      <c r="C120"/>
      <c r="D120"/>
      <c r="E120"/>
      <c r="F120"/>
      <c r="G120" s="18"/>
      <c r="H120" s="18"/>
      <c r="I120" s="18"/>
      <c r="J120" s="18"/>
      <c r="K120" s="18"/>
      <c r="L120" s="18"/>
      <c r="M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</row>
    <row r="121" spans="1:28" ht="15" x14ac:dyDescent="0.25">
      <c r="A121" s="18"/>
      <c r="B121"/>
      <c r="C121"/>
      <c r="D121"/>
      <c r="E121"/>
      <c r="F121"/>
      <c r="G121" s="18"/>
      <c r="H121" s="18"/>
      <c r="I121" s="18"/>
      <c r="J121" s="18"/>
      <c r="K121" s="18"/>
      <c r="L121" s="18"/>
      <c r="M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</row>
    <row r="122" spans="1:28" ht="15" x14ac:dyDescent="0.25">
      <c r="A122" s="18"/>
      <c r="B122"/>
      <c r="C122"/>
      <c r="D122"/>
      <c r="E122"/>
      <c r="F122"/>
      <c r="G122" s="18"/>
      <c r="H122" s="18"/>
      <c r="I122" s="18"/>
      <c r="J122" s="18"/>
      <c r="K122" s="18"/>
      <c r="L122" s="18"/>
      <c r="M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</row>
    <row r="123" spans="1:28" ht="15" x14ac:dyDescent="0.25">
      <c r="A123" s="18"/>
      <c r="B123"/>
      <c r="C123"/>
      <c r="D123"/>
      <c r="E123"/>
      <c r="F123"/>
      <c r="G123" s="18"/>
      <c r="H123" s="18"/>
      <c r="I123" s="18"/>
      <c r="J123" s="18"/>
      <c r="K123" s="18"/>
      <c r="L123" s="18"/>
      <c r="M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</row>
    <row r="124" spans="1:28" ht="15" x14ac:dyDescent="0.25">
      <c r="A124" s="18"/>
      <c r="B124"/>
      <c r="C124"/>
      <c r="D124"/>
      <c r="E124"/>
      <c r="F124"/>
      <c r="G124" s="18"/>
      <c r="H124" s="18"/>
      <c r="I124" s="18"/>
      <c r="J124" s="18"/>
      <c r="K124" s="18"/>
      <c r="L124" s="18"/>
      <c r="M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</row>
    <row r="125" spans="1:28" ht="15" x14ac:dyDescent="0.25">
      <c r="A125" s="18"/>
      <c r="B125"/>
      <c r="C125"/>
      <c r="D125"/>
      <c r="E125"/>
      <c r="F125"/>
      <c r="G125" s="18"/>
      <c r="H125" s="18"/>
      <c r="I125" s="18"/>
      <c r="J125" s="18"/>
      <c r="K125" s="18"/>
      <c r="L125" s="18"/>
      <c r="M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</row>
    <row r="126" spans="1:28" ht="15" x14ac:dyDescent="0.25">
      <c r="A126" s="18"/>
      <c r="B126"/>
      <c r="C126"/>
      <c r="D126"/>
      <c r="E126"/>
      <c r="F126"/>
      <c r="G126" s="18"/>
      <c r="H126" s="18"/>
      <c r="I126" s="18"/>
      <c r="J126" s="18"/>
      <c r="K126" s="18"/>
      <c r="L126" s="18"/>
      <c r="M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</row>
    <row r="127" spans="1:28" ht="15" x14ac:dyDescent="0.25">
      <c r="A127" s="18"/>
      <c r="B127"/>
      <c r="C127"/>
      <c r="D127"/>
      <c r="E127"/>
      <c r="F127"/>
      <c r="G127" s="18"/>
      <c r="H127" s="18"/>
      <c r="I127" s="18"/>
      <c r="J127" s="18"/>
      <c r="K127" s="18"/>
      <c r="L127" s="18"/>
      <c r="M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</row>
    <row r="128" spans="1:28" ht="15" x14ac:dyDescent="0.25">
      <c r="A128" s="18"/>
      <c r="B128"/>
      <c r="C128"/>
      <c r="D128"/>
      <c r="E128"/>
      <c r="F128"/>
      <c r="G128" s="18"/>
      <c r="H128" s="18"/>
      <c r="I128" s="18"/>
      <c r="J128" s="18"/>
      <c r="K128" s="18"/>
      <c r="L128" s="18"/>
      <c r="M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</row>
    <row r="129" spans="1:28" ht="15" x14ac:dyDescent="0.25">
      <c r="A129" s="18"/>
      <c r="B129"/>
      <c r="C129"/>
      <c r="D129"/>
      <c r="E129"/>
      <c r="F129"/>
      <c r="G129" s="18"/>
      <c r="H129" s="18"/>
      <c r="I129" s="18"/>
      <c r="J129" s="18"/>
      <c r="K129" s="18"/>
      <c r="L129" s="18"/>
      <c r="M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</row>
    <row r="130" spans="1:28" ht="15" x14ac:dyDescent="0.25">
      <c r="A130" s="18"/>
      <c r="B130"/>
      <c r="C130"/>
      <c r="D130"/>
      <c r="E130"/>
      <c r="F130"/>
      <c r="G130" s="18"/>
      <c r="H130" s="18"/>
      <c r="I130" s="18"/>
      <c r="J130" s="18"/>
      <c r="K130" s="18"/>
      <c r="L130" s="18"/>
      <c r="M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</row>
    <row r="131" spans="1:28" ht="15" x14ac:dyDescent="0.25">
      <c r="A131" s="18"/>
      <c r="B131"/>
      <c r="C131"/>
      <c r="D131"/>
      <c r="E131"/>
      <c r="F131"/>
      <c r="G131" s="18"/>
      <c r="H131" s="18"/>
      <c r="I131" s="18"/>
      <c r="J131" s="18"/>
      <c r="K131" s="18"/>
      <c r="L131" s="18"/>
      <c r="M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</row>
    <row r="132" spans="1:28" ht="15" x14ac:dyDescent="0.25">
      <c r="A132" s="18"/>
      <c r="B132"/>
      <c r="C132"/>
      <c r="D132"/>
      <c r="E132"/>
      <c r="F132"/>
      <c r="G132" s="18"/>
      <c r="H132" s="18"/>
      <c r="I132" s="18"/>
      <c r="J132" s="18"/>
      <c r="K132" s="18"/>
      <c r="L132" s="18"/>
      <c r="M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</row>
    <row r="133" spans="1:28" ht="15" x14ac:dyDescent="0.25">
      <c r="A133" s="18"/>
      <c r="B133"/>
      <c r="C133"/>
      <c r="D133"/>
      <c r="E133"/>
      <c r="F133"/>
      <c r="L133" s="18"/>
      <c r="M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</row>
    <row r="134" spans="1:28" ht="15" x14ac:dyDescent="0.25">
      <c r="A134" s="18"/>
      <c r="B134"/>
      <c r="C134"/>
      <c r="D134"/>
      <c r="E134"/>
      <c r="F134"/>
      <c r="G134" s="18"/>
      <c r="H134" s="18"/>
      <c r="I134" s="18"/>
      <c r="J134" s="18"/>
      <c r="K134" s="18"/>
      <c r="L134" s="18"/>
      <c r="M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</row>
    <row r="135" spans="1:28" ht="15" x14ac:dyDescent="0.25">
      <c r="A135" s="18"/>
      <c r="B135"/>
      <c r="C135"/>
      <c r="D135"/>
      <c r="E135"/>
      <c r="F135"/>
      <c r="G135" s="18"/>
      <c r="H135" s="18"/>
      <c r="I135" s="18"/>
      <c r="J135" s="18"/>
      <c r="K135" s="18"/>
      <c r="L135" s="18"/>
      <c r="M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</row>
    <row r="136" spans="1:28" ht="15" x14ac:dyDescent="0.25">
      <c r="A136" s="18"/>
      <c r="B136"/>
      <c r="C136"/>
      <c r="D136"/>
      <c r="E136"/>
      <c r="F136"/>
      <c r="G136" s="18"/>
      <c r="H136" s="18"/>
      <c r="I136" s="18"/>
      <c r="J136" s="18"/>
      <c r="K136" s="18"/>
      <c r="L136" s="18"/>
      <c r="M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</row>
    <row r="137" spans="1:28" ht="15" x14ac:dyDescent="0.25">
      <c r="A137" s="18"/>
      <c r="B137"/>
      <c r="C137"/>
      <c r="D137"/>
      <c r="E137"/>
      <c r="F137"/>
      <c r="G137" s="18"/>
      <c r="H137" s="18"/>
      <c r="I137" s="18"/>
      <c r="J137" s="18"/>
      <c r="K137" s="18"/>
      <c r="L137" s="18"/>
      <c r="M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</row>
    <row r="138" spans="1:28" ht="15" x14ac:dyDescent="0.25">
      <c r="A138" s="18"/>
      <c r="B138"/>
      <c r="C138"/>
      <c r="D138"/>
      <c r="E138"/>
      <c r="F138"/>
      <c r="G138" s="18"/>
      <c r="H138" s="18"/>
      <c r="I138" s="18"/>
      <c r="J138" s="18"/>
      <c r="K138" s="18"/>
      <c r="L138" s="18"/>
      <c r="M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</row>
    <row r="139" spans="1:28" ht="15" x14ac:dyDescent="0.25">
      <c r="A139" s="18"/>
      <c r="B139"/>
      <c r="C139"/>
      <c r="D139"/>
      <c r="E139"/>
      <c r="F139"/>
      <c r="G139" s="18"/>
      <c r="H139" s="18"/>
      <c r="I139" s="18"/>
      <c r="J139" s="18"/>
      <c r="K139" s="18"/>
      <c r="L139" s="18"/>
      <c r="M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</row>
    <row r="140" spans="1:28" ht="15" x14ac:dyDescent="0.25">
      <c r="A140" s="18"/>
      <c r="B140"/>
      <c r="C140"/>
      <c r="D140"/>
      <c r="E140"/>
      <c r="F140"/>
      <c r="G140" s="18"/>
      <c r="H140" s="18"/>
      <c r="I140" s="18"/>
      <c r="J140" s="18"/>
      <c r="K140" s="18"/>
      <c r="L140" s="18"/>
      <c r="M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</row>
    <row r="141" spans="1:28" ht="15" x14ac:dyDescent="0.25">
      <c r="A141" s="18"/>
      <c r="B141"/>
      <c r="C141"/>
      <c r="D141"/>
      <c r="E141"/>
      <c r="F141"/>
      <c r="G141" s="18"/>
      <c r="H141" s="18"/>
      <c r="I141" s="18"/>
      <c r="J141" s="18"/>
      <c r="K141" s="18"/>
      <c r="L141" s="18"/>
      <c r="M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</row>
    <row r="142" spans="1:28" ht="15" x14ac:dyDescent="0.25">
      <c r="A142" s="18"/>
      <c r="B142"/>
      <c r="C142"/>
      <c r="D142"/>
      <c r="E142"/>
      <c r="F142"/>
      <c r="G142" s="18"/>
      <c r="H142" s="18"/>
      <c r="I142" s="18"/>
      <c r="J142" s="18"/>
      <c r="K142" s="18"/>
      <c r="L142" s="18"/>
      <c r="M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</row>
    <row r="143" spans="1:28" ht="15" x14ac:dyDescent="0.25">
      <c r="A143" s="18"/>
      <c r="B143"/>
      <c r="C143"/>
      <c r="D143"/>
      <c r="E143"/>
      <c r="F143"/>
      <c r="G143" s="18"/>
      <c r="H143" s="18"/>
      <c r="I143" s="18"/>
      <c r="J143" s="18"/>
      <c r="K143" s="18"/>
      <c r="L143" s="18"/>
      <c r="M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</row>
    <row r="144" spans="1:28" ht="15" x14ac:dyDescent="0.25">
      <c r="A144" s="18"/>
      <c r="B144"/>
      <c r="C144"/>
      <c r="D144"/>
      <c r="E144"/>
      <c r="F144"/>
      <c r="G144" s="18"/>
      <c r="H144" s="18"/>
      <c r="I144" s="18"/>
      <c r="J144" s="18"/>
      <c r="K144" s="18"/>
      <c r="L144" s="18"/>
      <c r="M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</row>
    <row r="145" spans="1:28" ht="15" x14ac:dyDescent="0.25">
      <c r="A145" s="18"/>
      <c r="B145"/>
      <c r="C145"/>
      <c r="D145"/>
      <c r="E145"/>
      <c r="F145"/>
      <c r="G145" s="18"/>
      <c r="H145" s="18"/>
      <c r="I145" s="18"/>
      <c r="J145" s="18"/>
      <c r="K145" s="18"/>
      <c r="L145" s="18"/>
      <c r="M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</row>
    <row r="146" spans="1:28" ht="15" x14ac:dyDescent="0.25">
      <c r="A146" s="18"/>
      <c r="B146"/>
      <c r="C146"/>
      <c r="D146"/>
      <c r="E146"/>
      <c r="F146"/>
      <c r="G146" s="18"/>
      <c r="H146" s="18"/>
      <c r="I146" s="18"/>
      <c r="J146" s="18"/>
      <c r="K146" s="18"/>
      <c r="L146" s="18"/>
      <c r="M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</row>
    <row r="147" spans="1:28" ht="15" x14ac:dyDescent="0.25">
      <c r="A147" s="18"/>
      <c r="B147"/>
      <c r="C147"/>
      <c r="D147"/>
      <c r="E147"/>
      <c r="F147"/>
      <c r="G147" s="18"/>
      <c r="H147" s="18"/>
      <c r="I147" s="18"/>
      <c r="J147" s="18"/>
      <c r="K147" s="18"/>
      <c r="L147" s="18"/>
      <c r="M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</row>
    <row r="148" spans="1:28" ht="15" x14ac:dyDescent="0.25">
      <c r="A148" s="18"/>
      <c r="B148"/>
      <c r="C148"/>
      <c r="D148"/>
      <c r="E148"/>
      <c r="F148"/>
      <c r="G148" s="18"/>
      <c r="H148" s="18"/>
      <c r="I148" s="18"/>
      <c r="J148" s="18"/>
      <c r="K148" s="18"/>
      <c r="L148" s="18"/>
      <c r="M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</row>
    <row r="149" spans="1:28" ht="15" x14ac:dyDescent="0.25">
      <c r="A149" s="18"/>
      <c r="B149"/>
      <c r="C149"/>
      <c r="D149"/>
      <c r="E149"/>
      <c r="F149"/>
      <c r="G149" s="18"/>
      <c r="H149" s="18"/>
      <c r="I149" s="18"/>
      <c r="J149" s="18"/>
      <c r="K149" s="18"/>
      <c r="L149" s="18"/>
      <c r="M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</row>
    <row r="150" spans="1:28" ht="15" x14ac:dyDescent="0.25">
      <c r="A150" s="18"/>
      <c r="B150"/>
      <c r="C150"/>
      <c r="D150"/>
      <c r="E150"/>
      <c r="F150"/>
      <c r="G150" s="18"/>
      <c r="H150" s="18"/>
      <c r="I150" s="18"/>
      <c r="J150" s="18"/>
      <c r="K150" s="18"/>
      <c r="L150" s="18"/>
      <c r="M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</row>
    <row r="151" spans="1:28" ht="15" x14ac:dyDescent="0.25">
      <c r="A151" s="18"/>
      <c r="B151"/>
      <c r="C151"/>
      <c r="D151"/>
      <c r="E151"/>
      <c r="F151"/>
      <c r="G151" s="18"/>
      <c r="H151" s="18"/>
      <c r="I151" s="18"/>
      <c r="J151" s="18"/>
      <c r="K151" s="18"/>
      <c r="L151" s="18"/>
      <c r="M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</row>
    <row r="152" spans="1:28" ht="15" x14ac:dyDescent="0.25">
      <c r="A152" s="18"/>
      <c r="B152"/>
      <c r="C152"/>
      <c r="D152"/>
      <c r="E152"/>
      <c r="F152"/>
      <c r="G152" s="18"/>
      <c r="H152" s="18"/>
      <c r="I152" s="18"/>
      <c r="J152" s="18"/>
      <c r="K152" s="18"/>
      <c r="L152" s="18"/>
      <c r="M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</row>
    <row r="153" spans="1:28" ht="15" x14ac:dyDescent="0.25">
      <c r="A153" s="18"/>
      <c r="B153"/>
      <c r="C153"/>
      <c r="D153"/>
      <c r="E153"/>
      <c r="F153"/>
      <c r="G153" s="18"/>
      <c r="H153" s="18"/>
      <c r="I153" s="18"/>
      <c r="J153" s="18"/>
      <c r="K153" s="18"/>
      <c r="L153" s="18"/>
      <c r="M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</row>
    <row r="154" spans="1:28" ht="15" x14ac:dyDescent="0.25">
      <c r="A154" s="18"/>
      <c r="B154"/>
      <c r="C154"/>
      <c r="D154"/>
      <c r="E154"/>
      <c r="F154"/>
      <c r="G154" s="18"/>
      <c r="H154" s="18"/>
      <c r="I154" s="18"/>
      <c r="J154" s="18"/>
      <c r="K154" s="18"/>
      <c r="L154" s="18"/>
      <c r="M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</row>
    <row r="155" spans="1:28" ht="15" x14ac:dyDescent="0.25">
      <c r="A155" s="18"/>
      <c r="B155"/>
      <c r="C155"/>
      <c r="D155"/>
      <c r="E155"/>
      <c r="F155"/>
      <c r="G155" s="18"/>
      <c r="H155" s="18"/>
      <c r="I155" s="18"/>
      <c r="J155" s="18"/>
      <c r="K155" s="18"/>
      <c r="L155" s="18"/>
      <c r="M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</row>
    <row r="156" spans="1:28" ht="15" x14ac:dyDescent="0.25">
      <c r="A156" s="18"/>
      <c r="B156"/>
      <c r="C156"/>
      <c r="D156"/>
      <c r="E156"/>
      <c r="F156"/>
      <c r="G156" s="18"/>
      <c r="H156" s="18"/>
      <c r="I156" s="18"/>
      <c r="J156" s="18"/>
      <c r="K156" s="18"/>
      <c r="L156" s="18"/>
      <c r="M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</row>
    <row r="157" spans="1:28" ht="15" x14ac:dyDescent="0.25">
      <c r="A157" s="18"/>
      <c r="B157"/>
      <c r="C157"/>
      <c r="D157"/>
      <c r="E157"/>
      <c r="F157"/>
      <c r="G157" s="18"/>
      <c r="H157" s="18"/>
      <c r="I157" s="18"/>
      <c r="J157" s="18"/>
      <c r="K157" s="18"/>
      <c r="L157" s="18"/>
      <c r="M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</row>
    <row r="158" spans="1:28" ht="15" x14ac:dyDescent="0.25">
      <c r="A158" s="18"/>
      <c r="B158"/>
      <c r="C158"/>
      <c r="D158"/>
      <c r="E158"/>
      <c r="F158"/>
      <c r="G158" s="18"/>
      <c r="H158" s="18"/>
      <c r="I158" s="18"/>
      <c r="J158" s="18"/>
      <c r="K158" s="18"/>
      <c r="L158" s="18"/>
      <c r="M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</row>
    <row r="159" spans="1:28" ht="15" x14ac:dyDescent="0.25">
      <c r="A159" s="18"/>
      <c r="B159"/>
      <c r="C159"/>
      <c r="D159"/>
      <c r="E159"/>
      <c r="F159"/>
      <c r="G159" s="18"/>
      <c r="H159" s="18"/>
      <c r="I159" s="18"/>
      <c r="J159" s="18"/>
      <c r="K159" s="18"/>
      <c r="L159" s="18"/>
      <c r="M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</row>
    <row r="160" spans="1:28" ht="15" x14ac:dyDescent="0.25">
      <c r="A160" s="18"/>
      <c r="B160"/>
      <c r="C160"/>
      <c r="D160"/>
      <c r="E160"/>
      <c r="F160"/>
      <c r="G160" s="18"/>
      <c r="H160" s="18"/>
      <c r="I160" s="18"/>
      <c r="J160" s="18"/>
      <c r="K160" s="18"/>
      <c r="L160" s="18"/>
      <c r="M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</row>
    <row r="161" spans="1:28" ht="15" x14ac:dyDescent="0.25">
      <c r="A161" s="18"/>
      <c r="B161"/>
      <c r="C161"/>
      <c r="D161"/>
      <c r="E161"/>
      <c r="F161"/>
      <c r="G161" s="18"/>
      <c r="H161" s="18"/>
      <c r="I161" s="18"/>
      <c r="J161" s="18"/>
      <c r="K161" s="18"/>
      <c r="L161" s="18"/>
      <c r="M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</row>
    <row r="162" spans="1:28" ht="15" x14ac:dyDescent="0.25">
      <c r="A162" s="18"/>
      <c r="B162"/>
      <c r="C162"/>
      <c r="D162"/>
      <c r="E162"/>
      <c r="F162"/>
      <c r="G162" s="18"/>
      <c r="H162" s="18"/>
      <c r="I162" s="18"/>
      <c r="J162" s="18"/>
      <c r="K162" s="18"/>
      <c r="L162" s="18"/>
      <c r="M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</row>
    <row r="163" spans="1:28" ht="15" x14ac:dyDescent="0.25">
      <c r="A163" s="18"/>
      <c r="B163"/>
      <c r="C163"/>
      <c r="D163"/>
      <c r="E163"/>
      <c r="F163"/>
      <c r="G163" s="18"/>
      <c r="H163" s="18"/>
      <c r="I163" s="18"/>
      <c r="J163" s="18"/>
      <c r="K163" s="18"/>
      <c r="L163" s="18"/>
      <c r="M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</row>
    <row r="164" spans="1:28" ht="15" x14ac:dyDescent="0.25">
      <c r="A164" s="18"/>
      <c r="B164"/>
      <c r="C164"/>
      <c r="D164"/>
      <c r="E164"/>
      <c r="F164"/>
      <c r="G164" s="18"/>
      <c r="H164" s="18"/>
      <c r="I164" s="18"/>
      <c r="J164" s="18"/>
      <c r="K164" s="18"/>
      <c r="L164" s="18"/>
      <c r="M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</row>
    <row r="165" spans="1:28" ht="15" x14ac:dyDescent="0.25">
      <c r="A165" s="18"/>
      <c r="B165"/>
      <c r="C165"/>
      <c r="D165"/>
      <c r="E165"/>
      <c r="F165"/>
      <c r="G165" s="18"/>
      <c r="H165" s="18"/>
      <c r="I165" s="18"/>
      <c r="J165" s="18"/>
      <c r="K165" s="18"/>
      <c r="L165" s="18"/>
      <c r="M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</row>
    <row r="166" spans="1:28" ht="15" x14ac:dyDescent="0.25">
      <c r="A166" s="18"/>
      <c r="B166"/>
      <c r="C166"/>
      <c r="D166"/>
      <c r="E166"/>
      <c r="F166"/>
      <c r="G166" s="18"/>
      <c r="H166" s="18"/>
      <c r="I166" s="18"/>
      <c r="J166" s="18"/>
      <c r="K166" s="18"/>
      <c r="L166" s="18"/>
      <c r="M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</row>
    <row r="167" spans="1:28" ht="15" x14ac:dyDescent="0.25">
      <c r="A167" s="18"/>
      <c r="B167"/>
      <c r="C167"/>
      <c r="D167"/>
      <c r="E167"/>
      <c r="F167"/>
      <c r="G167" s="18"/>
      <c r="H167" s="18"/>
      <c r="I167" s="18"/>
      <c r="J167" s="18"/>
      <c r="K167" s="18"/>
      <c r="L167" s="18"/>
      <c r="M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</row>
    <row r="168" spans="1:28" ht="15" x14ac:dyDescent="0.25">
      <c r="A168" s="18"/>
      <c r="B168"/>
      <c r="C168"/>
      <c r="D168"/>
      <c r="E168"/>
      <c r="F168"/>
      <c r="G168" s="18"/>
      <c r="H168" s="18"/>
      <c r="I168" s="18"/>
      <c r="J168" s="18"/>
      <c r="K168" s="18"/>
      <c r="L168" s="18"/>
      <c r="M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</row>
    <row r="169" spans="1:28" ht="15" x14ac:dyDescent="0.25">
      <c r="A169" s="18"/>
      <c r="B169"/>
      <c r="C169"/>
      <c r="D169"/>
      <c r="E169"/>
      <c r="F169"/>
      <c r="G169" s="18"/>
      <c r="H169" s="18"/>
      <c r="I169" s="18"/>
      <c r="J169" s="18"/>
      <c r="K169" s="18"/>
      <c r="L169" s="18"/>
      <c r="M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</row>
    <row r="170" spans="1:28" ht="15" x14ac:dyDescent="0.25">
      <c r="A170" s="18"/>
      <c r="B170"/>
      <c r="C170"/>
      <c r="D170"/>
      <c r="E170"/>
      <c r="F170"/>
      <c r="G170" s="18"/>
      <c r="H170" s="18"/>
      <c r="I170" s="18"/>
      <c r="J170" s="18"/>
      <c r="K170" s="18"/>
      <c r="L170" s="18"/>
      <c r="M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</row>
    <row r="171" spans="1:28" ht="15" x14ac:dyDescent="0.25">
      <c r="A171" s="18"/>
      <c r="B171"/>
      <c r="C171"/>
      <c r="D171"/>
      <c r="E171"/>
      <c r="F171"/>
      <c r="G171" s="18"/>
      <c r="H171" s="18"/>
      <c r="I171" s="18"/>
      <c r="J171" s="18"/>
      <c r="K171" s="18"/>
      <c r="L171" s="18"/>
      <c r="M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</row>
    <row r="172" spans="1:28" ht="15" x14ac:dyDescent="0.25">
      <c r="A172" s="18"/>
      <c r="B172"/>
      <c r="C172"/>
      <c r="D172"/>
      <c r="E172"/>
      <c r="F172"/>
      <c r="G172" s="18"/>
      <c r="H172" s="18"/>
      <c r="I172" s="18"/>
      <c r="J172" s="18"/>
      <c r="K172" s="18"/>
      <c r="L172" s="18"/>
      <c r="M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</row>
    <row r="173" spans="1:28" ht="15" x14ac:dyDescent="0.25">
      <c r="A173" s="18"/>
      <c r="B173"/>
      <c r="C173"/>
      <c r="D173"/>
      <c r="E173"/>
      <c r="F173"/>
      <c r="G173" s="18"/>
      <c r="H173" s="18"/>
      <c r="I173" s="18"/>
      <c r="J173" s="18"/>
      <c r="K173" s="18"/>
      <c r="L173" s="18"/>
      <c r="M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</row>
    <row r="174" spans="1:28" ht="15" x14ac:dyDescent="0.25">
      <c r="A174" s="18"/>
      <c r="B174"/>
      <c r="C174"/>
      <c r="D174"/>
      <c r="E174"/>
      <c r="F174"/>
      <c r="G174" s="18"/>
      <c r="H174" s="18"/>
      <c r="I174" s="18"/>
      <c r="J174" s="18"/>
      <c r="K174" s="18"/>
      <c r="L174" s="18"/>
      <c r="M174" s="18"/>
    </row>
    <row r="175" spans="1:28" ht="15" x14ac:dyDescent="0.25">
      <c r="A175" s="18"/>
      <c r="B175"/>
      <c r="C175"/>
      <c r="D175"/>
      <c r="E175"/>
      <c r="F175"/>
      <c r="G175" s="18"/>
      <c r="H175" s="18"/>
      <c r="I175" s="18"/>
      <c r="J175" s="18"/>
      <c r="K175" s="18"/>
      <c r="L175" s="18"/>
      <c r="M175" s="18"/>
    </row>
    <row r="176" spans="1:28" ht="15" x14ac:dyDescent="0.25">
      <c r="A176" s="18"/>
      <c r="B176"/>
      <c r="C176"/>
      <c r="D176"/>
      <c r="E176"/>
      <c r="F176"/>
      <c r="G176" s="18"/>
      <c r="H176" s="18"/>
      <c r="I176" s="18"/>
      <c r="J176" s="18"/>
      <c r="K176" s="18"/>
      <c r="L176" s="18"/>
      <c r="M176" s="18"/>
    </row>
    <row r="177" spans="1:13" ht="15" x14ac:dyDescent="0.25">
      <c r="A177" s="18"/>
      <c r="B177"/>
      <c r="C177"/>
      <c r="D177"/>
      <c r="E177"/>
      <c r="F177"/>
      <c r="G177" s="18"/>
      <c r="H177" s="18"/>
      <c r="I177" s="18"/>
      <c r="J177" s="18"/>
      <c r="K177" s="18"/>
      <c r="L177" s="18"/>
      <c r="M177" s="18"/>
    </row>
    <row r="178" spans="1:13" ht="15" x14ac:dyDescent="0.25">
      <c r="A178" s="18"/>
      <c r="B178"/>
      <c r="C178"/>
      <c r="D178"/>
      <c r="E178"/>
      <c r="F178"/>
      <c r="G178" s="18"/>
      <c r="H178" s="18"/>
      <c r="I178" s="18"/>
      <c r="J178" s="18"/>
      <c r="K178" s="18"/>
      <c r="L178" s="18"/>
      <c r="M178" s="18"/>
    </row>
    <row r="179" spans="1:13" ht="15" x14ac:dyDescent="0.25">
      <c r="A179" s="18"/>
      <c r="B179"/>
      <c r="C179"/>
      <c r="D179"/>
      <c r="E179"/>
      <c r="F179"/>
      <c r="G179" s="18"/>
      <c r="H179" s="18"/>
      <c r="I179" s="18"/>
      <c r="J179" s="18"/>
      <c r="K179" s="18"/>
      <c r="L179" s="18"/>
      <c r="M179" s="18"/>
    </row>
    <row r="180" spans="1:13" ht="15" x14ac:dyDescent="0.25">
      <c r="A180" s="18"/>
      <c r="B180"/>
      <c r="C180"/>
      <c r="D180"/>
      <c r="E180"/>
      <c r="F180"/>
      <c r="G180" s="18"/>
      <c r="H180" s="18"/>
      <c r="I180" s="18"/>
      <c r="J180" s="18"/>
      <c r="K180" s="18"/>
      <c r="L180" s="18"/>
      <c r="M180" s="18"/>
    </row>
    <row r="181" spans="1:13" ht="15" x14ac:dyDescent="0.25">
      <c r="A181" s="18"/>
      <c r="B181"/>
      <c r="C181"/>
      <c r="D181"/>
      <c r="E181"/>
      <c r="F181"/>
      <c r="G181" s="18"/>
      <c r="H181" s="18"/>
      <c r="I181" s="18"/>
      <c r="J181" s="18"/>
      <c r="K181" s="18"/>
      <c r="L181" s="18"/>
      <c r="M181" s="18"/>
    </row>
    <row r="182" spans="1:13" ht="15" x14ac:dyDescent="0.25">
      <c r="A182" s="18"/>
      <c r="B182"/>
      <c r="C182"/>
      <c r="D182"/>
      <c r="E182"/>
      <c r="F182"/>
      <c r="G182" s="18"/>
      <c r="H182" s="18"/>
      <c r="I182" s="18"/>
      <c r="J182" s="18"/>
      <c r="K182" s="18"/>
      <c r="L182" s="18"/>
      <c r="M182" s="18"/>
    </row>
    <row r="183" spans="1:13" ht="15" x14ac:dyDescent="0.25">
      <c r="A183" s="18"/>
      <c r="B183"/>
      <c r="C183"/>
      <c r="D183"/>
      <c r="E183"/>
      <c r="F183"/>
      <c r="G183" s="18"/>
      <c r="H183" s="18"/>
      <c r="I183" s="18"/>
      <c r="J183" s="18"/>
      <c r="K183" s="18"/>
      <c r="L183" s="18"/>
      <c r="M183" s="18"/>
    </row>
    <row r="184" spans="1:13" ht="15" x14ac:dyDescent="0.25">
      <c r="A184" s="18"/>
      <c r="B184"/>
      <c r="C184"/>
      <c r="D184"/>
      <c r="E184"/>
      <c r="F184"/>
      <c r="G184" s="18"/>
      <c r="H184" s="18"/>
      <c r="I184" s="18"/>
      <c r="J184" s="18"/>
      <c r="K184" s="18"/>
      <c r="L184" s="18"/>
      <c r="M184" s="18"/>
    </row>
    <row r="185" spans="1:13" ht="15" x14ac:dyDescent="0.25">
      <c r="A185" s="18"/>
      <c r="B185"/>
      <c r="C185"/>
      <c r="D185"/>
      <c r="E185"/>
      <c r="F185"/>
      <c r="G185" s="18"/>
      <c r="H185" s="18"/>
      <c r="I185" s="18"/>
      <c r="J185" s="18"/>
      <c r="K185" s="18"/>
      <c r="L185" s="18"/>
      <c r="M185" s="18"/>
    </row>
    <row r="186" spans="1:13" ht="15" x14ac:dyDescent="0.25">
      <c r="A186" s="18"/>
      <c r="B186"/>
      <c r="C186"/>
      <c r="D186"/>
      <c r="E186"/>
      <c r="F186"/>
      <c r="G186" s="18"/>
      <c r="H186" s="18"/>
      <c r="I186" s="18"/>
      <c r="J186" s="18"/>
      <c r="K186" s="18"/>
      <c r="L186" s="18"/>
      <c r="M186" s="18"/>
    </row>
    <row r="187" spans="1:13" ht="15" x14ac:dyDescent="0.25">
      <c r="A187" s="18"/>
      <c r="B187"/>
      <c r="C187"/>
      <c r="D187"/>
      <c r="E187"/>
      <c r="F187"/>
      <c r="G187" s="18"/>
      <c r="H187" s="18"/>
      <c r="I187" s="18"/>
      <c r="J187" s="18"/>
      <c r="K187" s="18"/>
      <c r="L187" s="18"/>
      <c r="M187" s="18"/>
    </row>
    <row r="188" spans="1:13" ht="15" x14ac:dyDescent="0.25">
      <c r="A188" s="18"/>
      <c r="B188"/>
      <c r="C188"/>
      <c r="D188"/>
      <c r="E188"/>
      <c r="F188"/>
      <c r="G188" s="18"/>
      <c r="H188" s="18"/>
      <c r="I188" s="18"/>
      <c r="J188" s="18"/>
      <c r="K188" s="18"/>
      <c r="L188" s="18"/>
      <c r="M188" s="18"/>
    </row>
    <row r="189" spans="1:13" ht="15" x14ac:dyDescent="0.25">
      <c r="A189" s="18"/>
      <c r="B189"/>
      <c r="C189"/>
      <c r="D189"/>
      <c r="E189"/>
      <c r="F189"/>
      <c r="G189" s="18"/>
      <c r="H189" s="18"/>
      <c r="I189" s="18"/>
      <c r="J189" s="18"/>
      <c r="K189" s="18"/>
      <c r="L189" s="18"/>
      <c r="M189" s="18"/>
    </row>
    <row r="190" spans="1:13" ht="15" x14ac:dyDescent="0.25">
      <c r="A190" s="18"/>
      <c r="B190"/>
      <c r="C190"/>
      <c r="D190"/>
      <c r="E190"/>
      <c r="F190"/>
      <c r="G190" s="18"/>
      <c r="H190" s="18"/>
      <c r="I190" s="18"/>
      <c r="J190" s="18"/>
      <c r="K190" s="18"/>
      <c r="L190" s="18"/>
      <c r="M190" s="18"/>
    </row>
    <row r="191" spans="1:13" ht="15" x14ac:dyDescent="0.25">
      <c r="A191" s="18"/>
      <c r="B191"/>
      <c r="C191"/>
      <c r="D191"/>
      <c r="E191"/>
      <c r="F191"/>
      <c r="G191" s="18"/>
      <c r="H191" s="18"/>
      <c r="I191" s="18"/>
      <c r="J191" s="18"/>
      <c r="K191" s="18"/>
      <c r="L191" s="18"/>
      <c r="M191" s="18"/>
    </row>
    <row r="192" spans="1:13" ht="15" x14ac:dyDescent="0.25">
      <c r="A192" s="18"/>
      <c r="B192"/>
      <c r="C192"/>
      <c r="D192"/>
      <c r="E192"/>
      <c r="F192"/>
      <c r="G192" s="18"/>
      <c r="H192" s="18"/>
      <c r="I192" s="18"/>
      <c r="J192" s="18"/>
      <c r="K192" s="18"/>
      <c r="L192" s="18"/>
      <c r="M192" s="18"/>
    </row>
    <row r="193" spans="1:13" ht="15" x14ac:dyDescent="0.25">
      <c r="A193" s="18"/>
      <c r="B193"/>
      <c r="C193"/>
      <c r="D193"/>
      <c r="E193"/>
      <c r="F193"/>
      <c r="G193" s="18"/>
      <c r="H193" s="18"/>
      <c r="I193" s="18"/>
      <c r="J193" s="18"/>
      <c r="K193" s="18"/>
      <c r="L193" s="18"/>
      <c r="M193" s="18"/>
    </row>
    <row r="194" spans="1:13" ht="15" x14ac:dyDescent="0.25">
      <c r="A194" s="18"/>
      <c r="B194"/>
      <c r="C194"/>
      <c r="D194"/>
      <c r="E194"/>
      <c r="F194"/>
      <c r="G194" s="18"/>
      <c r="H194" s="18"/>
      <c r="I194" s="18"/>
      <c r="J194" s="18"/>
      <c r="K194" s="18"/>
      <c r="L194" s="18"/>
      <c r="M194" s="18"/>
    </row>
    <row r="195" spans="1:13" ht="15" x14ac:dyDescent="0.25">
      <c r="A195" s="18"/>
      <c r="B195"/>
      <c r="C195"/>
      <c r="D195"/>
      <c r="E195"/>
      <c r="F195"/>
      <c r="G195" s="18"/>
      <c r="H195" s="18"/>
      <c r="I195" s="18"/>
      <c r="J195" s="18"/>
      <c r="K195" s="18"/>
      <c r="L195" s="18"/>
      <c r="M195" s="18"/>
    </row>
    <row r="196" spans="1:13" ht="15" x14ac:dyDescent="0.25">
      <c r="A196" s="18"/>
      <c r="B196"/>
      <c r="C196"/>
      <c r="D196"/>
      <c r="E196"/>
      <c r="F196"/>
      <c r="G196" s="18"/>
      <c r="H196" s="18"/>
      <c r="I196" s="18"/>
      <c r="J196" s="18"/>
      <c r="K196" s="18"/>
      <c r="L196" s="18"/>
      <c r="M196" s="18"/>
    </row>
    <row r="197" spans="1:13" ht="15" x14ac:dyDescent="0.25">
      <c r="A197" s="18"/>
      <c r="B197"/>
      <c r="C197"/>
      <c r="D197"/>
      <c r="E197" s="18"/>
      <c r="F197" s="18"/>
      <c r="G197" s="18"/>
      <c r="H197" s="18"/>
      <c r="I197" s="18"/>
      <c r="J197" s="18"/>
      <c r="K197" s="18"/>
      <c r="L197" s="18"/>
      <c r="M197" s="18"/>
    </row>
    <row r="198" spans="1:13" ht="15" x14ac:dyDescent="0.25">
      <c r="A198" s="18"/>
      <c r="B198"/>
      <c r="C198"/>
      <c r="D198"/>
      <c r="E198" s="18"/>
      <c r="F198" s="18"/>
      <c r="G198" s="18"/>
      <c r="H198" s="18"/>
      <c r="I198" s="18"/>
      <c r="J198" s="18"/>
      <c r="K198" s="18"/>
      <c r="L198" s="18"/>
      <c r="M198" s="18"/>
    </row>
    <row r="199" spans="1:13" ht="15" x14ac:dyDescent="0.25">
      <c r="A199" s="18"/>
      <c r="B199"/>
      <c r="C199"/>
      <c r="D199"/>
      <c r="E199" s="18"/>
      <c r="F199" s="18"/>
      <c r="G199" s="18"/>
      <c r="H199" s="18"/>
      <c r="I199" s="18"/>
      <c r="J199" s="18"/>
      <c r="K199" s="18"/>
      <c r="L199" s="18"/>
      <c r="M199" s="18"/>
    </row>
    <row r="200" spans="1:13" ht="15" x14ac:dyDescent="0.25">
      <c r="A200" s="18"/>
      <c r="B200"/>
      <c r="C200"/>
      <c r="D200"/>
      <c r="E200" s="18"/>
      <c r="F200" s="18"/>
      <c r="G200" s="18"/>
      <c r="H200" s="18"/>
      <c r="I200" s="18"/>
      <c r="J200" s="18"/>
      <c r="K200" s="18"/>
      <c r="L200" s="18"/>
      <c r="M200" s="18"/>
    </row>
    <row r="201" spans="1:13" ht="15" x14ac:dyDescent="0.25">
      <c r="A201" s="18"/>
      <c r="B201"/>
      <c r="C201"/>
      <c r="D201"/>
      <c r="E201" s="18"/>
      <c r="F201" s="18"/>
      <c r="G201" s="18"/>
      <c r="H201" s="18"/>
      <c r="I201" s="18"/>
      <c r="J201" s="18"/>
      <c r="K201" s="18"/>
      <c r="L201" s="18"/>
      <c r="M201" s="18"/>
    </row>
    <row r="202" spans="1:13" ht="15" x14ac:dyDescent="0.25">
      <c r="A202" s="18"/>
      <c r="B202" s="18"/>
      <c r="C202" s="18"/>
      <c r="D202" s="18"/>
      <c r="E202" s="18"/>
      <c r="F202" s="18"/>
    </row>
    <row r="203" spans="1:13" ht="15" x14ac:dyDescent="0.25">
      <c r="A203" s="18"/>
      <c r="B203" s="18"/>
      <c r="C203" s="18"/>
      <c r="D203" s="18"/>
      <c r="E203" s="18"/>
      <c r="F203" s="18"/>
    </row>
    <row r="204" spans="1:13" ht="15" x14ac:dyDescent="0.25">
      <c r="A204" s="18"/>
      <c r="B204" s="18"/>
      <c r="C204" s="18"/>
      <c r="D204" s="18"/>
      <c r="E204" s="18"/>
      <c r="F204" s="18"/>
    </row>
    <row r="205" spans="1:13" ht="15" x14ac:dyDescent="0.25">
      <c r="B205" s="18"/>
      <c r="C205" s="18"/>
      <c r="D205" s="18"/>
    </row>
    <row r="206" spans="1:13" ht="15" x14ac:dyDescent="0.25">
      <c r="B206" s="18"/>
      <c r="C206" s="18"/>
      <c r="D206" s="18"/>
    </row>
    <row r="207" spans="1:13" ht="15" x14ac:dyDescent="0.25">
      <c r="B207" s="18"/>
      <c r="C207" s="18"/>
      <c r="D207" s="18"/>
    </row>
    <row r="208" spans="1:13" ht="15" x14ac:dyDescent="0.25">
      <c r="B208" s="18"/>
      <c r="C208" s="18"/>
      <c r="D208" s="18"/>
    </row>
    <row r="209" spans="2:4" ht="15" x14ac:dyDescent="0.25">
      <c r="B209" s="18"/>
      <c r="C209" s="18"/>
      <c r="D209" s="18"/>
    </row>
  </sheetData>
  <pageMargins left="0.7" right="0.7" top="0.75" bottom="0.75" header="0.3" footer="0.3"/>
  <pageSetup scale="12" orientation="portrait" horizontalDpi="4294967293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1"/>
  <sheetViews>
    <sheetView workbookViewId="0">
      <selection activeCell="C37" sqref="C37"/>
    </sheetView>
  </sheetViews>
  <sheetFormatPr defaultRowHeight="15" x14ac:dyDescent="0.25"/>
  <cols>
    <col min="1" max="1" width="5" style="1" customWidth="1"/>
    <col min="2" max="2" width="61.7109375" style="1" customWidth="1"/>
    <col min="3" max="3" width="11.5703125" style="1" customWidth="1"/>
    <col min="4" max="4" width="9.28515625" style="1" customWidth="1"/>
    <col min="5" max="5" width="11.7109375" style="1" customWidth="1"/>
  </cols>
  <sheetData>
    <row r="1" spans="1:5" x14ac:dyDescent="0.25">
      <c r="C1" s="2" t="s">
        <v>862</v>
      </c>
      <c r="D1" s="5"/>
      <c r="E1" s="3"/>
    </row>
    <row r="2" spans="1:5" x14ac:dyDescent="0.25">
      <c r="A2" s="6" t="s">
        <v>847</v>
      </c>
      <c r="B2" s="6"/>
      <c r="C2" s="8"/>
      <c r="D2" s="8"/>
      <c r="E2" s="8"/>
    </row>
    <row r="3" spans="1:5" x14ac:dyDescent="0.25">
      <c r="A3" s="6" t="s">
        <v>846</v>
      </c>
      <c r="B3" s="6"/>
      <c r="C3" s="8"/>
      <c r="D3" s="8"/>
      <c r="E3" s="8"/>
    </row>
    <row r="4" spans="1:5" x14ac:dyDescent="0.25">
      <c r="A4" s="6" t="str">
        <f>'SEF-33 pg 1-2'!$A$4</f>
        <v>2024 GENERAL RATE CASE</v>
      </c>
      <c r="B4" s="6"/>
      <c r="C4" s="8"/>
      <c r="D4" s="8"/>
      <c r="E4" s="8"/>
    </row>
    <row r="5" spans="1:5" x14ac:dyDescent="0.25">
      <c r="A5" s="6" t="str">
        <f>'SEF-33 pg 1-2'!$A$5</f>
        <v>12 MONTHS ENDED JUNE 30, 2023</v>
      </c>
      <c r="B5" s="6"/>
      <c r="C5" s="8"/>
      <c r="D5" s="8"/>
      <c r="E5" s="8"/>
    </row>
    <row r="6" spans="1:5" x14ac:dyDescent="0.25">
      <c r="A6" s="9" t="s">
        <v>3</v>
      </c>
      <c r="B6" s="9"/>
      <c r="C6" s="9"/>
      <c r="D6" s="9"/>
      <c r="E6" s="9"/>
    </row>
    <row r="7" spans="1:5" x14ac:dyDescent="0.25">
      <c r="A7" s="8"/>
      <c r="B7" s="8"/>
      <c r="C7" s="8"/>
      <c r="D7" s="8"/>
      <c r="E7" s="8"/>
    </row>
    <row r="8" spans="1:5" x14ac:dyDescent="0.25">
      <c r="A8" s="8"/>
      <c r="B8" s="8"/>
      <c r="C8" s="8"/>
      <c r="D8" s="8"/>
    </row>
    <row r="9" spans="1:5" x14ac:dyDescent="0.25">
      <c r="A9" s="13" t="s">
        <v>4</v>
      </c>
      <c r="B9" s="13"/>
      <c r="C9" s="13"/>
    </row>
    <row r="10" spans="1:5" x14ac:dyDescent="0.25">
      <c r="A10" s="15" t="s">
        <v>7</v>
      </c>
      <c r="B10" s="15" t="s">
        <v>8</v>
      </c>
      <c r="C10" s="15"/>
      <c r="D10" s="17"/>
      <c r="E10" s="17"/>
    </row>
    <row r="12" spans="1:5" ht="15.75" thickBot="1" x14ac:dyDescent="0.3">
      <c r="A12" s="22">
        <f>ROW()</f>
        <v>12</v>
      </c>
      <c r="B12" s="28" t="s">
        <v>17</v>
      </c>
      <c r="C12" s="23"/>
      <c r="D12" s="23"/>
      <c r="E12" s="29">
        <v>2.8909999999999999E-3</v>
      </c>
    </row>
    <row r="13" spans="1:5" ht="15.75" thickBot="1" x14ac:dyDescent="0.3">
      <c r="A13" s="22">
        <f t="shared" ref="A13:A20" si="0">A12+1</f>
        <v>13</v>
      </c>
      <c r="B13" s="28" t="s">
        <v>20</v>
      </c>
      <c r="C13" s="23"/>
      <c r="D13" s="23"/>
      <c r="E13" s="1369">
        <v>5.0000000000000001E-3</v>
      </c>
    </row>
    <row r="14" spans="1:5" x14ac:dyDescent="0.25">
      <c r="A14" s="22">
        <f t="shared" si="0"/>
        <v>14</v>
      </c>
      <c r="B14" s="28" t="str">
        <f>"STATE UTILITY TAX ( "&amp;E14*100&amp;"% - ( LINE "&amp;A12&amp;" * "&amp;E14*100&amp;"% )  )"</f>
        <v>STATE UTILITY TAX ( 3.8409% - ( LINE 12 * 3.8409% )  )</v>
      </c>
      <c r="D14" s="37">
        <v>3.8519999999999999E-2</v>
      </c>
      <c r="E14" s="38">
        <f>ROUND(D14-(D14*E12),6)</f>
        <v>3.8408999999999999E-2</v>
      </c>
    </row>
    <row r="15" spans="1:5" x14ac:dyDescent="0.25">
      <c r="A15" s="22">
        <f t="shared" si="0"/>
        <v>15</v>
      </c>
      <c r="B15" s="28"/>
      <c r="C15" s="23"/>
      <c r="D15" s="23"/>
      <c r="E15" s="41"/>
    </row>
    <row r="16" spans="1:5" x14ac:dyDescent="0.25">
      <c r="A16" s="22">
        <f t="shared" si="0"/>
        <v>16</v>
      </c>
      <c r="B16" s="28" t="s">
        <v>24</v>
      </c>
      <c r="C16" s="23"/>
      <c r="D16" s="23"/>
      <c r="E16" s="45">
        <f>ROUND(SUM(E12:E14),6)</f>
        <v>4.6300000000000001E-2</v>
      </c>
    </row>
    <row r="17" spans="1:5" x14ac:dyDescent="0.25">
      <c r="A17" s="22">
        <f t="shared" si="0"/>
        <v>17</v>
      </c>
      <c r="B17" s="23"/>
      <c r="C17" s="23"/>
      <c r="D17" s="23"/>
      <c r="E17" s="45"/>
    </row>
    <row r="18" spans="1:5" x14ac:dyDescent="0.25">
      <c r="A18" s="22">
        <f t="shared" si="0"/>
        <v>18</v>
      </c>
      <c r="B18" s="23" t="str">
        <f>"CONVERSION FACTOR EXCLUDING FEDERAL INCOME TAX ( 1 - LINE "&amp;$A$17&amp;" )"</f>
        <v>CONVERSION FACTOR EXCLUDING FEDERAL INCOME TAX ( 1 - LINE 17 )</v>
      </c>
      <c r="C18" s="23"/>
      <c r="D18" s="23"/>
      <c r="E18" s="45">
        <f>ROUND(1-E16,6)</f>
        <v>0.95369999999999999</v>
      </c>
    </row>
    <row r="19" spans="1:5" x14ac:dyDescent="0.25">
      <c r="A19" s="22">
        <f t="shared" si="0"/>
        <v>19</v>
      </c>
      <c r="B19" s="28" t="s">
        <v>836</v>
      </c>
      <c r="C19" s="23"/>
      <c r="D19" s="56">
        <v>0.21</v>
      </c>
      <c r="E19" s="45">
        <v>0.20027700000000001</v>
      </c>
    </row>
    <row r="20" spans="1:5" ht="15.75" thickBot="1" x14ac:dyDescent="0.3">
      <c r="A20" s="22">
        <f t="shared" si="0"/>
        <v>20</v>
      </c>
      <c r="B20" s="28" t="str">
        <f>"CONVERSION FACTOR INCL FEDERAL INCOME TAX ( LINE "&amp;A18&amp;" - LINE "&amp;A19&amp;" ) "</f>
        <v xml:space="preserve">CONVERSION FACTOR INCL FEDERAL INCOME TAX ( LINE 18 - LINE 19 ) </v>
      </c>
      <c r="C20" s="23"/>
      <c r="D20" s="23"/>
      <c r="E20" s="59">
        <f>ROUND(1-E19-E16,6)</f>
        <v>0.75342299999999995</v>
      </c>
    </row>
    <row r="21" spans="1:5" ht="15.75" thickTop="1" x14ac:dyDescent="0.25">
      <c r="A21" s="22"/>
      <c r="B21"/>
      <c r="C21"/>
      <c r="D21"/>
      <c r="E21"/>
    </row>
    <row r="22" spans="1:5" x14ac:dyDescent="0.25">
      <c r="A22" s="1298" t="s">
        <v>838</v>
      </c>
      <c r="B22" s="523"/>
      <c r="C22" s="20"/>
      <c r="D22" s="20"/>
      <c r="E22" s="20"/>
    </row>
    <row r="23" spans="1:5" x14ac:dyDescent="0.25">
      <c r="B23" s="842"/>
      <c r="C23" s="547"/>
      <c r="D23" s="547"/>
      <c r="E23" s="41"/>
    </row>
    <row r="24" spans="1:5" x14ac:dyDescent="0.25">
      <c r="B24" s="842"/>
      <c r="C24" s="547"/>
      <c r="D24" s="547"/>
      <c r="E24" s="41"/>
    </row>
    <row r="25" spans="1:5" x14ac:dyDescent="0.25">
      <c r="B25" s="842"/>
      <c r="C25" s="20"/>
      <c r="D25" s="1175"/>
      <c r="E25" s="41"/>
    </row>
    <row r="26" spans="1:5" x14ac:dyDescent="0.25">
      <c r="B26" s="842"/>
      <c r="C26" s="547"/>
      <c r="D26" s="547"/>
      <c r="E26" s="41"/>
    </row>
    <row r="27" spans="1:5" x14ac:dyDescent="0.25">
      <c r="A27"/>
      <c r="B27" s="842"/>
      <c r="C27" s="547"/>
      <c r="D27" s="547"/>
      <c r="E27" s="41"/>
    </row>
    <row r="28" spans="1:5" x14ac:dyDescent="0.25">
      <c r="B28" s="547"/>
      <c r="C28" s="547"/>
      <c r="D28" s="547"/>
      <c r="E28" s="41"/>
    </row>
    <row r="29" spans="1:5" x14ac:dyDescent="0.25">
      <c r="B29" s="547"/>
      <c r="C29" s="547"/>
      <c r="D29" s="547"/>
      <c r="E29" s="41"/>
    </row>
    <row r="30" spans="1:5" x14ac:dyDescent="0.25">
      <c r="B30" s="842"/>
      <c r="C30" s="547"/>
      <c r="D30" s="703"/>
      <c r="E30" s="41"/>
    </row>
    <row r="31" spans="1:5" x14ac:dyDescent="0.25">
      <c r="B31" s="842"/>
      <c r="C31" s="547"/>
      <c r="D31" s="547"/>
      <c r="E31" s="1368"/>
    </row>
    <row r="32" spans="1:5" x14ac:dyDescent="0.25">
      <c r="B32" s="523"/>
      <c r="C32" s="99"/>
      <c r="D32" s="99"/>
      <c r="E32" s="99"/>
    </row>
    <row r="33" spans="1:5" x14ac:dyDescent="0.25">
      <c r="B33" s="842"/>
      <c r="C33" s="547"/>
      <c r="D33" s="547"/>
      <c r="E33" s="41"/>
    </row>
    <row r="34" spans="1:5" x14ac:dyDescent="0.25">
      <c r="B34" s="842"/>
      <c r="C34" s="547"/>
      <c r="D34" s="547"/>
      <c r="E34" s="41"/>
    </row>
    <row r="35" spans="1:5" x14ac:dyDescent="0.25">
      <c r="B35" s="842"/>
      <c r="C35" s="20"/>
      <c r="D35" s="1175"/>
      <c r="E35" s="41"/>
    </row>
    <row r="36" spans="1:5" x14ac:dyDescent="0.25">
      <c r="B36" s="842"/>
      <c r="C36" s="547"/>
      <c r="D36" s="547"/>
      <c r="E36" s="41"/>
    </row>
    <row r="37" spans="1:5" x14ac:dyDescent="0.25">
      <c r="B37" s="842"/>
      <c r="C37" s="547"/>
      <c r="D37" s="547"/>
      <c r="E37" s="41"/>
    </row>
    <row r="38" spans="1:5" x14ac:dyDescent="0.25">
      <c r="B38" s="547"/>
      <c r="C38" s="547"/>
      <c r="D38" s="547"/>
      <c r="E38" s="41"/>
    </row>
    <row r="39" spans="1:5" x14ac:dyDescent="0.25">
      <c r="A39"/>
      <c r="B39" s="547"/>
      <c r="C39" s="547"/>
      <c r="D39" s="547"/>
      <c r="E39" s="41"/>
    </row>
    <row r="40" spans="1:5" x14ac:dyDescent="0.25">
      <c r="A40"/>
      <c r="B40" s="842"/>
      <c r="C40" s="547"/>
      <c r="D40" s="703"/>
      <c r="E40" s="41"/>
    </row>
    <row r="41" spans="1:5" x14ac:dyDescent="0.25">
      <c r="A41"/>
      <c r="B41" s="842"/>
      <c r="C41" s="547"/>
      <c r="D41" s="547"/>
      <c r="E41" s="1368"/>
    </row>
    <row r="42" spans="1:5" x14ac:dyDescent="0.25">
      <c r="A42"/>
      <c r="B42" s="99"/>
      <c r="C42" s="99"/>
      <c r="D42" s="99"/>
      <c r="E42" s="99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</row>
    <row r="58" spans="1:5" x14ac:dyDescent="0.25">
      <c r="A58" s="18"/>
      <c r="B58" s="18"/>
    </row>
    <row r="59" spans="1:5" x14ac:dyDescent="0.25">
      <c r="A59" s="18"/>
      <c r="B59" s="18"/>
    </row>
    <row r="60" spans="1:5" x14ac:dyDescent="0.25">
      <c r="A60" s="18"/>
      <c r="B60" s="18"/>
    </row>
    <row r="61" spans="1:5" x14ac:dyDescent="0.25">
      <c r="A61" s="18"/>
      <c r="B61" s="18"/>
    </row>
    <row r="62" spans="1:5" x14ac:dyDescent="0.25">
      <c r="A62" s="18"/>
      <c r="B62" s="18"/>
    </row>
    <row r="63" spans="1:5" x14ac:dyDescent="0.25">
      <c r="A63" s="18"/>
      <c r="B63" s="18"/>
    </row>
    <row r="64" spans="1:5" x14ac:dyDescent="0.25">
      <c r="A64" s="18"/>
      <c r="B64" s="18"/>
    </row>
    <row r="65" spans="1:2" x14ac:dyDescent="0.25">
      <c r="A65" s="18"/>
      <c r="B65" s="18"/>
    </row>
    <row r="66" spans="1:2" x14ac:dyDescent="0.25">
      <c r="A66" s="18"/>
      <c r="B66" s="18"/>
    </row>
    <row r="67" spans="1:2" x14ac:dyDescent="0.25">
      <c r="A67" s="18"/>
      <c r="B67" s="18"/>
    </row>
    <row r="68" spans="1:2" x14ac:dyDescent="0.25">
      <c r="A68" s="18"/>
      <c r="B68" s="18"/>
    </row>
    <row r="69" spans="1:2" x14ac:dyDescent="0.25">
      <c r="A69" s="18"/>
      <c r="B69" s="18"/>
    </row>
    <row r="70" spans="1:2" x14ac:dyDescent="0.25">
      <c r="A70" s="18"/>
      <c r="B70" s="18"/>
    </row>
    <row r="71" spans="1:2" x14ac:dyDescent="0.25">
      <c r="A71" s="18"/>
      <c r="B71" s="18"/>
    </row>
    <row r="72" spans="1:2" x14ac:dyDescent="0.25">
      <c r="A72" s="18"/>
      <c r="B72" s="18"/>
    </row>
    <row r="73" spans="1:2" x14ac:dyDescent="0.25">
      <c r="A73" s="18"/>
      <c r="B73" s="18"/>
    </row>
    <row r="74" spans="1:2" x14ac:dyDescent="0.25">
      <c r="A74" s="18"/>
      <c r="B74" s="18"/>
    </row>
    <row r="75" spans="1:2" x14ac:dyDescent="0.25">
      <c r="A75" s="18"/>
      <c r="B75" s="18"/>
    </row>
    <row r="76" spans="1:2" x14ac:dyDescent="0.25">
      <c r="A76" s="18"/>
      <c r="B76" s="18"/>
    </row>
    <row r="77" spans="1:2" x14ac:dyDescent="0.25">
      <c r="A77" s="18"/>
      <c r="B77" s="18"/>
    </row>
    <row r="78" spans="1:2" x14ac:dyDescent="0.25">
      <c r="A78" s="18"/>
      <c r="B78" s="18"/>
    </row>
    <row r="79" spans="1:2" x14ac:dyDescent="0.25">
      <c r="A79" s="18"/>
      <c r="B79" s="18"/>
    </row>
    <row r="80" spans="1:2" x14ac:dyDescent="0.25">
      <c r="A80" s="18"/>
      <c r="B80" s="18"/>
    </row>
    <row r="81" spans="1:2" x14ac:dyDescent="0.25">
      <c r="A81" s="18"/>
      <c r="B81" s="18"/>
    </row>
    <row r="82" spans="1:2" x14ac:dyDescent="0.25">
      <c r="A82" s="18"/>
      <c r="B82" s="18"/>
    </row>
    <row r="83" spans="1:2" x14ac:dyDescent="0.25">
      <c r="A83" s="18"/>
      <c r="B83" s="18"/>
    </row>
    <row r="84" spans="1:2" x14ac:dyDescent="0.25">
      <c r="A84" s="18"/>
      <c r="B84" s="18"/>
    </row>
    <row r="85" spans="1:2" x14ac:dyDescent="0.25">
      <c r="A85" s="18"/>
      <c r="B85" s="18"/>
    </row>
    <row r="86" spans="1:2" x14ac:dyDescent="0.25">
      <c r="A86" s="18"/>
      <c r="B86" s="18"/>
    </row>
    <row r="87" spans="1:2" x14ac:dyDescent="0.25">
      <c r="A87" s="18"/>
      <c r="B87" s="18"/>
    </row>
    <row r="88" spans="1:2" x14ac:dyDescent="0.25">
      <c r="A88" s="18"/>
      <c r="B88" s="18"/>
    </row>
    <row r="89" spans="1:2" x14ac:dyDescent="0.25">
      <c r="A89" s="18"/>
      <c r="B89" s="18"/>
    </row>
    <row r="90" spans="1:2" x14ac:dyDescent="0.25">
      <c r="A90" s="18"/>
      <c r="B90" s="18"/>
    </row>
    <row r="91" spans="1:2" x14ac:dyDescent="0.25">
      <c r="A91" s="18"/>
      <c r="B91" s="18"/>
    </row>
    <row r="92" spans="1:2" x14ac:dyDescent="0.25">
      <c r="A92" s="18"/>
      <c r="B92" s="18"/>
    </row>
    <row r="93" spans="1:2" x14ac:dyDescent="0.25">
      <c r="A93" s="18"/>
      <c r="B93" s="18"/>
    </row>
    <row r="94" spans="1:2" x14ac:dyDescent="0.25">
      <c r="A94" s="18"/>
      <c r="B94" s="18"/>
    </row>
    <row r="95" spans="1:2" x14ac:dyDescent="0.25">
      <c r="A95" s="18"/>
      <c r="B95" s="18"/>
    </row>
    <row r="96" spans="1:2" x14ac:dyDescent="0.25">
      <c r="A96" s="18"/>
      <c r="B96" s="18"/>
    </row>
    <row r="97" spans="1:2" x14ac:dyDescent="0.25">
      <c r="A97" s="18"/>
      <c r="B97" s="18"/>
    </row>
    <row r="98" spans="1:2" x14ac:dyDescent="0.25">
      <c r="A98" s="18"/>
      <c r="B98" s="18"/>
    </row>
    <row r="99" spans="1:2" x14ac:dyDescent="0.25">
      <c r="A99" s="18"/>
      <c r="B99" s="18"/>
    </row>
    <row r="100" spans="1:2" x14ac:dyDescent="0.25">
      <c r="A100" s="18"/>
      <c r="B100" s="18"/>
    </row>
    <row r="101" spans="1:2" x14ac:dyDescent="0.25">
      <c r="A101" s="18"/>
      <c r="B101" s="18"/>
    </row>
    <row r="102" spans="1:2" x14ac:dyDescent="0.25">
      <c r="A102" s="18"/>
      <c r="B102" s="18"/>
    </row>
    <row r="103" spans="1:2" x14ac:dyDescent="0.25">
      <c r="A103" s="18"/>
      <c r="B103" s="18"/>
    </row>
    <row r="104" spans="1:2" x14ac:dyDescent="0.25">
      <c r="A104" s="18"/>
      <c r="B104" s="18"/>
    </row>
    <row r="105" spans="1:2" x14ac:dyDescent="0.25">
      <c r="A105" s="18"/>
      <c r="B105" s="18"/>
    </row>
    <row r="106" spans="1:2" x14ac:dyDescent="0.25">
      <c r="A106" s="18"/>
      <c r="B106" s="18"/>
    </row>
    <row r="107" spans="1:2" x14ac:dyDescent="0.25">
      <c r="A107" s="18"/>
      <c r="B107" s="18"/>
    </row>
    <row r="108" spans="1:2" x14ac:dyDescent="0.25">
      <c r="A108" s="18"/>
      <c r="B108" s="18"/>
    </row>
    <row r="109" spans="1:2" x14ac:dyDescent="0.25">
      <c r="A109" s="18"/>
      <c r="B109" s="18"/>
    </row>
    <row r="110" spans="1:2" x14ac:dyDescent="0.25">
      <c r="A110" s="18"/>
      <c r="B110" s="18"/>
    </row>
    <row r="111" spans="1:2" x14ac:dyDescent="0.25">
      <c r="A111" s="18"/>
      <c r="B111" s="18"/>
    </row>
    <row r="112" spans="1:2" x14ac:dyDescent="0.25">
      <c r="A112" s="18"/>
      <c r="B112" s="18"/>
    </row>
    <row r="113" spans="1:2" x14ac:dyDescent="0.25">
      <c r="A113" s="18"/>
      <c r="B113" s="18"/>
    </row>
    <row r="114" spans="1:2" x14ac:dyDescent="0.25">
      <c r="A114" s="18"/>
      <c r="B114" s="18"/>
    </row>
    <row r="115" spans="1:2" x14ac:dyDescent="0.25">
      <c r="A115" s="18"/>
      <c r="B115" s="18"/>
    </row>
    <row r="116" spans="1:2" x14ac:dyDescent="0.25">
      <c r="A116" s="18"/>
      <c r="B116" s="18"/>
    </row>
    <row r="117" spans="1:2" x14ac:dyDescent="0.25">
      <c r="A117" s="18"/>
      <c r="B117" s="18"/>
    </row>
    <row r="118" spans="1:2" x14ac:dyDescent="0.25">
      <c r="A118" s="18"/>
      <c r="B118" s="18"/>
    </row>
    <row r="119" spans="1:2" x14ac:dyDescent="0.25">
      <c r="A119" s="18"/>
      <c r="B119" s="18"/>
    </row>
    <row r="120" spans="1:2" x14ac:dyDescent="0.25">
      <c r="A120" s="18"/>
      <c r="B120" s="18"/>
    </row>
    <row r="121" spans="1:2" x14ac:dyDescent="0.25">
      <c r="A121" s="18"/>
      <c r="B121" s="18"/>
    </row>
    <row r="122" spans="1:2" x14ac:dyDescent="0.25">
      <c r="A122" s="18"/>
      <c r="B122" s="18"/>
    </row>
    <row r="123" spans="1:2" x14ac:dyDescent="0.25">
      <c r="A123" s="18"/>
      <c r="B123" s="18"/>
    </row>
    <row r="124" spans="1:2" x14ac:dyDescent="0.25">
      <c r="A124" s="18"/>
      <c r="B124" s="18"/>
    </row>
    <row r="125" spans="1:2" x14ac:dyDescent="0.25">
      <c r="A125" s="18"/>
      <c r="B125" s="18"/>
    </row>
    <row r="126" spans="1:2" x14ac:dyDescent="0.25">
      <c r="A126" s="18"/>
      <c r="B126" s="18"/>
    </row>
    <row r="127" spans="1:2" x14ac:dyDescent="0.25">
      <c r="A127" s="18"/>
      <c r="B127" s="18"/>
    </row>
    <row r="128" spans="1:2" x14ac:dyDescent="0.25">
      <c r="A128" s="18"/>
      <c r="B128" s="18"/>
    </row>
    <row r="129" spans="1:2" x14ac:dyDescent="0.25">
      <c r="A129" s="18"/>
      <c r="B129" s="18"/>
    </row>
    <row r="130" spans="1:2" x14ac:dyDescent="0.25">
      <c r="A130" s="18"/>
      <c r="B130" s="18"/>
    </row>
    <row r="131" spans="1:2" x14ac:dyDescent="0.25">
      <c r="A131" s="18"/>
      <c r="B131" s="18"/>
    </row>
    <row r="132" spans="1:2" x14ac:dyDescent="0.25">
      <c r="A132" s="18"/>
      <c r="B132" s="18"/>
    </row>
    <row r="133" spans="1:2" x14ac:dyDescent="0.25">
      <c r="A133" s="18"/>
      <c r="B133" s="18"/>
    </row>
    <row r="134" spans="1:2" x14ac:dyDescent="0.25">
      <c r="A134" s="18"/>
      <c r="B134" s="18"/>
    </row>
    <row r="135" spans="1:2" x14ac:dyDescent="0.25">
      <c r="A135" s="18"/>
      <c r="B135" s="18"/>
    </row>
    <row r="136" spans="1:2" x14ac:dyDescent="0.25">
      <c r="A136" s="18"/>
      <c r="B136" s="18"/>
    </row>
    <row r="137" spans="1:2" x14ac:dyDescent="0.25">
      <c r="A137" s="18"/>
      <c r="B137" s="18"/>
    </row>
    <row r="138" spans="1:2" x14ac:dyDescent="0.25">
      <c r="A138" s="18"/>
      <c r="B138" s="18"/>
    </row>
    <row r="139" spans="1:2" x14ac:dyDescent="0.25">
      <c r="A139" s="18"/>
      <c r="B139" s="18"/>
    </row>
    <row r="140" spans="1:2" x14ac:dyDescent="0.25">
      <c r="A140" s="18"/>
      <c r="B140" s="18"/>
    </row>
    <row r="141" spans="1:2" x14ac:dyDescent="0.25">
      <c r="A141" s="18"/>
      <c r="B141" s="18"/>
    </row>
    <row r="142" spans="1:2" x14ac:dyDescent="0.25">
      <c r="A142" s="18"/>
      <c r="B142" s="18"/>
    </row>
    <row r="143" spans="1:2" x14ac:dyDescent="0.25">
      <c r="A143" s="18"/>
      <c r="B143" s="18"/>
    </row>
    <row r="144" spans="1:2" x14ac:dyDescent="0.25">
      <c r="A144" s="18"/>
      <c r="B144" s="18"/>
    </row>
    <row r="145" spans="1:2" x14ac:dyDescent="0.25">
      <c r="A145" s="18"/>
      <c r="B145" s="18"/>
    </row>
    <row r="146" spans="1:2" x14ac:dyDescent="0.25">
      <c r="A146" s="18"/>
      <c r="B146" s="18"/>
    </row>
    <row r="147" spans="1:2" x14ac:dyDescent="0.25">
      <c r="A147" s="18"/>
      <c r="B147" s="18"/>
    </row>
    <row r="148" spans="1:2" x14ac:dyDescent="0.25">
      <c r="A148" s="18"/>
      <c r="B148" s="18"/>
    </row>
    <row r="149" spans="1:2" x14ac:dyDescent="0.25">
      <c r="A149" s="18"/>
      <c r="B149" s="18"/>
    </row>
    <row r="150" spans="1:2" x14ac:dyDescent="0.25">
      <c r="A150" s="18"/>
      <c r="B150" s="18"/>
    </row>
    <row r="151" spans="1:2" x14ac:dyDescent="0.25">
      <c r="A151" s="18"/>
      <c r="B151" s="18"/>
    </row>
    <row r="152" spans="1:2" x14ac:dyDescent="0.25">
      <c r="A152" s="18"/>
      <c r="B152" s="18"/>
    </row>
    <row r="153" spans="1:2" x14ac:dyDescent="0.25">
      <c r="A153" s="18"/>
      <c r="B153" s="18"/>
    </row>
    <row r="154" spans="1:2" x14ac:dyDescent="0.25">
      <c r="A154" s="18"/>
      <c r="B154" s="18"/>
    </row>
    <row r="155" spans="1:2" x14ac:dyDescent="0.25">
      <c r="A155" s="18"/>
      <c r="B155" s="18"/>
    </row>
    <row r="156" spans="1:2" x14ac:dyDescent="0.25">
      <c r="A156" s="18"/>
      <c r="B156" s="18"/>
    </row>
    <row r="157" spans="1:2" x14ac:dyDescent="0.25">
      <c r="A157" s="18"/>
      <c r="B157" s="18"/>
    </row>
    <row r="158" spans="1:2" x14ac:dyDescent="0.25">
      <c r="A158" s="18"/>
      <c r="B158" s="18"/>
    </row>
    <row r="159" spans="1:2" x14ac:dyDescent="0.25">
      <c r="A159" s="18"/>
      <c r="B159" s="18"/>
    </row>
    <row r="160" spans="1:2" x14ac:dyDescent="0.25">
      <c r="A160" s="18"/>
      <c r="B160" s="18"/>
    </row>
    <row r="161" spans="1:2" x14ac:dyDescent="0.25">
      <c r="A161" s="18"/>
      <c r="B161" s="18"/>
    </row>
    <row r="162" spans="1:2" x14ac:dyDescent="0.25">
      <c r="A162" s="18"/>
      <c r="B162" s="18"/>
    </row>
    <row r="163" spans="1:2" x14ac:dyDescent="0.25">
      <c r="A163" s="18"/>
      <c r="B163" s="18"/>
    </row>
    <row r="164" spans="1:2" x14ac:dyDescent="0.25">
      <c r="A164" s="18"/>
      <c r="B164" s="18"/>
    </row>
    <row r="165" spans="1:2" x14ac:dyDescent="0.25">
      <c r="A165" s="18"/>
      <c r="B165" s="18"/>
    </row>
    <row r="166" spans="1:2" x14ac:dyDescent="0.25">
      <c r="A166" s="18"/>
      <c r="B166" s="18"/>
    </row>
    <row r="167" spans="1:2" x14ac:dyDescent="0.25">
      <c r="A167" s="18"/>
      <c r="B167" s="18"/>
    </row>
    <row r="168" spans="1:2" x14ac:dyDescent="0.25">
      <c r="A168" s="18"/>
      <c r="B168" s="18"/>
    </row>
    <row r="169" spans="1:2" x14ac:dyDescent="0.25">
      <c r="A169" s="18"/>
      <c r="B169" s="18"/>
    </row>
    <row r="170" spans="1:2" x14ac:dyDescent="0.25">
      <c r="A170" s="18"/>
      <c r="B170" s="18"/>
    </row>
    <row r="171" spans="1:2" x14ac:dyDescent="0.25">
      <c r="A171" s="18"/>
      <c r="B171" s="18"/>
    </row>
    <row r="172" spans="1:2" x14ac:dyDescent="0.25">
      <c r="A172" s="18"/>
      <c r="B172" s="18"/>
    </row>
    <row r="173" spans="1:2" x14ac:dyDescent="0.25">
      <c r="A173" s="18"/>
      <c r="B173" s="18"/>
    </row>
    <row r="174" spans="1:2" x14ac:dyDescent="0.25">
      <c r="A174" s="18"/>
      <c r="B174" s="18"/>
    </row>
    <row r="175" spans="1:2" x14ac:dyDescent="0.25">
      <c r="A175" s="18"/>
      <c r="B175" s="18"/>
    </row>
    <row r="176" spans="1:2" x14ac:dyDescent="0.25">
      <c r="A176" s="18"/>
      <c r="B176" s="18"/>
    </row>
    <row r="177" spans="1:2" x14ac:dyDescent="0.25">
      <c r="A177" s="18"/>
      <c r="B177" s="18"/>
    </row>
    <row r="178" spans="1:2" x14ac:dyDescent="0.25">
      <c r="A178" s="18"/>
      <c r="B178" s="18"/>
    </row>
    <row r="179" spans="1:2" x14ac:dyDescent="0.25">
      <c r="A179" s="18"/>
      <c r="B179" s="18"/>
    </row>
    <row r="180" spans="1:2" x14ac:dyDescent="0.25">
      <c r="A180" s="18"/>
      <c r="B180" s="18"/>
    </row>
    <row r="181" spans="1:2" x14ac:dyDescent="0.25">
      <c r="A181" s="18"/>
      <c r="B181" s="18"/>
    </row>
    <row r="182" spans="1:2" x14ac:dyDescent="0.25">
      <c r="A182" s="18"/>
      <c r="B182" s="18"/>
    </row>
    <row r="183" spans="1:2" x14ac:dyDescent="0.25">
      <c r="A183" s="18"/>
      <c r="B183" s="18"/>
    </row>
    <row r="184" spans="1:2" x14ac:dyDescent="0.25">
      <c r="A184" s="18"/>
      <c r="B184" s="18"/>
    </row>
    <row r="185" spans="1:2" x14ac:dyDescent="0.25">
      <c r="A185" s="18"/>
      <c r="B185" s="18"/>
    </row>
    <row r="186" spans="1:2" x14ac:dyDescent="0.25">
      <c r="A186" s="18"/>
      <c r="B186" s="18"/>
    </row>
    <row r="187" spans="1:2" x14ac:dyDescent="0.25">
      <c r="A187" s="18"/>
      <c r="B187" s="18"/>
    </row>
    <row r="188" spans="1:2" x14ac:dyDescent="0.25">
      <c r="A188" s="18"/>
      <c r="B188" s="18"/>
    </row>
    <row r="189" spans="1:2" x14ac:dyDescent="0.25">
      <c r="A189" s="18"/>
      <c r="B189" s="18"/>
    </row>
    <row r="190" spans="1:2" x14ac:dyDescent="0.25">
      <c r="A190" s="18"/>
      <c r="B190" s="18"/>
    </row>
    <row r="191" spans="1:2" x14ac:dyDescent="0.25">
      <c r="A191" s="18"/>
      <c r="B191" s="18"/>
    </row>
    <row r="192" spans="1:2" x14ac:dyDescent="0.25">
      <c r="A192" s="18"/>
      <c r="B192" s="18"/>
    </row>
    <row r="193" spans="1:2" x14ac:dyDescent="0.25">
      <c r="A193" s="18"/>
      <c r="B193" s="18"/>
    </row>
    <row r="194" spans="1:2" x14ac:dyDescent="0.25">
      <c r="A194" s="18"/>
      <c r="B194" s="18"/>
    </row>
    <row r="195" spans="1:2" x14ac:dyDescent="0.25">
      <c r="A195" s="18"/>
      <c r="B195" s="18"/>
    </row>
    <row r="196" spans="1:2" x14ac:dyDescent="0.25">
      <c r="A196" s="18"/>
      <c r="B196" s="18"/>
    </row>
    <row r="197" spans="1:2" x14ac:dyDescent="0.25">
      <c r="A197" s="18"/>
      <c r="B197" s="18"/>
    </row>
    <row r="198" spans="1:2" x14ac:dyDescent="0.25">
      <c r="A198" s="18"/>
      <c r="B198" s="18"/>
    </row>
    <row r="199" spans="1:2" x14ac:dyDescent="0.25">
      <c r="A199" s="18"/>
      <c r="B199" s="18"/>
    </row>
    <row r="200" spans="1:2" x14ac:dyDescent="0.25">
      <c r="A200" s="18"/>
      <c r="B200" s="18"/>
    </row>
    <row r="201" spans="1:2" x14ac:dyDescent="0.25">
      <c r="A201" s="18"/>
      <c r="B201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A300"/>
  <sheetViews>
    <sheetView topLeftCell="WE1" zoomScale="85" zoomScaleNormal="85" workbookViewId="0">
      <pane ySplit="14" topLeftCell="A15" activePane="bottomLeft" state="frozen"/>
      <selection sqref="A1:M83"/>
      <selection pane="bottomLeft" activeCell="XA5" sqref="XA5"/>
    </sheetView>
  </sheetViews>
  <sheetFormatPr defaultColWidth="9.28515625" defaultRowHeight="15" outlineLevelCol="2" x14ac:dyDescent="0.25"/>
  <cols>
    <col min="1" max="1" width="5.42578125" style="1" customWidth="1"/>
    <col min="2" max="2" width="66.28515625" style="1" customWidth="1"/>
    <col min="3" max="3" width="10.7109375" style="1" customWidth="1"/>
    <col min="4" max="4" width="15.7109375" style="1" customWidth="1"/>
    <col min="5" max="5" width="13" style="1" customWidth="1"/>
    <col min="6" max="6" width="13.7109375" style="1" customWidth="1"/>
    <col min="7" max="7" width="14.28515625" style="1" customWidth="1"/>
    <col min="8" max="8" width="13.7109375" style="1" customWidth="1"/>
    <col min="9" max="9" width="13.7109375" style="1" customWidth="1" outlineLevel="1"/>
    <col min="10" max="10" width="14.5703125" style="1" customWidth="1" outlineLevel="1"/>
    <col min="11" max="11" width="13.7109375" style="1" customWidth="1" outlineLevel="1"/>
    <col min="12" max="12" width="14.5703125" style="1" customWidth="1" outlineLevel="1"/>
    <col min="13" max="13" width="13.7109375" style="1" customWidth="1" outlineLevel="1"/>
    <col min="14" max="14" width="18.42578125" style="1" customWidth="1" outlineLevel="1"/>
    <col min="15" max="15" width="15" style="1" hidden="1" customWidth="1" outlineLevel="2"/>
    <col min="16" max="18" width="13.7109375" style="1" hidden="1" customWidth="1" outlineLevel="2"/>
    <col min="19" max="19" width="9.28515625" style="1" customWidth="1" outlineLevel="1" collapsed="1"/>
    <col min="20" max="20" width="66" style="1" customWidth="1"/>
    <col min="21" max="21" width="11" style="1" bestFit="1" customWidth="1"/>
    <col min="22" max="22" width="15.7109375" style="1" customWidth="1"/>
    <col min="23" max="23" width="15.7109375" style="1" bestFit="1" customWidth="1"/>
    <col min="24" max="24" width="14.42578125" style="1" customWidth="1"/>
    <col min="25" max="25" width="14" style="1" hidden="1" customWidth="1" outlineLevel="1"/>
    <col min="26" max="26" width="16.28515625" style="1" hidden="1" customWidth="1" outlineLevel="1"/>
    <col min="27" max="36" width="13.7109375" style="1" hidden="1" customWidth="1" outlineLevel="1"/>
    <col min="37" max="37" width="5.42578125" style="1" customWidth="1" collapsed="1"/>
    <col min="38" max="38" width="55.42578125" style="1" customWidth="1"/>
    <col min="39" max="39" width="11.28515625" style="1" customWidth="1"/>
    <col min="40" max="41" width="15.28515625" style="1" customWidth="1"/>
    <col min="42" max="42" width="14.140625" style="1" bestFit="1" customWidth="1"/>
    <col min="43" max="43" width="15.28515625" style="1" hidden="1" customWidth="1" outlineLevel="1"/>
    <col min="44" max="54" width="15.42578125" style="1" hidden="1" customWidth="1" outlineLevel="1"/>
    <col min="55" max="55" width="5.42578125" style="1" customWidth="1" collapsed="1"/>
    <col min="56" max="56" width="39.5703125" style="1" customWidth="1"/>
    <col min="57" max="57" width="4.5703125" style="1" customWidth="1"/>
    <col min="58" max="60" width="17.5703125" style="1" customWidth="1"/>
    <col min="61" max="61" width="18.7109375" style="1" customWidth="1"/>
    <col min="62" max="68" width="16.28515625" style="1" customWidth="1"/>
    <col min="69" max="72" width="16.28515625" style="1" hidden="1" customWidth="1" outlineLevel="1"/>
    <col min="73" max="73" width="5.42578125" style="1" customWidth="1" collapsed="1"/>
    <col min="74" max="74" width="37.7109375" style="1" customWidth="1"/>
    <col min="75" max="75" width="4.7109375" style="1" customWidth="1"/>
    <col min="76" max="80" width="18.5703125" style="1" customWidth="1"/>
    <col min="81" max="81" width="15" customWidth="1"/>
    <col min="82" max="82" width="16.28515625" bestFit="1" customWidth="1"/>
    <col min="83" max="83" width="15" customWidth="1"/>
    <col min="84" max="84" width="16.28515625" bestFit="1" customWidth="1"/>
    <col min="85" max="85" width="15" customWidth="1"/>
    <col min="86" max="86" width="23.85546875" bestFit="1" customWidth="1"/>
    <col min="87" max="89" width="15.28515625" hidden="1" customWidth="1" outlineLevel="1"/>
    <col min="90" max="90" width="17.7109375" hidden="1" customWidth="1" outlineLevel="1"/>
    <col min="91" max="91" width="5.28515625" customWidth="1" collapsed="1"/>
    <col min="92" max="92" width="40.28515625" customWidth="1"/>
    <col min="93" max="93" width="8.28515625" customWidth="1"/>
    <col min="94" max="94" width="15.7109375" customWidth="1"/>
    <col min="95" max="95" width="14.7109375" customWidth="1"/>
    <col min="96" max="96" width="13.7109375" customWidth="1"/>
    <col min="97" max="97" width="14.7109375" hidden="1" customWidth="1" outlineLevel="1"/>
    <col min="98" max="98" width="13.7109375" hidden="1" customWidth="1" outlineLevel="1"/>
    <col min="99" max="99" width="15" hidden="1" customWidth="1" outlineLevel="1"/>
    <col min="100" max="100" width="12.7109375" hidden="1" customWidth="1" outlineLevel="1"/>
    <col min="101" max="101" width="15" hidden="1" customWidth="1" outlineLevel="1"/>
    <col min="102" max="102" width="12.7109375" hidden="1" customWidth="1" outlineLevel="1"/>
    <col min="103" max="103" width="15" hidden="1" customWidth="1" outlineLevel="1"/>
    <col min="104" max="106" width="12.7109375" hidden="1" customWidth="1" outlineLevel="1"/>
    <col min="107" max="107" width="15" hidden="1" customWidth="1" outlineLevel="1"/>
    <col min="108" max="108" width="12.7109375" hidden="1" customWidth="1" outlineLevel="1"/>
    <col min="109" max="109" width="5.28515625" customWidth="1" collapsed="1"/>
    <col min="110" max="110" width="46.5703125" customWidth="1"/>
    <col min="111" max="111" width="4.7109375" customWidth="1"/>
    <col min="112" max="112" width="14.85546875" customWidth="1"/>
    <col min="113" max="113" width="15" customWidth="1"/>
    <col min="114" max="114" width="12.7109375" customWidth="1"/>
    <col min="115" max="125" width="12.7109375" hidden="1" customWidth="1" outlineLevel="1"/>
    <col min="126" max="126" width="0.5703125" hidden="1" customWidth="1" outlineLevel="1"/>
    <col min="127" max="127" width="5.28515625" customWidth="1" collapsed="1"/>
    <col min="128" max="128" width="48.28515625" customWidth="1"/>
    <col min="129" max="129" width="4.5703125" customWidth="1"/>
    <col min="130" max="130" width="15.7109375" customWidth="1"/>
    <col min="131" max="131" width="13.7109375" customWidth="1"/>
    <col min="132" max="132" width="22.42578125" bestFit="1" customWidth="1"/>
    <col min="133" max="133" width="14.7109375" hidden="1" customWidth="1" outlineLevel="1"/>
    <col min="134" max="134" width="14.28515625" hidden="1" customWidth="1" outlineLevel="1"/>
    <col min="135" max="135" width="15" hidden="1" customWidth="1" outlineLevel="1"/>
    <col min="136" max="136" width="14.28515625" hidden="1" customWidth="1" outlineLevel="1"/>
    <col min="137" max="137" width="15" hidden="1" customWidth="1" outlineLevel="1"/>
    <col min="138" max="138" width="14.5703125" hidden="1" customWidth="1" outlineLevel="1"/>
    <col min="139" max="139" width="15" hidden="1" customWidth="1" outlineLevel="1"/>
    <col min="140" max="142" width="14.5703125" hidden="1" customWidth="1" outlineLevel="1"/>
    <col min="143" max="144" width="12.7109375" hidden="1" customWidth="1" outlineLevel="1"/>
    <col min="145" max="145" width="5.28515625" customWidth="1" collapsed="1"/>
    <col min="146" max="146" width="31.42578125" bestFit="1" customWidth="1"/>
    <col min="147" max="147" width="9.85546875" customWidth="1"/>
    <col min="148" max="148" width="15.7109375" customWidth="1"/>
    <col min="149" max="149" width="13.7109375" customWidth="1"/>
    <col min="150" max="150" width="12.7109375" customWidth="1"/>
    <col min="151" max="151" width="15.42578125" customWidth="1"/>
    <col min="152" max="152" width="12.7109375" customWidth="1"/>
    <col min="153" max="162" width="12.7109375" hidden="1" customWidth="1" outlineLevel="1"/>
    <col min="163" max="163" width="5.28515625" customWidth="1" collapsed="1"/>
    <col min="164" max="164" width="55.28515625" customWidth="1"/>
    <col min="165" max="165" width="4.5703125" customWidth="1"/>
    <col min="166" max="166" width="15.7109375" customWidth="1"/>
    <col min="167" max="167" width="14.28515625" customWidth="1"/>
    <col min="168" max="168" width="12.7109375" customWidth="1"/>
    <col min="169" max="179" width="12.7109375" hidden="1" customWidth="1" outlineLevel="1"/>
    <col min="180" max="180" width="15.7109375" style="1" hidden="1" customWidth="1" outlineLevel="1"/>
    <col min="181" max="181" width="5.42578125" style="1" customWidth="1" collapsed="1"/>
    <col min="182" max="182" width="41.28515625" style="1" customWidth="1"/>
    <col min="183" max="183" width="4.28515625" style="1" customWidth="1"/>
    <col min="184" max="184" width="16.28515625" style="1" customWidth="1"/>
    <col min="185" max="185" width="16.7109375" style="1" customWidth="1"/>
    <col min="186" max="186" width="17.7109375" style="1" customWidth="1"/>
    <col min="187" max="187" width="17.28515625" style="1" customWidth="1"/>
    <col min="188" max="194" width="14.7109375" style="1" customWidth="1"/>
    <col min="195" max="198" width="14.7109375" style="1" hidden="1" customWidth="1" outlineLevel="1"/>
    <col min="199" max="199" width="5.28515625" style="1" customWidth="1" collapsed="1"/>
    <col min="200" max="200" width="49.7109375" style="1" bestFit="1" customWidth="1"/>
    <col min="201" max="201" width="8.85546875" style="1" customWidth="1"/>
    <col min="202" max="204" width="14.7109375" style="1" customWidth="1"/>
    <col min="205" max="216" width="14.7109375" style="1" hidden="1" customWidth="1" outlineLevel="1"/>
    <col min="217" max="217" width="5.28515625" style="1" customWidth="1" collapsed="1"/>
    <col min="218" max="218" width="54.140625" style="1" customWidth="1"/>
    <col min="219" max="219" width="12.85546875" style="1" customWidth="1"/>
    <col min="220" max="222" width="14.7109375" style="1" customWidth="1"/>
    <col min="223" max="234" width="14.7109375" style="1" hidden="1" customWidth="1" outlineLevel="1"/>
    <col min="235" max="235" width="5.28515625" style="1" customWidth="1" collapsed="1"/>
    <col min="236" max="236" width="36.140625" style="1" customWidth="1"/>
    <col min="237" max="237" width="4.7109375" style="1" customWidth="1"/>
    <col min="238" max="238" width="22.7109375" style="1" customWidth="1"/>
    <col min="239" max="239" width="28.5703125" style="1" customWidth="1"/>
    <col min="240" max="240" width="45.28515625" style="1" customWidth="1"/>
    <col min="241" max="248" width="14.7109375" style="1" hidden="1" customWidth="1" outlineLevel="1"/>
    <col min="249" max="252" width="14.7109375" style="1" hidden="1" customWidth="1" outlineLevel="2"/>
    <col min="253" max="253" width="5.28515625" style="1" customWidth="1" collapsed="1"/>
    <col min="254" max="254" width="46.42578125" style="1" customWidth="1"/>
    <col min="255" max="255" width="6.5703125" style="1" customWidth="1"/>
    <col min="256" max="257" width="14.7109375" style="1" customWidth="1"/>
    <col min="258" max="258" width="17.42578125" style="1" customWidth="1"/>
    <col min="259" max="266" width="14.7109375" style="1" customWidth="1"/>
    <col min="267" max="270" width="14.7109375" style="1" hidden="1" customWidth="1" outlineLevel="1"/>
    <col min="271" max="271" width="5.42578125" style="1" customWidth="1" collapsed="1"/>
    <col min="272" max="272" width="50.28515625" style="1" customWidth="1"/>
    <col min="273" max="273" width="6" style="1" customWidth="1"/>
    <col min="274" max="276" width="17.5703125" style="1" customWidth="1"/>
    <col min="277" max="284" width="17.5703125" style="1" hidden="1" customWidth="1" outlineLevel="1"/>
    <col min="285" max="288" width="17.5703125" style="1" hidden="1" customWidth="1" outlineLevel="2"/>
    <col min="289" max="289" width="9.28515625" style="1" customWidth="1" collapsed="1"/>
    <col min="290" max="290" width="46.28515625" style="1" customWidth="1"/>
    <col min="291" max="291" width="6" style="1" customWidth="1"/>
    <col min="292" max="292" width="15.42578125" style="1" customWidth="1"/>
    <col min="293" max="294" width="14.5703125" style="1" customWidth="1"/>
    <col min="295" max="306" width="14.5703125" style="1" hidden="1" customWidth="1" outlineLevel="1"/>
    <col min="307" max="307" width="5" style="1" customWidth="1" collapsed="1"/>
    <col min="308" max="308" width="41.5703125" style="1" customWidth="1"/>
    <col min="309" max="309" width="9.7109375" style="1" customWidth="1"/>
    <col min="310" max="310" width="17.7109375" style="1" customWidth="1"/>
    <col min="311" max="311" width="18.7109375" style="1" customWidth="1"/>
    <col min="312" max="312" width="15.28515625" style="1" customWidth="1"/>
    <col min="313" max="313" width="14" style="1" hidden="1" customWidth="1" outlineLevel="1"/>
    <col min="314" max="324" width="18.28515625" style="1" hidden="1" customWidth="1" outlineLevel="1"/>
    <col min="325" max="325" width="5.5703125" style="1" customWidth="1" collapsed="1"/>
    <col min="326" max="326" width="41.5703125" style="1" customWidth="1"/>
    <col min="327" max="327" width="7.7109375" style="1" customWidth="1"/>
    <col min="328" max="330" width="19.28515625" style="1" customWidth="1"/>
    <col min="331" max="331" width="19.28515625" style="1" hidden="1" customWidth="1" outlineLevel="1"/>
    <col min="332" max="332" width="15.28515625" style="1" hidden="1" customWidth="1" outlineLevel="1"/>
    <col min="333" max="333" width="15" style="1" hidden="1" customWidth="1" outlineLevel="1"/>
    <col min="334" max="334" width="15.28515625" style="1" hidden="1" customWidth="1" outlineLevel="1"/>
    <col min="335" max="335" width="15" style="1" hidden="1" customWidth="1" outlineLevel="1"/>
    <col min="336" max="336" width="15.28515625" style="1" hidden="1" customWidth="1" outlineLevel="1"/>
    <col min="337" max="337" width="15" style="1" hidden="1" customWidth="1" outlineLevel="1"/>
    <col min="338" max="340" width="15.28515625" style="1" hidden="1" customWidth="1" outlineLevel="1"/>
    <col min="341" max="341" width="15" style="1" hidden="1" customWidth="1" outlineLevel="1"/>
    <col min="342" max="342" width="22.42578125" style="1" hidden="1" customWidth="1" outlineLevel="1"/>
    <col min="343" max="343" width="5.5703125" style="1" customWidth="1" collapsed="1"/>
    <col min="344" max="344" width="63.28515625" style="1" customWidth="1"/>
    <col min="345" max="345" width="6.5703125" style="1" customWidth="1"/>
    <col min="346" max="348" width="16.7109375" style="1" customWidth="1"/>
    <col min="349" max="349" width="16.7109375" style="1" hidden="1" customWidth="1" outlineLevel="1"/>
    <col min="350" max="350" width="14" style="1" hidden="1" customWidth="1" outlineLevel="1"/>
    <col min="351" max="351" width="13.42578125" style="1" hidden="1" customWidth="1" outlineLevel="1"/>
    <col min="352" max="352" width="14.42578125" style="1" hidden="1" customWidth="1" outlineLevel="1"/>
    <col min="353" max="353" width="15" style="1" hidden="1" customWidth="1" outlineLevel="1"/>
    <col min="354" max="354" width="14.42578125" style="1" hidden="1" customWidth="1" outlineLevel="1"/>
    <col min="355" max="355" width="15" style="1" hidden="1" customWidth="1" outlineLevel="1"/>
    <col min="356" max="358" width="14.42578125" style="1" hidden="1" customWidth="1" outlineLevel="1"/>
    <col min="359" max="359" width="15" style="1" hidden="1" customWidth="1" outlineLevel="1"/>
    <col min="360" max="360" width="16" style="1" hidden="1" customWidth="1" outlineLevel="1"/>
    <col min="361" max="361" width="5.42578125" customWidth="1" collapsed="1"/>
    <col min="362" max="362" width="40.7109375" customWidth="1"/>
    <col min="363" max="363" width="7" customWidth="1"/>
    <col min="364" max="366" width="16" customWidth="1"/>
    <col min="367" max="368" width="16" hidden="1" customWidth="1" outlineLevel="1"/>
    <col min="369" max="369" width="15.28515625" hidden="1" customWidth="1" outlineLevel="1"/>
    <col min="370" max="370" width="19.28515625" hidden="1" customWidth="1" outlineLevel="1"/>
    <col min="371" max="371" width="17.28515625" hidden="1" customWidth="1" outlineLevel="1"/>
    <col min="372" max="372" width="18.28515625" hidden="1" customWidth="1" outlineLevel="1"/>
    <col min="373" max="373" width="18.42578125" hidden="1" customWidth="1" outlineLevel="1"/>
    <col min="374" max="376" width="14.7109375" hidden="1" customWidth="1" outlineLevel="1"/>
    <col min="377" max="377" width="19.7109375" hidden="1" customWidth="1" outlineLevel="1"/>
    <col min="378" max="378" width="16" hidden="1" customWidth="1" outlineLevel="1"/>
    <col min="379" max="379" width="5.28515625" style="1" customWidth="1" collapsed="1"/>
    <col min="380" max="380" width="41.7109375" style="1" customWidth="1"/>
    <col min="381" max="381" width="4.5703125" style="1" customWidth="1"/>
    <col min="382" max="382" width="15.7109375" style="1" bestFit="1" customWidth="1"/>
    <col min="383" max="383" width="14" style="1" customWidth="1"/>
    <col min="384" max="384" width="14.42578125" style="1" bestFit="1" customWidth="1"/>
    <col min="385" max="385" width="14.5703125" style="1" customWidth="1"/>
    <col min="386" max="386" width="14.42578125" style="1" bestFit="1" customWidth="1"/>
    <col min="387" max="387" width="14" style="1" customWidth="1"/>
    <col min="388" max="388" width="15.28515625" style="1" bestFit="1" customWidth="1"/>
    <col min="389" max="389" width="15" style="1" customWidth="1"/>
    <col min="390" max="390" width="15.28515625" style="1" bestFit="1" customWidth="1"/>
    <col min="391" max="391" width="14.5703125" style="1" customWidth="1"/>
    <col min="392" max="392" width="16.7109375" style="1" customWidth="1"/>
    <col min="393" max="393" width="13.42578125" style="1" hidden="1" customWidth="1" outlineLevel="1"/>
    <col min="394" max="394" width="14.42578125" style="1" hidden="1" customWidth="1" outlineLevel="1"/>
    <col min="395" max="395" width="13.42578125" style="1" hidden="1" customWidth="1" outlineLevel="1"/>
    <col min="396" max="396" width="14.42578125" style="1" hidden="1" customWidth="1" outlineLevel="1"/>
    <col min="397" max="397" width="5.28515625" style="1" customWidth="1" collapsed="1"/>
    <col min="398" max="398" width="43.7109375" style="1" customWidth="1"/>
    <col min="399" max="399" width="4.7109375" style="1" customWidth="1"/>
    <col min="400" max="400" width="16.28515625" style="1" customWidth="1"/>
    <col min="401" max="401" width="14.7109375" style="1" customWidth="1"/>
    <col min="402" max="402" width="16.28515625" style="1" customWidth="1"/>
    <col min="403" max="403" width="14.7109375" style="1" customWidth="1"/>
    <col min="404" max="404" width="16.28515625" style="1" customWidth="1"/>
    <col min="405" max="405" width="15" style="1" hidden="1" customWidth="1" outlineLevel="2"/>
    <col min="406" max="406" width="16.28515625" style="1" hidden="1" customWidth="1" outlineLevel="2"/>
    <col min="407" max="407" width="15" style="1" hidden="1" customWidth="1" outlineLevel="2"/>
    <col min="408" max="408" width="16.28515625" style="1" hidden="1" customWidth="1" outlineLevel="2"/>
    <col min="409" max="409" width="15" style="1" hidden="1" customWidth="1" outlineLevel="2"/>
    <col min="410" max="412" width="16.28515625" style="1" hidden="1" customWidth="1" outlineLevel="2"/>
    <col min="413" max="413" width="15.28515625" style="1" hidden="1" customWidth="1" outlineLevel="2"/>
    <col min="414" max="414" width="16.28515625" style="1" hidden="1" customWidth="1" outlineLevel="2"/>
    <col min="415" max="415" width="5.28515625" style="1" bestFit="1" customWidth="1" collapsed="1"/>
    <col min="416" max="416" width="57" style="1" customWidth="1"/>
    <col min="417" max="417" width="11" style="1" customWidth="1"/>
    <col min="418" max="418" width="14.85546875" style="1" customWidth="1"/>
    <col min="419" max="419" width="15.7109375" style="1" bestFit="1" customWidth="1"/>
    <col min="420" max="420" width="14.28515625" style="1" bestFit="1" customWidth="1"/>
    <col min="421" max="421" width="14.7109375" style="1" bestFit="1" customWidth="1"/>
    <col min="422" max="422" width="15.28515625" style="1" bestFit="1" customWidth="1"/>
    <col min="423" max="423" width="15" style="1" bestFit="1" customWidth="1"/>
    <col min="424" max="424" width="15.28515625" style="1" bestFit="1" customWidth="1"/>
    <col min="425" max="428" width="13.42578125" style="1370" customWidth="1"/>
    <col min="429" max="430" width="13.42578125" style="1370" hidden="1" customWidth="1" outlineLevel="1"/>
    <col min="431" max="432" width="13.42578125" style="1" hidden="1" customWidth="1" outlineLevel="1"/>
    <col min="433" max="433" width="8.85546875" style="1" customWidth="1" collapsed="1"/>
    <col min="434" max="434" width="67.5703125" style="1" bestFit="1" customWidth="1"/>
    <col min="435" max="435" width="4.7109375" style="1" bestFit="1" customWidth="1"/>
    <col min="436" max="436" width="19.28515625" style="1" bestFit="1" customWidth="1"/>
    <col min="437" max="437" width="18.7109375" style="1" bestFit="1" customWidth="1"/>
    <col min="438" max="438" width="13.42578125" style="1" customWidth="1"/>
    <col min="439" max="439" width="14.140625" style="1" customWidth="1"/>
    <col min="440" max="440" width="13.42578125" style="1" customWidth="1"/>
    <col min="441" max="441" width="14.42578125" style="1" customWidth="1"/>
    <col min="442" max="442" width="13.42578125" style="1" customWidth="1"/>
    <col min="443" max="443" width="14.42578125" style="1" customWidth="1"/>
    <col min="444" max="444" width="13.42578125" style="1" customWidth="1"/>
    <col min="445" max="445" width="14.28515625" style="1" customWidth="1"/>
    <col min="446" max="446" width="13.42578125" style="1" customWidth="1"/>
    <col min="447" max="450" width="13.42578125" style="1" hidden="1" customWidth="1" outlineLevel="1"/>
    <col min="451" max="451" width="5.7109375" customWidth="1" collapsed="1"/>
    <col min="452" max="452" width="5.5703125" customWidth="1" collapsed="1"/>
    <col min="453" max="453" width="54.42578125" customWidth="1"/>
    <col min="454" max="454" width="5.28515625" customWidth="1"/>
    <col min="455" max="455" width="15.28515625" customWidth="1"/>
    <col min="456" max="456" width="14.7109375" bestFit="1" customWidth="1"/>
    <col min="457" max="457" width="14.28515625" customWidth="1"/>
    <col min="458" max="464" width="17.28515625" customWidth="1"/>
    <col min="465" max="465" width="19.28515625" customWidth="1"/>
    <col min="466" max="466" width="15.28515625" hidden="1" customWidth="1" outlineLevel="1"/>
    <col min="467" max="469" width="19.5703125" hidden="1" customWidth="1" outlineLevel="1"/>
    <col min="470" max="470" width="5.28515625" style="1" bestFit="1" customWidth="1" collapsed="1"/>
    <col min="471" max="471" width="59.140625" style="1" customWidth="1"/>
    <col min="472" max="472" width="5.7109375" style="1" customWidth="1"/>
    <col min="473" max="473" width="14.7109375" style="1" customWidth="1"/>
    <col min="474" max="474" width="13.42578125" style="1" customWidth="1"/>
    <col min="475" max="475" width="16" style="1" bestFit="1" customWidth="1"/>
    <col min="476" max="476" width="15" style="1" bestFit="1" customWidth="1"/>
    <col min="477" max="483" width="16" style="1" bestFit="1" customWidth="1"/>
    <col min="484" max="486" width="16" style="1" hidden="1" customWidth="1" outlineLevel="1"/>
    <col min="487" max="487" width="15.42578125" style="1" hidden="1" customWidth="1" outlineLevel="1"/>
    <col min="488" max="488" width="9.28515625" bestFit="1" customWidth="1" collapsed="1"/>
    <col min="489" max="489" width="60.85546875" customWidth="1"/>
    <col min="490" max="490" width="5.28515625" bestFit="1" customWidth="1"/>
    <col min="491" max="491" width="15.7109375" bestFit="1" customWidth="1"/>
    <col min="492" max="492" width="14.5703125" bestFit="1" customWidth="1"/>
    <col min="493" max="493" width="18.28515625" bestFit="1" customWidth="1"/>
    <col min="494" max="494" width="16.28515625" bestFit="1" customWidth="1"/>
    <col min="495" max="495" width="18.28515625" bestFit="1" customWidth="1"/>
    <col min="496" max="496" width="16.28515625" bestFit="1" customWidth="1"/>
    <col min="497" max="497" width="18.28515625" bestFit="1" customWidth="1"/>
    <col min="498" max="498" width="16.28515625" bestFit="1" customWidth="1"/>
    <col min="499" max="499" width="18.28515625" bestFit="1" customWidth="1"/>
    <col min="500" max="500" width="16.28515625" bestFit="1" customWidth="1"/>
    <col min="501" max="501" width="18.28515625" bestFit="1" customWidth="1"/>
    <col min="502" max="503" width="18.28515625" hidden="1" customWidth="1" outlineLevel="1"/>
    <col min="504" max="504" width="16.28515625" hidden="1" customWidth="1" outlineLevel="1"/>
    <col min="505" max="505" width="21.7109375" hidden="1" customWidth="1" outlineLevel="1"/>
    <col min="506" max="506" width="9.28515625" collapsed="1"/>
    <col min="507" max="507" width="58" bestFit="1" customWidth="1"/>
    <col min="508" max="508" width="4.7109375" bestFit="1" customWidth="1"/>
    <col min="510" max="510" width="15.7109375" bestFit="1" customWidth="1"/>
    <col min="511" max="511" width="16.42578125" bestFit="1" customWidth="1"/>
    <col min="512" max="512" width="17.5703125" bestFit="1" customWidth="1"/>
    <col min="513" max="517" width="17.28515625" bestFit="1" customWidth="1"/>
    <col min="518" max="518" width="18.42578125" bestFit="1" customWidth="1"/>
    <col min="519" max="519" width="23.140625" customWidth="1"/>
    <col min="520" max="521" width="18" hidden="1" customWidth="1" outlineLevel="1"/>
    <col min="522" max="522" width="17.42578125" hidden="1" customWidth="1" outlineLevel="1"/>
    <col min="523" max="523" width="22.7109375" hidden="1" customWidth="1" outlineLevel="1"/>
    <col min="524" max="524" width="3.7109375" customWidth="1" collapsed="1"/>
    <col min="525" max="525" width="9.28515625" customWidth="1"/>
    <col min="526" max="526" width="27.7109375" bestFit="1" customWidth="1"/>
    <col min="527" max="527" width="5.28515625" bestFit="1" customWidth="1"/>
    <col min="528" max="528" width="15.7109375" customWidth="1"/>
    <col min="529" max="529" width="17.28515625" customWidth="1"/>
    <col min="530" max="530" width="16.42578125" customWidth="1"/>
    <col min="531" max="531" width="14.42578125" style="1" customWidth="1"/>
    <col min="532" max="532" width="16.42578125" style="1" customWidth="1"/>
    <col min="533" max="533" width="14.42578125" style="1" customWidth="1"/>
    <col min="534" max="534" width="16.42578125" style="1" customWidth="1"/>
    <col min="535" max="535" width="14.28515625" style="1" customWidth="1"/>
    <col min="536" max="536" width="16.42578125" style="1" customWidth="1"/>
    <col min="537" max="537" width="15" style="1" customWidth="1"/>
    <col min="538" max="538" width="16.42578125" style="1" customWidth="1"/>
    <col min="539" max="540" width="16.42578125" style="1" hidden="1" customWidth="1" outlineLevel="1"/>
    <col min="541" max="541" width="15" style="1" hidden="1" customWidth="1" outlineLevel="1"/>
    <col min="542" max="542" width="16.42578125" style="1" hidden="1" customWidth="1" outlineLevel="1"/>
    <col min="543" max="543" width="10" style="1" customWidth="1" collapsed="1"/>
    <col min="544" max="544" width="9.28515625" style="1"/>
    <col min="545" max="545" width="47.42578125" style="1" bestFit="1" customWidth="1"/>
    <col min="546" max="546" width="9.28515625" style="1"/>
    <col min="547" max="547" width="16.28515625" style="1" customWidth="1"/>
    <col min="548" max="548" width="15" style="1" customWidth="1"/>
    <col min="549" max="549" width="14.28515625" style="1" customWidth="1"/>
    <col min="550" max="550" width="14.28515625" style="1" hidden="1" customWidth="1" outlineLevel="1"/>
    <col min="551" max="561" width="0" style="1" hidden="1" customWidth="1" outlineLevel="1"/>
    <col min="562" max="562" width="4.5703125" style="1" customWidth="1" collapsed="1"/>
    <col min="563" max="563" width="7.5703125" style="1" customWidth="1"/>
    <col min="564" max="564" width="53.5703125" style="1" customWidth="1"/>
    <col min="565" max="565" width="5.42578125" style="1" customWidth="1"/>
    <col min="566" max="566" width="15.7109375" style="1" bestFit="1" customWidth="1"/>
    <col min="567" max="567" width="14.7109375" style="1" bestFit="1" customWidth="1"/>
    <col min="568" max="568" width="13.7109375" style="1" bestFit="1" customWidth="1"/>
    <col min="569" max="569" width="14.7109375" style="1" bestFit="1" customWidth="1"/>
    <col min="570" max="570" width="14.5703125" style="1" bestFit="1" customWidth="1"/>
    <col min="571" max="571" width="15" style="1" bestFit="1" customWidth="1"/>
    <col min="572" max="572" width="13.7109375" style="1" bestFit="1" customWidth="1"/>
    <col min="573" max="573" width="15" style="1" bestFit="1" customWidth="1"/>
    <col min="574" max="574" width="13.7109375" style="1" bestFit="1" customWidth="1"/>
    <col min="575" max="575" width="15" style="1" bestFit="1" customWidth="1"/>
    <col min="576" max="576" width="13.7109375" style="1" customWidth="1"/>
    <col min="577" max="580" width="9.28515625" style="1" hidden="1" customWidth="1" outlineLevel="1"/>
    <col min="581" max="581" width="9.28515625" style="1" collapsed="1"/>
    <col min="582" max="582" width="6.28515625" style="1" hidden="1" customWidth="1" outlineLevel="1"/>
    <col min="583" max="583" width="49.5703125" style="1" hidden="1" customWidth="1" outlineLevel="1"/>
    <col min="584" max="584" width="5.5703125" style="1" hidden="1" customWidth="1" outlineLevel="1"/>
    <col min="585" max="585" width="16.7109375" style="1" hidden="1" customWidth="1" outlineLevel="1"/>
    <col min="586" max="586" width="15.7109375" style="1" hidden="1" customWidth="1" outlineLevel="1"/>
    <col min="587" max="587" width="14.5703125" style="1" hidden="1" customWidth="1" outlineLevel="1"/>
    <col min="588" max="588" width="15.7109375" style="1" hidden="1" customWidth="1" outlineLevel="1"/>
    <col min="589" max="589" width="14.5703125" style="1" hidden="1" customWidth="1" outlineLevel="1"/>
    <col min="590" max="590" width="15.85546875" style="1" hidden="1" customWidth="1" outlineLevel="1"/>
    <col min="591" max="591" width="13.7109375" style="1" hidden="1" customWidth="1" outlineLevel="1"/>
    <col min="592" max="592" width="15.85546875" style="1" hidden="1" customWidth="1" outlineLevel="1"/>
    <col min="593" max="593" width="13.7109375" style="1" hidden="1" customWidth="1" outlineLevel="1"/>
    <col min="594" max="595" width="15.85546875" style="1" hidden="1" customWidth="1" outlineLevel="1"/>
    <col min="596" max="596" width="3.42578125" style="1" customWidth="1" collapsed="1"/>
    <col min="597" max="597" width="9.28515625" style="1"/>
    <col min="598" max="598" width="43.85546875" style="1" customWidth="1"/>
    <col min="599" max="599" width="5" style="1" customWidth="1"/>
    <col min="600" max="600" width="16.7109375" style="1" bestFit="1" customWidth="1"/>
    <col min="601" max="601" width="15.7109375" style="1" bestFit="1" customWidth="1"/>
    <col min="602" max="602" width="14.5703125" style="1" bestFit="1" customWidth="1"/>
    <col min="603" max="603" width="15.7109375" style="1" bestFit="1" customWidth="1"/>
    <col min="604" max="604" width="14.5703125" style="1" bestFit="1" customWidth="1"/>
    <col min="605" max="605" width="15.85546875" style="1" bestFit="1" customWidth="1"/>
    <col min="606" max="606" width="13.28515625" style="1" customWidth="1"/>
    <col min="607" max="607" width="15.85546875" style="1" bestFit="1" customWidth="1"/>
    <col min="608" max="608" width="13.7109375" style="1" bestFit="1" customWidth="1"/>
    <col min="609" max="609" width="14.140625" style="1" customWidth="1"/>
    <col min="610" max="610" width="16.28515625" style="1" customWidth="1"/>
    <col min="611" max="611" width="3.7109375" style="1" customWidth="1"/>
    <col min="612" max="612" width="9.28515625" style="1"/>
    <col min="613" max="613" width="44" style="1" customWidth="1"/>
    <col min="614" max="614" width="5" style="1" customWidth="1"/>
    <col min="615" max="615" width="16.7109375" style="1" bestFit="1" customWidth="1"/>
    <col min="616" max="616" width="15.7109375" style="1" bestFit="1" customWidth="1"/>
    <col min="617" max="617" width="14.5703125" style="1" bestFit="1" customWidth="1"/>
    <col min="618" max="618" width="15.7109375" style="1" bestFit="1" customWidth="1"/>
    <col min="619" max="619" width="14.5703125" style="1" bestFit="1" customWidth="1"/>
    <col min="620" max="620" width="15.85546875" style="1" bestFit="1" customWidth="1"/>
    <col min="621" max="621" width="12.5703125" style="1" customWidth="1"/>
    <col min="622" max="622" width="15.85546875" style="1" bestFit="1" customWidth="1"/>
    <col min="623" max="623" width="13.7109375" style="1" bestFit="1" customWidth="1"/>
    <col min="624" max="624" width="14.28515625" style="1" bestFit="1" customWidth="1"/>
    <col min="625" max="625" width="16.28515625" style="1" customWidth="1"/>
    <col min="626" max="16384" width="9.28515625" style="1"/>
  </cols>
  <sheetData>
    <row r="1" spans="1:625" s="18" customFormat="1" ht="15.75" thickBot="1" x14ac:dyDescent="0.3">
      <c r="V1" s="1788">
        <f>ROUND(V71+V80,0)</f>
        <v>0</v>
      </c>
      <c r="W1" s="1788">
        <f>ROUND(W71+W80,0)</f>
        <v>0</v>
      </c>
      <c r="X1" s="1788">
        <f>X71+X80</f>
        <v>0</v>
      </c>
      <c r="Y1" s="1788">
        <f>Y71+Y80</f>
        <v>0</v>
      </c>
      <c r="Z1" s="1788">
        <f>Z71+Z80</f>
        <v>0</v>
      </c>
      <c r="AQ1" s="1788"/>
      <c r="AR1" s="1788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PI1" s="1787"/>
      <c r="PJ1" s="1787"/>
      <c r="PK1" s="1787"/>
      <c r="PL1" s="1787"/>
      <c r="PM1" s="1787"/>
      <c r="PN1" s="1787"/>
      <c r="QI1"/>
      <c r="QJ1" s="424"/>
      <c r="QK1" s="424"/>
      <c r="QL1" s="424"/>
      <c r="QM1" s="424"/>
      <c r="QN1" s="424"/>
      <c r="QO1" s="424"/>
      <c r="QP1" s="424"/>
      <c r="QQ1" s="424"/>
      <c r="QR1" s="424"/>
      <c r="QS1" s="424"/>
      <c r="QT1" s="424"/>
      <c r="QU1" s="424"/>
      <c r="QV1" s="424"/>
      <c r="QW1" s="424"/>
      <c r="QX1" s="424"/>
      <c r="QY1" s="424"/>
      <c r="QZ1" s="424"/>
      <c r="RA1" s="424"/>
      <c r="RT1" s="424"/>
      <c r="RU1" s="424"/>
      <c r="RV1" s="424"/>
      <c r="RW1" s="424"/>
      <c r="RX1" s="424"/>
      <c r="RY1" s="424"/>
      <c r="RZ1" s="424"/>
      <c r="SA1" s="424"/>
      <c r="SB1" s="424"/>
      <c r="SC1" s="424"/>
      <c r="SD1" s="424"/>
      <c r="SE1" s="424"/>
      <c r="SF1" s="424"/>
      <c r="SG1" s="424"/>
      <c r="SH1" s="424"/>
      <c r="SI1" s="424"/>
      <c r="SJ1" s="424"/>
      <c r="SK1" s="424"/>
      <c r="SL1" s="424"/>
      <c r="SM1" s="424"/>
      <c r="SN1" s="424"/>
      <c r="SO1" s="424"/>
      <c r="SP1" s="424"/>
      <c r="SQ1" s="424"/>
      <c r="SR1" s="424"/>
      <c r="SS1" s="424"/>
      <c r="ST1" s="424"/>
      <c r="SU1" s="424"/>
      <c r="SV1" s="424"/>
      <c r="SW1" s="424"/>
      <c r="SX1" s="424"/>
      <c r="SY1" s="424"/>
      <c r="SZ1" s="424"/>
      <c r="TA1" s="424"/>
      <c r="TB1" s="424"/>
      <c r="TC1" s="424"/>
      <c r="TD1" s="424"/>
      <c r="TE1" s="424"/>
      <c r="TF1" s="424"/>
      <c r="TG1" s="424"/>
      <c r="TH1" s="424"/>
      <c r="TI1" s="424"/>
      <c r="TJ1" s="424"/>
      <c r="TK1" s="424"/>
      <c r="TL1" s="424"/>
      <c r="TM1" s="424"/>
      <c r="TN1" s="424"/>
      <c r="TO1" s="424"/>
      <c r="TP1" s="424"/>
      <c r="TQ1" s="424"/>
      <c r="TR1" s="424"/>
      <c r="TS1" s="424"/>
      <c r="TT1" s="424"/>
      <c r="TU1" s="424"/>
      <c r="TV1" s="424"/>
      <c r="TW1" s="424"/>
      <c r="TX1" s="424"/>
      <c r="TY1" s="424"/>
      <c r="TZ1" s="424"/>
      <c r="UA1" s="424"/>
      <c r="UB1" s="424"/>
      <c r="UC1" s="424"/>
      <c r="UD1" s="424"/>
      <c r="UE1" s="424"/>
      <c r="UF1" s="424"/>
      <c r="UG1" s="424"/>
      <c r="UH1" s="424"/>
      <c r="UI1" s="424"/>
      <c r="UJ1" s="424"/>
      <c r="UK1" s="424"/>
      <c r="UL1" s="424"/>
      <c r="UM1" s="424"/>
      <c r="UN1" s="424"/>
      <c r="UO1" s="424"/>
      <c r="UQ1" s="424"/>
      <c r="UR1" s="424"/>
      <c r="US1" s="424"/>
      <c r="UT1" s="424"/>
      <c r="UU1" s="424"/>
      <c r="UV1" s="424"/>
      <c r="UW1" s="424"/>
      <c r="UX1" s="424"/>
      <c r="UY1" s="424"/>
      <c r="UZ1" s="424"/>
      <c r="VA1" s="424"/>
      <c r="VB1" s="424"/>
      <c r="VC1" s="424"/>
      <c r="VD1" s="424"/>
      <c r="VE1" s="424"/>
      <c r="VF1" s="424"/>
      <c r="VG1" s="424"/>
      <c r="VH1" s="424"/>
      <c r="VJ1" s="424"/>
      <c r="VK1" s="424"/>
      <c r="VL1" s="424"/>
      <c r="VM1" s="424"/>
      <c r="VN1" s="424"/>
      <c r="VO1" s="424"/>
      <c r="VP1" s="424"/>
      <c r="VQ1" s="424"/>
      <c r="VR1" s="424"/>
      <c r="VS1" s="424"/>
      <c r="VT1" s="424"/>
      <c r="VU1" s="424"/>
      <c r="VV1" s="424"/>
      <c r="VW1" s="424"/>
      <c r="VY1" s="424"/>
      <c r="VZ1" s="424"/>
      <c r="WA1" s="424"/>
      <c r="WB1" s="424"/>
      <c r="WC1" s="424"/>
      <c r="WD1" s="424"/>
      <c r="WE1" s="424"/>
      <c r="WF1" s="424"/>
      <c r="WG1" s="424"/>
      <c r="WH1" s="424"/>
      <c r="WI1" s="424"/>
      <c r="WJ1" s="424"/>
      <c r="WK1" s="424"/>
      <c r="WL1" s="424"/>
      <c r="WN1" s="424"/>
      <c r="WO1" s="424"/>
      <c r="WP1" s="424"/>
      <c r="WQ1" s="424"/>
      <c r="WR1" s="424"/>
      <c r="WS1" s="424"/>
      <c r="WT1" s="424"/>
      <c r="WU1" s="424"/>
      <c r="WV1" s="424"/>
      <c r="WW1" s="424"/>
      <c r="WX1" s="424"/>
      <c r="WY1" s="424"/>
      <c r="WZ1" s="424"/>
      <c r="XA1" s="424"/>
    </row>
    <row r="2" spans="1:625" customFormat="1" ht="14.1" customHeight="1" x14ac:dyDescent="0.25">
      <c r="A2" s="1"/>
      <c r="B2" s="1"/>
      <c r="C2" s="1"/>
      <c r="D2" s="1"/>
      <c r="E2" s="1"/>
      <c r="F2" s="1"/>
      <c r="G2" s="1"/>
      <c r="H2" s="1"/>
      <c r="I2" s="467"/>
      <c r="J2" s="467"/>
      <c r="K2" s="467"/>
      <c r="L2" s="467"/>
      <c r="M2" s="468"/>
      <c r="N2" s="469" t="s">
        <v>982</v>
      </c>
      <c r="O2" s="467"/>
      <c r="P2" s="467"/>
      <c r="S2" s="1"/>
      <c r="T2" s="1"/>
      <c r="U2" s="1"/>
      <c r="W2" s="468"/>
      <c r="X2" s="469" t="s">
        <v>982</v>
      </c>
      <c r="AW2" s="468"/>
      <c r="AX2" s="469" t="s">
        <v>982</v>
      </c>
      <c r="BO2" s="468"/>
      <c r="BP2" s="469" t="s">
        <v>982</v>
      </c>
      <c r="CG2" s="468"/>
      <c r="CH2" s="469" t="s">
        <v>982</v>
      </c>
      <c r="CQ2" s="468"/>
      <c r="CR2" s="469" t="s">
        <v>982</v>
      </c>
      <c r="DI2" s="468"/>
      <c r="DJ2" s="469" t="s">
        <v>982</v>
      </c>
      <c r="EA2" s="468"/>
      <c r="EB2" s="469" t="s">
        <v>982</v>
      </c>
      <c r="EU2" s="468"/>
      <c r="EV2" s="469" t="s">
        <v>982</v>
      </c>
      <c r="FK2" s="468"/>
      <c r="FL2" s="469" t="s">
        <v>982</v>
      </c>
      <c r="GK2" s="468"/>
      <c r="GL2" s="469" t="s">
        <v>982</v>
      </c>
      <c r="GU2" s="468"/>
      <c r="GV2" s="469" t="s">
        <v>982</v>
      </c>
      <c r="HM2" s="468"/>
      <c r="HN2" s="469" t="s">
        <v>982</v>
      </c>
      <c r="IE2" s="468"/>
      <c r="IF2" s="469" t="s">
        <v>982</v>
      </c>
      <c r="JE2" s="468"/>
      <c r="JF2" s="469" t="s">
        <v>982</v>
      </c>
      <c r="JO2" s="468"/>
      <c r="JP2" s="469" t="s">
        <v>982</v>
      </c>
      <c r="KG2" s="468"/>
      <c r="KH2" s="469" t="s">
        <v>982</v>
      </c>
      <c r="KY2" s="468"/>
      <c r="KZ2" s="469" t="s">
        <v>982</v>
      </c>
      <c r="LQ2" s="468"/>
      <c r="LR2" s="469" t="s">
        <v>982</v>
      </c>
      <c r="MI2" s="468"/>
      <c r="MJ2" s="469" t="s">
        <v>982</v>
      </c>
      <c r="NA2" s="468"/>
      <c r="NB2" s="469" t="s">
        <v>982</v>
      </c>
      <c r="OA2" s="468"/>
      <c r="OB2" s="469" t="s">
        <v>982</v>
      </c>
      <c r="OM2" s="468"/>
      <c r="ON2" s="469" t="s">
        <v>982</v>
      </c>
      <c r="PI2" s="1613"/>
      <c r="PJ2" s="1613"/>
      <c r="PK2" s="468"/>
      <c r="PL2" s="469" t="s">
        <v>982</v>
      </c>
      <c r="PM2" s="1613"/>
      <c r="PN2" s="1613"/>
      <c r="QC2" s="468"/>
      <c r="QD2" s="469" t="s">
        <v>982</v>
      </c>
      <c r="QJ2" s="424"/>
      <c r="QK2" s="424"/>
      <c r="QL2" s="424"/>
      <c r="QM2" s="424"/>
      <c r="QN2" s="424"/>
      <c r="QO2" s="424"/>
      <c r="QP2" s="424"/>
      <c r="QQ2" s="424"/>
      <c r="QR2" s="424"/>
      <c r="QS2" s="424"/>
      <c r="QT2" s="424"/>
      <c r="QU2" s="424"/>
      <c r="QV2" s="468"/>
      <c r="QW2" s="469" t="s">
        <v>982</v>
      </c>
      <c r="QZ2" s="467"/>
      <c r="RA2" s="467"/>
      <c r="RN2" s="468"/>
      <c r="RO2" s="469" t="s">
        <v>982</v>
      </c>
      <c r="RT2" s="424"/>
      <c r="RU2" s="424"/>
      <c r="RV2" s="424"/>
      <c r="RW2" s="424"/>
      <c r="RX2" s="424"/>
      <c r="RY2" s="424"/>
      <c r="RZ2" s="424"/>
      <c r="SA2" s="424"/>
      <c r="SB2" s="424"/>
      <c r="SC2" s="424"/>
      <c r="SD2" s="424"/>
      <c r="SE2" s="424"/>
      <c r="SF2" s="468"/>
      <c r="SG2" s="469" t="s">
        <v>982</v>
      </c>
      <c r="SH2" s="424"/>
      <c r="SI2" s="424"/>
      <c r="SL2" s="424"/>
      <c r="SM2" s="424"/>
      <c r="SN2" s="424"/>
      <c r="SO2" s="424"/>
      <c r="SP2" s="424"/>
      <c r="SQ2" s="424"/>
      <c r="SR2" s="424"/>
      <c r="SS2" s="424"/>
      <c r="ST2" s="424"/>
      <c r="SU2" s="424"/>
      <c r="SV2" s="424"/>
      <c r="SW2" s="424"/>
      <c r="SX2" s="468"/>
      <c r="SY2" s="469" t="s">
        <v>982</v>
      </c>
      <c r="SZ2" s="424"/>
      <c r="TA2" s="424"/>
      <c r="TD2" s="1786"/>
      <c r="TE2" s="424"/>
      <c r="TF2" s="424"/>
      <c r="TG2" s="424"/>
      <c r="TH2" s="424"/>
      <c r="TI2" s="424"/>
      <c r="TJ2" s="424"/>
      <c r="TK2" s="424"/>
      <c r="TL2" s="424"/>
      <c r="TM2" s="424"/>
      <c r="TN2" s="424"/>
      <c r="TO2" s="424"/>
      <c r="TP2" s="424"/>
      <c r="TQ2" s="468"/>
      <c r="TR2" s="469" t="s">
        <v>982</v>
      </c>
      <c r="TS2" s="424"/>
      <c r="TT2" s="424"/>
      <c r="TW2" s="424"/>
      <c r="TX2" s="424"/>
      <c r="TY2" s="424"/>
      <c r="TZ2" s="424"/>
      <c r="UA2" s="424"/>
      <c r="UB2" s="468"/>
      <c r="UC2" s="469" t="s">
        <v>982</v>
      </c>
      <c r="UD2" s="424"/>
      <c r="UE2" s="424"/>
      <c r="UF2" s="424"/>
      <c r="UG2" s="424"/>
      <c r="UH2" s="424"/>
      <c r="UI2" s="424"/>
      <c r="UL2" s="424"/>
      <c r="UM2" s="424"/>
      <c r="UQ2" s="424"/>
      <c r="UR2" s="424"/>
      <c r="US2" s="424"/>
      <c r="UT2" s="424"/>
      <c r="UU2" s="424"/>
      <c r="UV2" s="424"/>
      <c r="UW2" s="424"/>
      <c r="UX2" s="424"/>
      <c r="UY2" s="424"/>
      <c r="UZ2" s="424"/>
      <c r="VA2" s="424"/>
      <c r="VB2" s="424"/>
      <c r="VC2" s="468"/>
      <c r="VD2" s="469" t="s">
        <v>982</v>
      </c>
      <c r="VE2" s="424"/>
      <c r="VF2" s="424"/>
      <c r="VJ2" s="424"/>
      <c r="VK2" s="424"/>
      <c r="VL2" s="424"/>
      <c r="VM2" s="424"/>
      <c r="VN2" s="424"/>
      <c r="VO2" s="424"/>
      <c r="VP2" s="424"/>
      <c r="VQ2" s="424"/>
      <c r="VR2" s="424"/>
      <c r="VS2" s="424"/>
      <c r="VT2" s="424"/>
      <c r="VU2" s="424"/>
      <c r="VV2" s="468"/>
      <c r="VW2" s="469" t="s">
        <v>982</v>
      </c>
      <c r="VY2" s="424"/>
      <c r="VZ2" s="424"/>
      <c r="WA2" s="424"/>
      <c r="WB2" s="424"/>
      <c r="WC2" s="424"/>
      <c r="WD2" s="424"/>
      <c r="WE2" s="424"/>
      <c r="WF2" s="424"/>
      <c r="WG2" s="424"/>
      <c r="WH2" s="424"/>
      <c r="WI2" s="424"/>
      <c r="WJ2" s="424"/>
      <c r="WK2" s="468"/>
      <c r="WL2" s="469" t="s">
        <v>982</v>
      </c>
      <c r="WN2" s="424"/>
      <c r="WO2" s="424"/>
      <c r="WP2" s="424"/>
      <c r="WQ2" s="424"/>
      <c r="WR2" s="424"/>
      <c r="WS2" s="424"/>
      <c r="WT2" s="424"/>
      <c r="WU2" s="424"/>
      <c r="WV2" s="424"/>
      <c r="WW2" s="424"/>
      <c r="WX2" s="424"/>
      <c r="WY2" s="424"/>
      <c r="WZ2" s="468"/>
      <c r="XA2" s="469" t="s">
        <v>982</v>
      </c>
    </row>
    <row r="3" spans="1:625" customFormat="1" ht="15.75" thickBot="1" x14ac:dyDescent="0.3">
      <c r="A3" s="1"/>
      <c r="B3" s="1"/>
      <c r="C3" s="1"/>
      <c r="D3" s="1"/>
      <c r="E3" s="1"/>
      <c r="F3" s="1"/>
      <c r="H3" s="1"/>
      <c r="I3" s="470"/>
      <c r="J3" s="470"/>
      <c r="K3" s="470"/>
      <c r="L3" s="470"/>
      <c r="M3" s="471"/>
      <c r="N3" s="472" t="s">
        <v>1103</v>
      </c>
      <c r="O3" s="470"/>
      <c r="P3" s="470"/>
      <c r="S3" s="1"/>
      <c r="T3" s="1"/>
      <c r="U3" s="1"/>
      <c r="W3" s="471"/>
      <c r="X3" s="472" t="s">
        <v>1104</v>
      </c>
      <c r="AW3" s="471"/>
      <c r="AX3" s="472" t="s">
        <v>1105</v>
      </c>
      <c r="BO3" s="471"/>
      <c r="BP3" s="472" t="s">
        <v>1106</v>
      </c>
      <c r="CG3" s="471"/>
      <c r="CH3" s="472" t="s">
        <v>1107</v>
      </c>
      <c r="CQ3" s="471"/>
      <c r="CR3" s="472" t="s">
        <v>1108</v>
      </c>
      <c r="DI3" s="471"/>
      <c r="DJ3" s="472" t="s">
        <v>1109</v>
      </c>
      <c r="EA3" s="471"/>
      <c r="EB3" s="472" t="s">
        <v>1110</v>
      </c>
      <c r="EU3" s="471"/>
      <c r="EV3" s="472" t="s">
        <v>1111</v>
      </c>
      <c r="FK3" s="471"/>
      <c r="FL3" s="472" t="s">
        <v>1112</v>
      </c>
      <c r="GK3" s="471"/>
      <c r="GL3" s="472" t="s">
        <v>1113</v>
      </c>
      <c r="GU3" s="471"/>
      <c r="GV3" s="472" t="s">
        <v>1114</v>
      </c>
      <c r="HM3" s="471"/>
      <c r="HN3" s="472" t="s">
        <v>1115</v>
      </c>
      <c r="IE3" s="471"/>
      <c r="IF3" s="472" t="s">
        <v>1116</v>
      </c>
      <c r="JE3" s="471"/>
      <c r="JF3" s="472" t="s">
        <v>1117</v>
      </c>
      <c r="JO3" s="471"/>
      <c r="JP3" s="472" t="s">
        <v>1118</v>
      </c>
      <c r="KG3" s="471"/>
      <c r="KH3" s="472" t="s">
        <v>1119</v>
      </c>
      <c r="KY3" s="471"/>
      <c r="KZ3" s="472" t="s">
        <v>1120</v>
      </c>
      <c r="LQ3" s="471"/>
      <c r="LR3" s="472" t="s">
        <v>1121</v>
      </c>
      <c r="MI3" s="471"/>
      <c r="MJ3" s="472" t="s">
        <v>1122</v>
      </c>
      <c r="NA3" s="471"/>
      <c r="NB3" s="472" t="s">
        <v>1123</v>
      </c>
      <c r="OA3" s="471"/>
      <c r="OB3" s="472" t="s">
        <v>1124</v>
      </c>
      <c r="OM3" s="471"/>
      <c r="ON3" s="472" t="s">
        <v>1125</v>
      </c>
      <c r="PI3" s="1613"/>
      <c r="PJ3" s="1613"/>
      <c r="PK3" s="471"/>
      <c r="PL3" s="472" t="s">
        <v>1126</v>
      </c>
      <c r="PM3" s="1613"/>
      <c r="PN3" s="1613"/>
      <c r="QC3" s="471"/>
      <c r="QD3" s="472" t="s">
        <v>1127</v>
      </c>
      <c r="QJ3" s="424"/>
      <c r="QK3" s="424"/>
      <c r="QL3" s="424"/>
      <c r="QM3" s="424"/>
      <c r="QN3" s="424"/>
      <c r="QO3" s="424"/>
      <c r="QP3" s="424"/>
      <c r="QQ3" s="424"/>
      <c r="QR3" s="424"/>
      <c r="QS3" s="424"/>
      <c r="QT3" s="424"/>
      <c r="QU3" s="424"/>
      <c r="QV3" s="471"/>
      <c r="QW3" s="472" t="s">
        <v>1128</v>
      </c>
      <c r="QZ3" s="470"/>
      <c r="RA3" s="470"/>
      <c r="RN3" s="471"/>
      <c r="RO3" s="472" t="s">
        <v>1129</v>
      </c>
      <c r="RT3" s="424"/>
      <c r="RU3" s="424"/>
      <c r="RV3" s="424"/>
      <c r="RW3" s="424"/>
      <c r="RX3" s="424"/>
      <c r="RY3" s="424"/>
      <c r="RZ3" s="424"/>
      <c r="SA3" s="424"/>
      <c r="SB3" s="424"/>
      <c r="SC3" s="424"/>
      <c r="SD3" s="424"/>
      <c r="SE3" s="424"/>
      <c r="SF3" s="471"/>
      <c r="SG3" s="472" t="s">
        <v>1130</v>
      </c>
      <c r="SH3" s="424"/>
      <c r="SI3" s="424"/>
      <c r="SL3" s="424"/>
      <c r="SM3" s="424"/>
      <c r="SN3" s="424"/>
      <c r="SO3" s="424"/>
      <c r="SP3" s="424"/>
      <c r="SQ3" s="424"/>
      <c r="SR3" s="424"/>
      <c r="SS3" s="424"/>
      <c r="ST3" s="424"/>
      <c r="SU3" s="424"/>
      <c r="SV3" s="424"/>
      <c r="SW3" s="424"/>
      <c r="SX3" s="471"/>
      <c r="SY3" s="472" t="s">
        <v>1131</v>
      </c>
      <c r="SZ3" s="424"/>
      <c r="TA3" s="424"/>
      <c r="TD3" s="1785"/>
      <c r="TE3" s="424"/>
      <c r="TF3" s="424"/>
      <c r="TG3" s="424"/>
      <c r="TH3" s="424"/>
      <c r="TI3" s="424"/>
      <c r="TJ3" s="424"/>
      <c r="TK3" s="424"/>
      <c r="TL3" s="424"/>
      <c r="TM3" s="424"/>
      <c r="TN3" s="424"/>
      <c r="TO3" s="424"/>
      <c r="TP3" s="424"/>
      <c r="TQ3" s="471"/>
      <c r="TR3" s="472" t="s">
        <v>1132</v>
      </c>
      <c r="TS3" s="424"/>
      <c r="TT3" s="424"/>
      <c r="TW3" s="424"/>
      <c r="TX3" s="424"/>
      <c r="TY3" s="424"/>
      <c r="TZ3" s="424"/>
      <c r="UA3" s="424"/>
      <c r="UB3" s="471"/>
      <c r="UC3" s="472" t="s">
        <v>1133</v>
      </c>
      <c r="UD3" s="424"/>
      <c r="UE3" s="424"/>
      <c r="UF3" s="424"/>
      <c r="UG3" s="424"/>
      <c r="UH3" s="424"/>
      <c r="UI3" s="424"/>
      <c r="UL3" s="424"/>
      <c r="UM3" s="424"/>
      <c r="UQ3" s="424"/>
      <c r="UR3" s="424"/>
      <c r="US3" s="424"/>
      <c r="UT3" s="424"/>
      <c r="UU3" s="424"/>
      <c r="UV3" s="424"/>
      <c r="UW3" s="424"/>
      <c r="UX3" s="424"/>
      <c r="UY3" s="424"/>
      <c r="UZ3" s="424"/>
      <c r="VA3" s="424"/>
      <c r="VB3" s="424"/>
      <c r="VC3" s="471"/>
      <c r="VD3" s="472" t="s">
        <v>1134</v>
      </c>
      <c r="VE3" s="424"/>
      <c r="VF3" s="424"/>
      <c r="VJ3" s="424"/>
      <c r="VK3" s="424"/>
      <c r="VL3" s="424"/>
      <c r="VM3" s="424"/>
      <c r="VN3" s="424"/>
      <c r="VO3" s="424"/>
      <c r="VP3" s="424"/>
      <c r="VQ3" s="424"/>
      <c r="VR3" s="424"/>
      <c r="VS3" s="424"/>
      <c r="VT3" s="424"/>
      <c r="VU3" s="424"/>
      <c r="VV3" s="471"/>
      <c r="VW3" s="472" t="s">
        <v>981</v>
      </c>
      <c r="VY3" s="424"/>
      <c r="VZ3" s="424"/>
      <c r="WA3" s="424"/>
      <c r="WB3" s="424"/>
      <c r="WC3" s="424"/>
      <c r="WD3" s="424"/>
      <c r="WE3" s="424"/>
      <c r="WF3" s="424"/>
      <c r="WG3" s="424"/>
      <c r="WH3" s="424"/>
      <c r="WI3" s="424"/>
      <c r="WJ3" s="424"/>
      <c r="WK3" s="471"/>
      <c r="WL3" s="472" t="s">
        <v>1135</v>
      </c>
      <c r="WN3" s="424"/>
      <c r="WO3" s="424"/>
      <c r="WP3" s="424"/>
      <c r="WQ3" s="424"/>
      <c r="WR3" s="424"/>
      <c r="WS3" s="424"/>
      <c r="WT3" s="424"/>
      <c r="WU3" s="424"/>
      <c r="WV3" s="424"/>
      <c r="WW3" s="424"/>
      <c r="WX3" s="424"/>
      <c r="WY3" s="424"/>
      <c r="WZ3" s="471"/>
      <c r="XA3" s="472" t="s">
        <v>1136</v>
      </c>
    </row>
    <row r="4" spans="1:625" customFormat="1" ht="15.75" thickBot="1" x14ac:dyDescent="0.3">
      <c r="A4" s="467"/>
      <c r="B4" s="1"/>
      <c r="C4" s="467"/>
      <c r="D4" s="467"/>
      <c r="E4" s="467"/>
      <c r="F4" s="467"/>
      <c r="H4" s="1"/>
      <c r="I4" s="1"/>
      <c r="J4" s="1"/>
      <c r="K4" s="1"/>
      <c r="L4" s="1"/>
      <c r="M4" s="1228" t="s">
        <v>175</v>
      </c>
      <c r="N4" s="1229">
        <v>36.010000000000005</v>
      </c>
      <c r="O4" s="1"/>
      <c r="P4" s="1"/>
      <c r="S4" s="1"/>
      <c r="T4" s="1"/>
      <c r="U4" s="1"/>
      <c r="W4" s="1228" t="s">
        <v>175</v>
      </c>
      <c r="X4" s="1229">
        <v>36.020000000000003</v>
      </c>
      <c r="AO4" s="1228" t="s">
        <v>175</v>
      </c>
      <c r="AP4" s="1229">
        <v>36.03</v>
      </c>
      <c r="AW4" s="473" t="s">
        <v>175</v>
      </c>
      <c r="AX4" s="474">
        <v>36.03</v>
      </c>
      <c r="BO4" s="1228" t="s">
        <v>175</v>
      </c>
      <c r="BP4" s="1229">
        <v>36.040000000000006</v>
      </c>
      <c r="CG4" s="1228" t="s">
        <v>175</v>
      </c>
      <c r="CH4" s="1229">
        <v>36.050000000000011</v>
      </c>
      <c r="CQ4" s="1228" t="s">
        <v>175</v>
      </c>
      <c r="CR4" s="1229">
        <v>36.060000000000009</v>
      </c>
      <c r="DI4" s="1228" t="s">
        <v>175</v>
      </c>
      <c r="DJ4" s="1229">
        <v>36.070000000000007</v>
      </c>
      <c r="EA4" s="1228" t="s">
        <v>175</v>
      </c>
      <c r="EB4" s="1229">
        <v>36.080000000000013</v>
      </c>
      <c r="EU4" s="1228" t="s">
        <v>175</v>
      </c>
      <c r="EV4" s="1229">
        <v>36.090000000000018</v>
      </c>
      <c r="FK4" s="1228" t="s">
        <v>175</v>
      </c>
      <c r="FL4" s="1229">
        <v>36.100000000000016</v>
      </c>
      <c r="GK4" s="1228" t="s">
        <v>175</v>
      </c>
      <c r="GL4" s="1229">
        <v>36.110000000000014</v>
      </c>
      <c r="GU4" s="1228" t="s">
        <v>175</v>
      </c>
      <c r="GV4" s="1229">
        <v>36.120000000000019</v>
      </c>
      <c r="HM4" s="1228" t="s">
        <v>175</v>
      </c>
      <c r="HN4" s="1229">
        <v>36.130000000000024</v>
      </c>
      <c r="IE4" s="1228" t="s">
        <v>175</v>
      </c>
      <c r="IF4" s="1229">
        <v>36.140000000000022</v>
      </c>
      <c r="JE4" s="1228" t="s">
        <v>175</v>
      </c>
      <c r="JF4" s="1229">
        <v>36.15000000000002</v>
      </c>
      <c r="JO4" s="1228" t="s">
        <v>175</v>
      </c>
      <c r="JP4" s="1229">
        <v>36.160000000000025</v>
      </c>
      <c r="KG4" s="1228" t="s">
        <v>175</v>
      </c>
      <c r="KH4" s="1229">
        <v>36.17000000000003</v>
      </c>
      <c r="KY4" s="1228" t="s">
        <v>175</v>
      </c>
      <c r="KZ4" s="1229">
        <v>36.180000000000028</v>
      </c>
      <c r="LQ4" s="1228" t="s">
        <v>175</v>
      </c>
      <c r="LR4" s="1229">
        <v>36.190000000000026</v>
      </c>
      <c r="MI4" s="1228" t="s">
        <v>175</v>
      </c>
      <c r="MJ4" s="1229">
        <v>36.200000000000031</v>
      </c>
      <c r="NA4" s="1228" t="s">
        <v>175</v>
      </c>
      <c r="NB4" s="1229">
        <v>36.210000000000036</v>
      </c>
      <c r="OA4" s="1228" t="s">
        <v>175</v>
      </c>
      <c r="OB4" s="1229">
        <v>36.220000000000034</v>
      </c>
      <c r="OM4" s="1228" t="s">
        <v>175</v>
      </c>
      <c r="ON4" s="1229">
        <v>36.230000000000032</v>
      </c>
      <c r="PI4" s="1613"/>
      <c r="PJ4" s="1613"/>
      <c r="PK4" s="1228" t="s">
        <v>175</v>
      </c>
      <c r="PL4" s="1229">
        <v>36.240000000000038</v>
      </c>
      <c r="PM4" s="1613"/>
      <c r="PN4" s="1613"/>
      <c r="QC4" s="1228" t="s">
        <v>175</v>
      </c>
      <c r="QD4" s="1229">
        <v>36.250000000000043</v>
      </c>
      <c r="QJ4" s="424"/>
      <c r="QK4" s="424"/>
      <c r="QL4" s="424"/>
      <c r="QM4" s="424"/>
      <c r="QN4" s="424"/>
      <c r="QO4" s="424"/>
      <c r="QP4" s="424"/>
      <c r="QQ4" s="424"/>
      <c r="QR4" s="424"/>
      <c r="QS4" s="424"/>
      <c r="QT4" s="424"/>
      <c r="QU4" s="424"/>
      <c r="QV4" s="1228" t="s">
        <v>175</v>
      </c>
      <c r="QW4" s="1229">
        <v>36.260000000000041</v>
      </c>
      <c r="QZ4" s="922"/>
      <c r="RA4" s="922"/>
      <c r="RN4" s="1228" t="s">
        <v>175</v>
      </c>
      <c r="RO4" s="1229">
        <v>36.270000000000039</v>
      </c>
      <c r="RT4" s="424"/>
      <c r="RU4" s="424"/>
      <c r="RV4" s="424"/>
      <c r="RW4" s="424"/>
      <c r="RX4" s="424"/>
      <c r="RY4" s="424"/>
      <c r="RZ4" s="424"/>
      <c r="SA4" s="424"/>
      <c r="SB4" s="424"/>
      <c r="SC4" s="424"/>
      <c r="SD4" s="424"/>
      <c r="SE4" s="424"/>
      <c r="SF4" s="1228" t="s">
        <v>175</v>
      </c>
      <c r="SG4" s="1229">
        <v>36.280000000000044</v>
      </c>
      <c r="SH4" s="424"/>
      <c r="SI4" s="424"/>
      <c r="SL4" s="424"/>
      <c r="SM4" s="424"/>
      <c r="SN4" s="424"/>
      <c r="SO4" s="424"/>
      <c r="SP4" s="424"/>
      <c r="SQ4" s="424"/>
      <c r="SR4" s="424"/>
      <c r="SS4" s="424"/>
      <c r="ST4" s="424"/>
      <c r="SU4" s="424"/>
      <c r="SV4" s="424"/>
      <c r="SW4" s="424"/>
      <c r="SX4" s="1228" t="s">
        <v>176</v>
      </c>
      <c r="SY4" s="1230" t="s">
        <v>980</v>
      </c>
      <c r="SZ4" s="424"/>
      <c r="TA4" s="424"/>
      <c r="TD4" s="424"/>
      <c r="TE4" s="424"/>
      <c r="TF4" s="424"/>
      <c r="TG4" s="424"/>
      <c r="TH4" s="424"/>
      <c r="TI4" s="424"/>
      <c r="TJ4" s="424"/>
      <c r="TK4" s="424"/>
      <c r="TL4" s="424"/>
      <c r="TM4" s="424"/>
      <c r="TN4" s="424"/>
      <c r="TO4" s="424"/>
      <c r="TP4" s="424"/>
      <c r="TQ4" s="1228" t="s">
        <v>176</v>
      </c>
      <c r="TR4" s="1229">
        <v>36.350000000000051</v>
      </c>
      <c r="TS4" s="424"/>
      <c r="TT4" s="424"/>
      <c r="TW4" s="424"/>
      <c r="TX4" s="424"/>
      <c r="TY4" s="424"/>
      <c r="TZ4" s="424"/>
      <c r="UA4" s="424"/>
      <c r="UB4" s="1228" t="s">
        <v>176</v>
      </c>
      <c r="UC4" s="1230">
        <v>36.330000000000055</v>
      </c>
      <c r="UD4" s="424"/>
      <c r="UE4" s="424"/>
      <c r="UF4" s="424"/>
      <c r="UG4" s="424"/>
      <c r="UH4" s="424"/>
      <c r="UI4" s="424"/>
      <c r="UL4" s="424"/>
      <c r="UM4" s="424"/>
      <c r="UQ4" s="424"/>
      <c r="UR4" s="424"/>
      <c r="US4" s="424"/>
      <c r="UT4" s="424"/>
      <c r="UU4" s="424"/>
      <c r="UV4" s="424"/>
      <c r="UW4" s="424"/>
      <c r="UX4" s="424"/>
      <c r="UY4" s="424"/>
      <c r="UZ4" s="424"/>
      <c r="VA4" s="424"/>
      <c r="VB4" s="424"/>
      <c r="VC4" s="1228" t="s">
        <v>176</v>
      </c>
      <c r="VD4" s="1230">
        <v>36.340000000000053</v>
      </c>
      <c r="VE4" s="424"/>
      <c r="VF4" s="424"/>
      <c r="VJ4" s="424"/>
      <c r="VK4" s="424"/>
      <c r="VL4" s="424"/>
      <c r="VM4" s="424"/>
      <c r="VN4" s="424"/>
      <c r="VO4" s="424"/>
      <c r="VP4" s="424"/>
      <c r="VQ4" s="424"/>
      <c r="VR4" s="424"/>
      <c r="VS4" s="424"/>
      <c r="VT4" s="424"/>
      <c r="VU4" s="424"/>
      <c r="VV4" s="473" t="s">
        <v>176</v>
      </c>
      <c r="VW4" s="1784">
        <v>36.360000000000056</v>
      </c>
      <c r="VY4" s="424"/>
      <c r="VZ4" s="424"/>
      <c r="WA4" s="424"/>
      <c r="WB4" s="424"/>
      <c r="WC4" s="424"/>
      <c r="WD4" s="424"/>
      <c r="WE4" s="424"/>
      <c r="WF4" s="424"/>
      <c r="WG4" s="424"/>
      <c r="WH4" s="424"/>
      <c r="WI4" s="424"/>
      <c r="WJ4" s="424"/>
      <c r="WK4" s="1228" t="s">
        <v>176</v>
      </c>
      <c r="WL4" s="1230">
        <v>36.370000000000061</v>
      </c>
      <c r="WN4" s="424"/>
      <c r="WO4" s="424"/>
      <c r="WP4" s="424"/>
      <c r="WQ4" s="424"/>
      <c r="WR4" s="424"/>
      <c r="WS4" s="424"/>
      <c r="WT4" s="424"/>
      <c r="WU4" s="424"/>
      <c r="WV4" s="424"/>
      <c r="WW4" s="424"/>
      <c r="WX4" s="424"/>
      <c r="WY4" s="424"/>
      <c r="WZ4" s="1228" t="s">
        <v>176</v>
      </c>
      <c r="XA4" s="1230">
        <v>36.369999999999997</v>
      </c>
    </row>
    <row r="5" spans="1:625" s="477" customFormat="1" x14ac:dyDescent="0.25">
      <c r="A5" s="6" t="s">
        <v>847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7"/>
      <c r="P5" s="7"/>
      <c r="Q5" s="7"/>
      <c r="R5" s="7"/>
      <c r="S5" s="6" t="s">
        <v>847</v>
      </c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/>
      <c r="AH5" s="7"/>
      <c r="AI5" s="7"/>
      <c r="AJ5" s="7"/>
      <c r="AK5" s="6" t="s">
        <v>847</v>
      </c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7"/>
      <c r="AZ5" s="7"/>
      <c r="BA5" s="7"/>
      <c r="BB5" s="7"/>
      <c r="BC5" s="6" t="s">
        <v>847</v>
      </c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7"/>
      <c r="BR5" s="7"/>
      <c r="BS5" s="7"/>
      <c r="BT5" s="7"/>
      <c r="BU5" s="6" t="s">
        <v>847</v>
      </c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7"/>
      <c r="CJ5" s="7"/>
      <c r="CK5" s="7"/>
      <c r="CL5" s="7"/>
      <c r="CM5" s="6" t="s">
        <v>847</v>
      </c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6" t="s">
        <v>847</v>
      </c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7"/>
      <c r="DT5" s="7"/>
      <c r="DU5" s="7"/>
      <c r="DV5" s="7"/>
      <c r="DW5" s="6" t="s">
        <v>847</v>
      </c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7"/>
      <c r="EL5" s="7"/>
      <c r="EM5" s="7"/>
      <c r="EN5" s="7"/>
      <c r="EO5" s="6" t="s">
        <v>847</v>
      </c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7"/>
      <c r="FD5" s="7"/>
      <c r="FE5" s="7"/>
      <c r="FF5" s="7"/>
      <c r="FG5" s="6" t="s">
        <v>847</v>
      </c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7"/>
      <c r="FV5" s="7"/>
      <c r="FW5" s="7"/>
      <c r="FX5" s="7"/>
      <c r="FY5" s="6" t="s">
        <v>847</v>
      </c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7"/>
      <c r="GN5" s="7"/>
      <c r="GO5" s="7"/>
      <c r="GP5" s="7"/>
      <c r="GQ5" s="6" t="s">
        <v>847</v>
      </c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7"/>
      <c r="HF5" s="7"/>
      <c r="HG5" s="7"/>
      <c r="HH5" s="7"/>
      <c r="HI5" s="6" t="s">
        <v>847</v>
      </c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7"/>
      <c r="HX5" s="7"/>
      <c r="HY5" s="7"/>
      <c r="HZ5" s="7"/>
      <c r="IA5" s="6" t="s">
        <v>847</v>
      </c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7"/>
      <c r="IP5" s="7"/>
      <c r="IQ5" s="7"/>
      <c r="IR5" s="7"/>
      <c r="IS5" s="6" t="s">
        <v>847</v>
      </c>
      <c r="IT5" s="6"/>
      <c r="IU5" s="6"/>
      <c r="IV5" s="6"/>
      <c r="IW5" s="6"/>
      <c r="IX5" s="6"/>
      <c r="IY5" s="6"/>
      <c r="IZ5" s="6"/>
      <c r="JA5" s="6"/>
      <c r="JB5" s="6"/>
      <c r="JC5" s="1774"/>
      <c r="JD5" s="1774"/>
      <c r="JE5" s="6"/>
      <c r="JF5" s="6"/>
      <c r="JG5" s="7"/>
      <c r="JH5" s="7"/>
      <c r="JI5" s="7"/>
      <c r="JJ5" s="7"/>
      <c r="JK5" s="6" t="s">
        <v>847</v>
      </c>
      <c r="JL5" s="6"/>
      <c r="JM5" s="6"/>
      <c r="JN5" s="6"/>
      <c r="JO5" s="1774"/>
      <c r="JP5" s="1774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 t="s">
        <v>847</v>
      </c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7"/>
      <c r="KR5" s="7"/>
      <c r="KS5" s="7"/>
      <c r="KT5" s="7"/>
      <c r="KU5" s="6" t="s">
        <v>847</v>
      </c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7"/>
      <c r="LJ5" s="7"/>
      <c r="LK5" s="7"/>
      <c r="LL5" s="7"/>
      <c r="LM5" s="6" t="s">
        <v>847</v>
      </c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7"/>
      <c r="MB5" s="7"/>
      <c r="MC5" s="7"/>
      <c r="MD5" s="7"/>
      <c r="ME5" s="6" t="s">
        <v>847</v>
      </c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7"/>
      <c r="MT5" s="7"/>
      <c r="MU5" s="7"/>
      <c r="MV5" s="7"/>
      <c r="MW5" s="6" t="s">
        <v>847</v>
      </c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7"/>
      <c r="NL5" s="7"/>
      <c r="NM5" s="7"/>
      <c r="NN5" s="7"/>
      <c r="NO5" s="6" t="s">
        <v>847</v>
      </c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7"/>
      <c r="OD5" s="7"/>
      <c r="OE5" s="7"/>
      <c r="OF5" s="7"/>
      <c r="OG5" s="6" t="s">
        <v>847</v>
      </c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7"/>
      <c r="OV5" s="7"/>
      <c r="OW5" s="7"/>
      <c r="OX5" s="7"/>
      <c r="OY5" s="6" t="s">
        <v>847</v>
      </c>
      <c r="OZ5" s="6"/>
      <c r="PA5" s="6"/>
      <c r="PB5" s="6"/>
      <c r="PC5" s="6"/>
      <c r="PD5" s="6"/>
      <c r="PE5" s="6"/>
      <c r="PF5" s="6"/>
      <c r="PG5" s="6"/>
      <c r="PH5" s="6"/>
      <c r="PI5" s="1776"/>
      <c r="PJ5" s="1776"/>
      <c r="PK5" s="1776"/>
      <c r="PL5" s="1776"/>
      <c r="PM5" s="1775"/>
      <c r="PN5" s="1775"/>
      <c r="PO5" s="7"/>
      <c r="PP5" s="7"/>
      <c r="PQ5" s="6" t="s">
        <v>847</v>
      </c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7"/>
      <c r="QF5" s="7"/>
      <c r="QG5" s="7"/>
      <c r="QH5" s="7"/>
      <c r="QI5" s="1774"/>
      <c r="QJ5" s="6" t="s">
        <v>847</v>
      </c>
      <c r="QK5" s="1771"/>
      <c r="QL5" s="1771"/>
      <c r="QM5" s="1771"/>
      <c r="QN5" s="1771"/>
      <c r="QO5" s="1771"/>
      <c r="QP5" s="1771"/>
      <c r="QQ5" s="1771"/>
      <c r="QR5" s="1771"/>
      <c r="QS5" s="1771"/>
      <c r="QT5" s="1771"/>
      <c r="QU5" s="1771"/>
      <c r="QV5" s="1771"/>
      <c r="QW5" s="1771"/>
      <c r="QX5" s="313"/>
      <c r="QY5" s="313"/>
      <c r="QZ5" s="313"/>
      <c r="RA5" s="313"/>
      <c r="RB5" s="6" t="s">
        <v>847</v>
      </c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7"/>
      <c r="RQ5" s="7"/>
      <c r="RR5" s="7"/>
      <c r="RS5" s="7"/>
      <c r="RT5" s="6" t="s">
        <v>847</v>
      </c>
      <c r="RU5" s="1771"/>
      <c r="RV5" s="1771"/>
      <c r="RW5" s="1771"/>
      <c r="RX5" s="1771"/>
      <c r="RY5" s="1771"/>
      <c r="RZ5" s="1771"/>
      <c r="SA5" s="1771"/>
      <c r="SB5" s="1771"/>
      <c r="SC5" s="1771"/>
      <c r="SD5" s="1771"/>
      <c r="SE5" s="1771"/>
      <c r="SF5" s="1771"/>
      <c r="SG5" s="1771"/>
      <c r="SH5" s="313"/>
      <c r="SI5" s="313"/>
      <c r="SJ5" s="313"/>
      <c r="SK5" s="313"/>
      <c r="SL5" s="6" t="s">
        <v>847</v>
      </c>
      <c r="SM5" s="1773"/>
      <c r="SN5" s="1773"/>
      <c r="SO5" s="1773"/>
      <c r="SP5" s="1773"/>
      <c r="SQ5" s="1773"/>
      <c r="SR5" s="1773"/>
      <c r="SS5" s="1773"/>
      <c r="ST5" s="1773"/>
      <c r="SU5" s="1773"/>
      <c r="SV5" s="1773"/>
      <c r="SW5" s="1773"/>
      <c r="SX5" s="1773"/>
      <c r="SY5" s="1773"/>
      <c r="SZ5" s="1772"/>
      <c r="TA5" s="1772"/>
      <c r="TB5" s="1772"/>
      <c r="TC5" s="1772"/>
      <c r="TD5" s="332"/>
      <c r="TE5" s="6" t="s">
        <v>847</v>
      </c>
      <c r="TF5" s="1771"/>
      <c r="TG5" s="1771"/>
      <c r="TH5" s="1771"/>
      <c r="TI5" s="1771"/>
      <c r="TJ5" s="1771"/>
      <c r="TK5" s="1771"/>
      <c r="TL5" s="1771"/>
      <c r="TM5" s="1771"/>
      <c r="TN5" s="1771"/>
      <c r="TO5" s="1771"/>
      <c r="TP5" s="1771"/>
      <c r="TQ5" s="1771"/>
      <c r="TR5" s="1771"/>
      <c r="TS5" s="313"/>
      <c r="TT5" s="313"/>
      <c r="TU5" s="313"/>
      <c r="TV5" s="313"/>
      <c r="TW5" s="424"/>
      <c r="TX5" s="6" t="s">
        <v>847</v>
      </c>
      <c r="TY5" s="1771"/>
      <c r="TZ5" s="1771"/>
      <c r="UA5" s="1771"/>
      <c r="UB5" s="1771"/>
      <c r="UC5" s="1771"/>
      <c r="UD5" s="1771"/>
      <c r="UE5" s="1771"/>
      <c r="UF5" s="1771"/>
      <c r="UG5" s="1771"/>
      <c r="UH5" s="1771"/>
      <c r="UI5" s="1771"/>
      <c r="UJ5" s="1771"/>
      <c r="UK5" s="1771"/>
      <c r="UL5" s="313"/>
      <c r="UM5" s="313"/>
      <c r="UN5" s="313"/>
      <c r="UO5" s="313"/>
      <c r="UQ5" s="6" t="s">
        <v>847</v>
      </c>
      <c r="UR5" s="1771"/>
      <c r="US5" s="1771"/>
      <c r="UT5" s="1771"/>
      <c r="UU5" s="1771"/>
      <c r="UV5" s="1771"/>
      <c r="UW5" s="1771"/>
      <c r="UX5" s="1771"/>
      <c r="UY5" s="1771"/>
      <c r="UZ5" s="1771"/>
      <c r="VA5" s="1771"/>
      <c r="VB5" s="1771"/>
      <c r="VC5" s="1771"/>
      <c r="VD5" s="1771"/>
      <c r="VE5" s="313"/>
      <c r="VF5" s="313"/>
      <c r="VG5" s="313"/>
      <c r="VH5" s="313"/>
      <c r="VJ5" s="6" t="s">
        <v>847</v>
      </c>
      <c r="VK5" s="1771"/>
      <c r="VL5" s="1771"/>
      <c r="VM5" s="1771"/>
      <c r="VN5" s="1771"/>
      <c r="VO5" s="1771"/>
      <c r="VP5" s="1771"/>
      <c r="VQ5" s="1771"/>
      <c r="VR5" s="1771"/>
      <c r="VS5" s="1771"/>
      <c r="VT5" s="1771"/>
      <c r="VU5" s="1771"/>
      <c r="VV5" s="1771"/>
      <c r="VW5" s="1771"/>
      <c r="VY5" s="6" t="s">
        <v>847</v>
      </c>
      <c r="VZ5" s="1771"/>
      <c r="WA5" s="1771"/>
      <c r="WB5" s="1771"/>
      <c r="WC5" s="1771"/>
      <c r="WD5" s="1771"/>
      <c r="WE5" s="1771"/>
      <c r="WF5" s="1771"/>
      <c r="WG5" s="1771"/>
      <c r="WH5" s="1771"/>
      <c r="WI5" s="1771"/>
      <c r="WJ5" s="1771"/>
      <c r="WK5" s="1771"/>
      <c r="WL5" s="1771"/>
      <c r="WN5" s="6" t="s">
        <v>847</v>
      </c>
      <c r="WO5" s="1771"/>
      <c r="WP5" s="1771"/>
      <c r="WQ5" s="1771"/>
      <c r="WR5" s="1771"/>
      <c r="WS5" s="1771"/>
      <c r="WT5" s="1771"/>
      <c r="WU5" s="1771"/>
      <c r="WV5" s="1771"/>
      <c r="WW5" s="1771"/>
      <c r="WX5" s="1771"/>
      <c r="WY5" s="1771"/>
      <c r="WZ5" s="1771"/>
      <c r="XA5" s="1771"/>
    </row>
    <row r="6" spans="1:625" s="11" customFormat="1" x14ac:dyDescent="0.25">
      <c r="A6" s="9" t="s">
        <v>778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0"/>
      <c r="P6" s="10"/>
      <c r="Q6" s="10"/>
      <c r="R6" s="10"/>
      <c r="S6" s="9" t="s">
        <v>777</v>
      </c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0"/>
      <c r="AH6" s="10"/>
      <c r="AI6" s="10"/>
      <c r="AJ6" s="10"/>
      <c r="AK6" s="9" t="s">
        <v>776</v>
      </c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0"/>
      <c r="AZ6" s="10"/>
      <c r="BA6" s="10"/>
      <c r="BB6" s="10"/>
      <c r="BC6" s="9" t="s">
        <v>775</v>
      </c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10"/>
      <c r="BR6" s="10"/>
      <c r="BS6" s="10"/>
      <c r="BT6" s="10"/>
      <c r="BU6" s="9" t="s">
        <v>774</v>
      </c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10"/>
      <c r="CJ6" s="10"/>
      <c r="CK6" s="10"/>
      <c r="CL6" s="10"/>
      <c r="CM6" s="9" t="s">
        <v>773</v>
      </c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10"/>
      <c r="DB6" s="10"/>
      <c r="DC6" s="10"/>
      <c r="DD6" s="10"/>
      <c r="DE6" s="9" t="s">
        <v>772</v>
      </c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10"/>
      <c r="DT6" s="10"/>
      <c r="DU6" s="10"/>
      <c r="DV6" s="10"/>
      <c r="DW6" s="9" t="s">
        <v>771</v>
      </c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10"/>
      <c r="EL6" s="10"/>
      <c r="EM6" s="10"/>
      <c r="EN6" s="10"/>
      <c r="EO6" s="9" t="s">
        <v>770</v>
      </c>
      <c r="EP6" s="9"/>
      <c r="EQ6" s="9"/>
      <c r="ER6" s="9"/>
      <c r="ES6" s="9"/>
      <c r="ET6" s="9"/>
      <c r="EU6" s="478"/>
      <c r="EV6" s="9"/>
      <c r="EW6" s="9"/>
      <c r="EX6" s="9"/>
      <c r="EY6" s="9"/>
      <c r="EZ6" s="9"/>
      <c r="FA6" s="9"/>
      <c r="FB6" s="9"/>
      <c r="FC6" s="10"/>
      <c r="FD6" s="10"/>
      <c r="FE6" s="10"/>
      <c r="FF6" s="10"/>
      <c r="FG6" s="9" t="s">
        <v>769</v>
      </c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10"/>
      <c r="FV6" s="10"/>
      <c r="FW6" s="10"/>
      <c r="FX6" s="10"/>
      <c r="FY6" s="9" t="s">
        <v>768</v>
      </c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10"/>
      <c r="GN6" s="10"/>
      <c r="GO6" s="10"/>
      <c r="GP6" s="10"/>
      <c r="GQ6" s="9" t="s">
        <v>767</v>
      </c>
      <c r="GR6" s="9"/>
      <c r="GS6" s="9"/>
      <c r="GT6" s="9"/>
      <c r="GU6" s="9"/>
      <c r="GV6" s="9"/>
      <c r="GW6" s="478"/>
      <c r="GX6" s="9"/>
      <c r="GY6" s="9"/>
      <c r="GZ6" s="9"/>
      <c r="HA6" s="9"/>
      <c r="HB6" s="9"/>
      <c r="HC6" s="9"/>
      <c r="HD6" s="9"/>
      <c r="HE6" s="10"/>
      <c r="HF6" s="10"/>
      <c r="HG6" s="10"/>
      <c r="HH6" s="10"/>
      <c r="HI6" s="9" t="s">
        <v>766</v>
      </c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10"/>
      <c r="HX6" s="10"/>
      <c r="HY6" s="10"/>
      <c r="HZ6" s="10"/>
      <c r="IA6" s="9" t="s">
        <v>765</v>
      </c>
      <c r="IB6" s="9"/>
      <c r="IC6" s="9"/>
      <c r="ID6" s="9"/>
      <c r="IE6" s="9"/>
      <c r="IF6" s="9"/>
      <c r="IG6" s="478"/>
      <c r="IH6" s="9"/>
      <c r="II6" s="9"/>
      <c r="IJ6" s="9"/>
      <c r="IK6" s="9"/>
      <c r="IL6" s="9"/>
      <c r="IM6" s="9"/>
      <c r="IN6" s="9"/>
      <c r="IO6" s="10"/>
      <c r="IP6" s="10"/>
      <c r="IQ6" s="10"/>
      <c r="IR6" s="10"/>
      <c r="IS6" s="9" t="s">
        <v>764</v>
      </c>
      <c r="IT6" s="478"/>
      <c r="IU6" s="478"/>
      <c r="IV6" s="478"/>
      <c r="IW6" s="478"/>
      <c r="IX6" s="9"/>
      <c r="IY6" s="9"/>
      <c r="IZ6" s="478"/>
      <c r="JA6" s="9"/>
      <c r="JB6" s="9"/>
      <c r="JC6" s="9"/>
      <c r="JD6" s="9"/>
      <c r="JE6" s="9"/>
      <c r="JF6" s="9"/>
      <c r="JG6" s="10"/>
      <c r="JH6" s="10"/>
      <c r="JI6" s="10"/>
      <c r="JJ6" s="10"/>
      <c r="JK6" s="931" t="s">
        <v>763</v>
      </c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10"/>
      <c r="JZ6" s="10"/>
      <c r="KA6" s="10"/>
      <c r="KB6" s="10"/>
      <c r="KC6" s="931" t="s">
        <v>762</v>
      </c>
      <c r="KD6" s="9"/>
      <c r="KE6" s="9"/>
      <c r="KF6" s="9"/>
      <c r="KG6" s="9"/>
      <c r="KH6" s="9"/>
      <c r="KI6" s="478"/>
      <c r="KJ6" s="9"/>
      <c r="KK6" s="9"/>
      <c r="KL6" s="9"/>
      <c r="KM6" s="9"/>
      <c r="KN6" s="9"/>
      <c r="KO6" s="9"/>
      <c r="KP6" s="9"/>
      <c r="KQ6" s="10"/>
      <c r="KR6" s="10"/>
      <c r="KS6" s="10"/>
      <c r="KT6" s="10"/>
      <c r="KU6" s="931" t="s">
        <v>761</v>
      </c>
      <c r="KV6" s="9"/>
      <c r="KW6" s="9"/>
      <c r="KX6" s="9"/>
      <c r="KY6" s="9"/>
      <c r="KZ6" s="9"/>
      <c r="LA6" s="478"/>
      <c r="LB6" s="9"/>
      <c r="LC6" s="9"/>
      <c r="LD6" s="9"/>
      <c r="LE6" s="9"/>
      <c r="LF6" s="9"/>
      <c r="LG6" s="9"/>
      <c r="LH6" s="9"/>
      <c r="LI6" s="10"/>
      <c r="LJ6" s="10"/>
      <c r="LK6" s="10"/>
      <c r="LL6" s="10"/>
      <c r="LM6" s="931" t="s">
        <v>760</v>
      </c>
      <c r="LN6" s="478"/>
      <c r="LO6" s="478"/>
      <c r="LP6" s="478"/>
      <c r="LQ6" s="478"/>
      <c r="LR6" s="9"/>
      <c r="LS6" s="9"/>
      <c r="LT6" s="478"/>
      <c r="LU6" s="478"/>
      <c r="LV6" s="478"/>
      <c r="LW6" s="478"/>
      <c r="LX6" s="478"/>
      <c r="LY6" s="478"/>
      <c r="LZ6" s="478"/>
      <c r="MA6" s="479"/>
      <c r="MB6" s="479"/>
      <c r="MC6" s="479"/>
      <c r="MD6" s="479"/>
      <c r="ME6" s="931" t="s">
        <v>759</v>
      </c>
      <c r="MF6" s="478"/>
      <c r="MG6" s="478"/>
      <c r="MH6" s="478"/>
      <c r="MI6" s="478"/>
      <c r="MJ6" s="478"/>
      <c r="MK6" s="478"/>
      <c r="ML6" s="478"/>
      <c r="MM6" s="478"/>
      <c r="MN6" s="478"/>
      <c r="MO6" s="478"/>
      <c r="MP6" s="478"/>
      <c r="MQ6" s="478"/>
      <c r="MR6" s="478"/>
      <c r="MS6" s="479"/>
      <c r="MT6" s="479"/>
      <c r="MU6" s="479"/>
      <c r="MV6" s="479"/>
      <c r="MW6" s="478" t="s">
        <v>202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10"/>
      <c r="NL6" s="10"/>
      <c r="NM6" s="10"/>
      <c r="NN6" s="10"/>
      <c r="NO6" s="931" t="s">
        <v>758</v>
      </c>
      <c r="NP6" s="478"/>
      <c r="NQ6" s="478"/>
      <c r="NR6" s="478"/>
      <c r="NS6" s="478"/>
      <c r="NT6" s="478"/>
      <c r="NU6" s="478"/>
      <c r="NV6" s="478"/>
      <c r="NW6" s="478"/>
      <c r="NX6" s="478"/>
      <c r="NY6" s="478"/>
      <c r="NZ6" s="478"/>
      <c r="OA6" s="478"/>
      <c r="OB6" s="478"/>
      <c r="OC6" s="479"/>
      <c r="OD6" s="479"/>
      <c r="OE6" s="479"/>
      <c r="OF6" s="479"/>
      <c r="OG6" s="478" t="s">
        <v>757</v>
      </c>
      <c r="OH6" s="478"/>
      <c r="OI6" s="478"/>
      <c r="OJ6" s="478"/>
      <c r="OK6" s="478"/>
      <c r="OL6" s="478"/>
      <c r="OM6" s="478"/>
      <c r="ON6" s="478"/>
      <c r="OO6" s="478"/>
      <c r="OP6" s="478"/>
      <c r="OQ6" s="478"/>
      <c r="OR6" s="478"/>
      <c r="OS6" s="478"/>
      <c r="OT6" s="478"/>
      <c r="OU6" s="479"/>
      <c r="OV6" s="479"/>
      <c r="OW6" s="479"/>
      <c r="OX6" s="479"/>
      <c r="OY6" s="478" t="s">
        <v>756</v>
      </c>
      <c r="OZ6" s="478"/>
      <c r="PA6" s="478"/>
      <c r="PB6" s="478"/>
      <c r="PC6" s="478"/>
      <c r="PD6" s="478"/>
      <c r="PE6" s="478"/>
      <c r="PF6" s="478"/>
      <c r="PG6" s="478"/>
      <c r="PH6" s="478"/>
      <c r="PI6" s="1783"/>
      <c r="PJ6" s="1783"/>
      <c r="PK6" s="1783"/>
      <c r="PL6" s="1783"/>
      <c r="PM6" s="1782"/>
      <c r="PN6" s="1782"/>
      <c r="PO6" s="479"/>
      <c r="PP6" s="479"/>
      <c r="PQ6" s="478" t="s">
        <v>755</v>
      </c>
      <c r="PR6" s="478"/>
      <c r="PS6" s="478"/>
      <c r="PT6" s="478"/>
      <c r="PU6" s="478"/>
      <c r="PV6" s="478"/>
      <c r="PW6" s="478"/>
      <c r="PX6" s="478"/>
      <c r="PY6" s="478"/>
      <c r="PZ6" s="478"/>
      <c r="QA6" s="478"/>
      <c r="QB6" s="478"/>
      <c r="QC6" s="478"/>
      <c r="QD6" s="478"/>
      <c r="QE6" s="479"/>
      <c r="QF6" s="479"/>
      <c r="QG6" s="479"/>
      <c r="QH6" s="479"/>
      <c r="QI6" s="1774"/>
      <c r="QJ6" s="1778" t="s">
        <v>754</v>
      </c>
      <c r="QK6" s="1777"/>
      <c r="QL6" s="1777"/>
      <c r="QM6" s="1777"/>
      <c r="QN6" s="1777"/>
      <c r="QO6" s="1777"/>
      <c r="QP6" s="1777"/>
      <c r="QQ6" s="1777"/>
      <c r="QR6" s="1777"/>
      <c r="QS6" s="1777"/>
      <c r="QT6" s="1777"/>
      <c r="QU6" s="1777"/>
      <c r="QV6" s="1777"/>
      <c r="QW6" s="1777"/>
      <c r="QX6" s="1779"/>
      <c r="QY6" s="1779"/>
      <c r="QZ6" s="1779"/>
      <c r="RA6" s="1779"/>
      <c r="RB6" s="931" t="s">
        <v>753</v>
      </c>
      <c r="RC6" s="478"/>
      <c r="RD6" s="478"/>
      <c r="RE6" s="478"/>
      <c r="RF6" s="478"/>
      <c r="RG6" s="478"/>
      <c r="RH6" s="478"/>
      <c r="RI6" s="478"/>
      <c r="RJ6" s="478"/>
      <c r="RK6" s="478"/>
      <c r="RL6" s="478"/>
      <c r="RM6" s="478"/>
      <c r="RN6" s="478"/>
      <c r="RO6" s="478"/>
      <c r="RP6" s="479"/>
      <c r="RQ6" s="479"/>
      <c r="RR6" s="479"/>
      <c r="RS6" s="479"/>
      <c r="RT6" s="1778" t="s">
        <v>752</v>
      </c>
      <c r="RU6" s="1777"/>
      <c r="RV6" s="1777"/>
      <c r="RW6" s="1777"/>
      <c r="RX6" s="1777"/>
      <c r="RY6" s="1777"/>
      <c r="RZ6" s="1777"/>
      <c r="SA6" s="1777"/>
      <c r="SB6" s="1777"/>
      <c r="SC6" s="1777"/>
      <c r="SD6" s="1777"/>
      <c r="SE6" s="1777"/>
      <c r="SF6" s="1777"/>
      <c r="SG6" s="1777"/>
      <c r="SH6" s="1779"/>
      <c r="SI6" s="1779"/>
      <c r="SJ6" s="1779"/>
      <c r="SK6" s="1779"/>
      <c r="SL6" s="478" t="s">
        <v>178</v>
      </c>
      <c r="SM6" s="1773"/>
      <c r="SN6" s="1773"/>
      <c r="SO6" s="1773"/>
      <c r="SP6" s="1773"/>
      <c r="SQ6" s="1773"/>
      <c r="SR6" s="1773"/>
      <c r="SS6" s="1773"/>
      <c r="ST6" s="1773"/>
      <c r="SU6" s="1773"/>
      <c r="SV6" s="1773"/>
      <c r="SW6" s="1773"/>
      <c r="SX6" s="1773"/>
      <c r="SY6" s="1773"/>
      <c r="SZ6" s="1772"/>
      <c r="TA6" s="1772"/>
      <c r="TB6" s="1772"/>
      <c r="TC6" s="1772"/>
      <c r="TD6" s="1781"/>
      <c r="TE6" s="1778" t="s">
        <v>745</v>
      </c>
      <c r="TF6" s="1777"/>
      <c r="TG6" s="1777"/>
      <c r="TH6" s="1777"/>
      <c r="TI6" s="1777"/>
      <c r="TJ6" s="1777"/>
      <c r="TK6" s="1777"/>
      <c r="TL6" s="1777"/>
      <c r="TM6" s="1777"/>
      <c r="TN6" s="1777"/>
      <c r="TO6" s="1777"/>
      <c r="TP6" s="1777"/>
      <c r="TQ6" s="1777"/>
      <c r="TR6" s="1777"/>
      <c r="TS6" s="1779"/>
      <c r="TT6" s="1779"/>
      <c r="TU6" s="1779"/>
      <c r="TV6" s="1779"/>
      <c r="TW6" s="1780"/>
      <c r="TX6" s="1778" t="s">
        <v>747</v>
      </c>
      <c r="TY6" s="1777"/>
      <c r="TZ6" s="1777"/>
      <c r="UA6" s="1777"/>
      <c r="UB6" s="1777"/>
      <c r="UC6" s="1777"/>
      <c r="UD6" s="1777"/>
      <c r="UE6" s="1777"/>
      <c r="UF6" s="1777"/>
      <c r="UG6" s="1777"/>
      <c r="UH6" s="1777"/>
      <c r="UI6" s="1777"/>
      <c r="UJ6" s="1777"/>
      <c r="UK6" s="1777"/>
      <c r="UL6" s="1779"/>
      <c r="UM6" s="1779"/>
      <c r="UN6" s="1779"/>
      <c r="UO6" s="1779"/>
      <c r="UQ6" s="1778" t="s">
        <v>746</v>
      </c>
      <c r="UR6" s="1777"/>
      <c r="US6" s="1777"/>
      <c r="UT6" s="1777"/>
      <c r="UU6" s="1777"/>
      <c r="UV6" s="1777"/>
      <c r="UW6" s="1777"/>
      <c r="UX6" s="1777"/>
      <c r="UY6" s="1777"/>
      <c r="UZ6" s="1777"/>
      <c r="VA6" s="1777"/>
      <c r="VB6" s="1777"/>
      <c r="VC6" s="1777"/>
      <c r="VD6" s="1777"/>
      <c r="VE6" s="1779"/>
      <c r="VF6" s="1779"/>
      <c r="VG6" s="1779"/>
      <c r="VH6" s="1779"/>
      <c r="VJ6" s="1778" t="s">
        <v>744</v>
      </c>
      <c r="VK6" s="1777"/>
      <c r="VL6" s="1777"/>
      <c r="VM6" s="1777"/>
      <c r="VN6" s="1777"/>
      <c r="VO6" s="1777"/>
      <c r="VP6" s="1777"/>
      <c r="VQ6" s="1777"/>
      <c r="VR6" s="1777"/>
      <c r="VS6" s="1777"/>
      <c r="VT6" s="1777"/>
      <c r="VU6" s="1777"/>
      <c r="VV6" s="1777"/>
      <c r="VW6" s="1777"/>
      <c r="VY6" s="1778" t="s">
        <v>134</v>
      </c>
      <c r="VZ6" s="1777"/>
      <c r="WA6" s="1777"/>
      <c r="WB6" s="1777"/>
      <c r="WC6" s="1777"/>
      <c r="WD6" s="1777"/>
      <c r="WE6" s="1777"/>
      <c r="WF6" s="1777"/>
      <c r="WG6" s="1777"/>
      <c r="WH6" s="1777"/>
      <c r="WI6" s="1777"/>
      <c r="WJ6" s="1777"/>
      <c r="WK6" s="1777"/>
      <c r="WL6" s="1777"/>
      <c r="WN6" s="1778" t="s">
        <v>135</v>
      </c>
      <c r="WO6" s="1777"/>
      <c r="WP6" s="1777"/>
      <c r="WQ6" s="1777"/>
      <c r="WR6" s="1777"/>
      <c r="WS6" s="1777"/>
      <c r="WT6" s="1777"/>
      <c r="WU6" s="1777"/>
      <c r="WV6" s="1777"/>
      <c r="WW6" s="1777"/>
      <c r="WX6" s="1777"/>
      <c r="WY6" s="1777"/>
      <c r="WZ6" s="1777"/>
      <c r="XA6" s="1777"/>
    </row>
    <row r="7" spans="1:625" s="477" customFormat="1" x14ac:dyDescent="0.25">
      <c r="A7" s="6" t="s">
        <v>52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7"/>
      <c r="P7" s="7"/>
      <c r="Q7" s="7"/>
      <c r="R7" s="7"/>
      <c r="S7" s="6" t="s">
        <v>52</v>
      </c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7"/>
      <c r="AH7" s="7"/>
      <c r="AI7" s="7"/>
      <c r="AJ7" s="7"/>
      <c r="AK7" s="6" t="s">
        <v>52</v>
      </c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7"/>
      <c r="AZ7" s="7"/>
      <c r="BA7" s="7"/>
      <c r="BB7" s="7"/>
      <c r="BC7" s="6" t="s">
        <v>52</v>
      </c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7"/>
      <c r="BR7" s="7"/>
      <c r="BS7" s="7"/>
      <c r="BT7" s="7"/>
      <c r="BU7" s="6" t="s">
        <v>52</v>
      </c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7"/>
      <c r="CJ7" s="7"/>
      <c r="CK7" s="7"/>
      <c r="CL7" s="7"/>
      <c r="CM7" s="6" t="s">
        <v>52</v>
      </c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7"/>
      <c r="DB7" s="7"/>
      <c r="DC7" s="7"/>
      <c r="DD7" s="7"/>
      <c r="DE7" s="6" t="s">
        <v>52</v>
      </c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7"/>
      <c r="DT7" s="7"/>
      <c r="DU7" s="7"/>
      <c r="DV7" s="7"/>
      <c r="DW7" s="6" t="s">
        <v>52</v>
      </c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7"/>
      <c r="EL7" s="7"/>
      <c r="EM7" s="7"/>
      <c r="EN7" s="7"/>
      <c r="EO7" s="6" t="s">
        <v>52</v>
      </c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7"/>
      <c r="FD7" s="7"/>
      <c r="FE7" s="7"/>
      <c r="FF7" s="7"/>
      <c r="FG7" s="6" t="s">
        <v>52</v>
      </c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7"/>
      <c r="FV7" s="7"/>
      <c r="FW7" s="7"/>
      <c r="FX7" s="7"/>
      <c r="FY7" s="6" t="s">
        <v>52</v>
      </c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7"/>
      <c r="GN7" s="7"/>
      <c r="GO7" s="7"/>
      <c r="GP7" s="7"/>
      <c r="GQ7" s="6" t="s">
        <v>52</v>
      </c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7"/>
      <c r="HF7" s="7"/>
      <c r="HG7" s="7"/>
      <c r="HH7" s="7"/>
      <c r="HI7" s="6" t="s">
        <v>52</v>
      </c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7"/>
      <c r="HX7" s="7"/>
      <c r="HY7" s="7"/>
      <c r="HZ7" s="7"/>
      <c r="IA7" s="6" t="s">
        <v>52</v>
      </c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7"/>
      <c r="IP7" s="7"/>
      <c r="IQ7" s="7"/>
      <c r="IR7" s="7"/>
      <c r="IS7" s="6" t="s">
        <v>52</v>
      </c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7"/>
      <c r="JH7" s="7"/>
      <c r="JI7" s="7"/>
      <c r="JJ7" s="7"/>
      <c r="JK7" s="6" t="s">
        <v>52</v>
      </c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7"/>
      <c r="JZ7" s="7"/>
      <c r="KA7" s="7"/>
      <c r="KB7" s="7"/>
      <c r="KC7" s="6" t="s">
        <v>52</v>
      </c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7"/>
      <c r="KR7" s="7"/>
      <c r="KS7" s="7"/>
      <c r="KT7" s="7"/>
      <c r="KU7" s="6" t="s">
        <v>52</v>
      </c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7"/>
      <c r="LJ7" s="7"/>
      <c r="LK7" s="7"/>
      <c r="LL7" s="7"/>
      <c r="LM7" s="6" t="s">
        <v>52</v>
      </c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7"/>
      <c r="MB7" s="7"/>
      <c r="MC7" s="7"/>
      <c r="MD7" s="7"/>
      <c r="ME7" s="6" t="s">
        <v>52</v>
      </c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7"/>
      <c r="MT7" s="7"/>
      <c r="MU7" s="7"/>
      <c r="MV7" s="7"/>
      <c r="MW7" s="6" t="s">
        <v>52</v>
      </c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7"/>
      <c r="NL7" s="7"/>
      <c r="NM7" s="7"/>
      <c r="NN7" s="7"/>
      <c r="NO7" s="6" t="s">
        <v>52</v>
      </c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7"/>
      <c r="OD7" s="7"/>
      <c r="OE7" s="7"/>
      <c r="OF7" s="7"/>
      <c r="OG7" s="6" t="s">
        <v>52</v>
      </c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7"/>
      <c r="OV7" s="7"/>
      <c r="OW7" s="7"/>
      <c r="OX7" s="7"/>
      <c r="OY7" s="6" t="s">
        <v>52</v>
      </c>
      <c r="OZ7" s="6"/>
      <c r="PA7" s="6"/>
      <c r="PB7" s="6"/>
      <c r="PC7" s="6"/>
      <c r="PD7" s="6"/>
      <c r="PE7" s="6"/>
      <c r="PF7" s="6"/>
      <c r="PG7" s="6"/>
      <c r="PH7" s="6"/>
      <c r="PI7" s="1776"/>
      <c r="PJ7" s="1776"/>
      <c r="PK7" s="1776"/>
      <c r="PL7" s="1776"/>
      <c r="PM7" s="1775"/>
      <c r="PN7" s="1775"/>
      <c r="PO7" s="7"/>
      <c r="PP7" s="7"/>
      <c r="PQ7" s="6" t="s">
        <v>52</v>
      </c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7"/>
      <c r="QF7" s="7"/>
      <c r="QG7" s="7"/>
      <c r="QH7" s="7"/>
      <c r="QI7" s="1774"/>
      <c r="QJ7" s="1771" t="s">
        <v>52</v>
      </c>
      <c r="QK7" s="1771"/>
      <c r="QL7" s="1771"/>
      <c r="QM7" s="1771"/>
      <c r="QN7" s="1771"/>
      <c r="QO7" s="1771"/>
      <c r="QP7" s="1771"/>
      <c r="QQ7" s="1771"/>
      <c r="QR7" s="1771"/>
      <c r="QS7" s="1771"/>
      <c r="QT7" s="1771"/>
      <c r="QU7" s="1771"/>
      <c r="QV7" s="1771"/>
      <c r="QW7" s="1771"/>
      <c r="QX7" s="313"/>
      <c r="QY7" s="313"/>
      <c r="QZ7" s="313"/>
      <c r="RA7" s="313"/>
      <c r="RB7" s="6" t="s">
        <v>52</v>
      </c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7"/>
      <c r="RQ7" s="7"/>
      <c r="RR7" s="7"/>
      <c r="RS7" s="7"/>
      <c r="RT7" s="1771" t="s">
        <v>52</v>
      </c>
      <c r="RU7" s="1771"/>
      <c r="RV7" s="1771"/>
      <c r="RW7" s="1771"/>
      <c r="RX7" s="1771"/>
      <c r="RY7" s="1771"/>
      <c r="RZ7" s="1771"/>
      <c r="SA7" s="1771"/>
      <c r="SB7" s="1771"/>
      <c r="SC7" s="1771"/>
      <c r="SD7" s="1771"/>
      <c r="SE7" s="1771"/>
      <c r="SF7" s="1771"/>
      <c r="SG7" s="1771"/>
      <c r="SH7" s="313"/>
      <c r="SI7" s="313"/>
      <c r="SJ7" s="313"/>
      <c r="SK7" s="313"/>
      <c r="SL7" s="1771" t="s">
        <v>52</v>
      </c>
      <c r="SM7" s="1773"/>
      <c r="SN7" s="1773"/>
      <c r="SO7" s="1773"/>
      <c r="SP7" s="1773"/>
      <c r="SQ7" s="1773"/>
      <c r="SR7" s="1773"/>
      <c r="SS7" s="1773"/>
      <c r="ST7" s="1773"/>
      <c r="SU7" s="1773"/>
      <c r="SV7" s="1773"/>
      <c r="SW7" s="1773"/>
      <c r="SX7" s="1773"/>
      <c r="SY7" s="1773"/>
      <c r="SZ7" s="1772"/>
      <c r="TA7" s="1772"/>
      <c r="TB7" s="1772"/>
      <c r="TC7" s="1772"/>
      <c r="TD7" s="424"/>
      <c r="TE7" s="1771" t="s">
        <v>52</v>
      </c>
      <c r="TF7" s="1771"/>
      <c r="TG7" s="1771"/>
      <c r="TH7" s="1771"/>
      <c r="TI7" s="1771"/>
      <c r="TJ7" s="1771"/>
      <c r="TK7" s="1771"/>
      <c r="TL7" s="1771"/>
      <c r="TM7" s="1771"/>
      <c r="TN7" s="1771"/>
      <c r="TO7" s="1771"/>
      <c r="TP7" s="1771"/>
      <c r="TQ7" s="1771"/>
      <c r="TR7" s="1771"/>
      <c r="TS7" s="313"/>
      <c r="TT7" s="313"/>
      <c r="TU7" s="313"/>
      <c r="TV7" s="313"/>
      <c r="TW7" s="424"/>
      <c r="TX7" s="1771" t="s">
        <v>52</v>
      </c>
      <c r="TY7" s="1771"/>
      <c r="TZ7" s="1771"/>
      <c r="UA7" s="1771"/>
      <c r="UB7" s="1771"/>
      <c r="UC7" s="1771"/>
      <c r="UD7" s="1771"/>
      <c r="UE7" s="1771"/>
      <c r="UF7" s="1771"/>
      <c r="UG7" s="1771"/>
      <c r="UH7" s="1771"/>
      <c r="UI7" s="1771"/>
      <c r="UJ7" s="1771"/>
      <c r="UK7" s="1771"/>
      <c r="UL7" s="313"/>
      <c r="UM7" s="313"/>
      <c r="UN7" s="313"/>
      <c r="UO7" s="313"/>
      <c r="UQ7" s="1771" t="s">
        <v>52</v>
      </c>
      <c r="UR7" s="1771"/>
      <c r="US7" s="1771"/>
      <c r="UT7" s="1771"/>
      <c r="UU7" s="1771"/>
      <c r="UV7" s="1771"/>
      <c r="UW7" s="1771"/>
      <c r="UX7" s="1771"/>
      <c r="UY7" s="1771"/>
      <c r="UZ7" s="1771"/>
      <c r="VA7" s="1771"/>
      <c r="VB7" s="1771"/>
      <c r="VC7" s="1771"/>
      <c r="VD7" s="1771"/>
      <c r="VE7" s="313"/>
      <c r="VF7" s="313"/>
      <c r="VG7" s="313"/>
      <c r="VH7" s="313"/>
      <c r="VJ7" s="1771" t="s">
        <v>52</v>
      </c>
      <c r="VK7" s="1771"/>
      <c r="VL7" s="1771"/>
      <c r="VM7" s="1771"/>
      <c r="VN7" s="1771"/>
      <c r="VO7" s="1771"/>
      <c r="VP7" s="1771"/>
      <c r="VQ7" s="1771"/>
      <c r="VR7" s="1771"/>
      <c r="VS7" s="1771"/>
      <c r="VT7" s="1771"/>
      <c r="VU7" s="1771"/>
      <c r="VV7" s="1771"/>
      <c r="VW7" s="1771"/>
      <c r="VY7" s="1771" t="s">
        <v>52</v>
      </c>
      <c r="VZ7" s="1771"/>
      <c r="WA7" s="1771"/>
      <c r="WB7" s="1771"/>
      <c r="WC7" s="1771"/>
      <c r="WD7" s="1771"/>
      <c r="WE7" s="1771"/>
      <c r="WF7" s="1771"/>
      <c r="WG7" s="1771"/>
      <c r="WH7" s="1771"/>
      <c r="WI7" s="1771"/>
      <c r="WJ7" s="1771"/>
      <c r="WK7" s="1771"/>
      <c r="WL7" s="1771"/>
      <c r="WN7" s="1771" t="s">
        <v>52</v>
      </c>
      <c r="WO7" s="1771"/>
      <c r="WP7" s="1771"/>
      <c r="WQ7" s="1771"/>
      <c r="WR7" s="1771"/>
      <c r="WS7" s="1771"/>
      <c r="WT7" s="1771"/>
      <c r="WU7" s="1771"/>
      <c r="WV7" s="1771"/>
      <c r="WW7" s="1771"/>
      <c r="WX7" s="1771"/>
      <c r="WY7" s="1771"/>
      <c r="WZ7" s="1771"/>
      <c r="XA7" s="1771"/>
    </row>
    <row r="8" spans="1:625" s="1760" customFormat="1" ht="31.5" customHeight="1" x14ac:dyDescent="0.25">
      <c r="A8" s="1767" t="s">
        <v>51</v>
      </c>
      <c r="B8" s="1767"/>
      <c r="C8" s="1767"/>
      <c r="D8" s="1767"/>
      <c r="E8" s="1767"/>
      <c r="F8" s="1767"/>
      <c r="G8" s="1767"/>
      <c r="H8" s="1767"/>
      <c r="I8" s="1767"/>
      <c r="J8" s="1767"/>
      <c r="K8" s="1767"/>
      <c r="L8" s="1767"/>
      <c r="M8" s="1767"/>
      <c r="N8" s="1767"/>
      <c r="O8" s="1766"/>
      <c r="P8" s="1766"/>
      <c r="Q8" s="1766"/>
      <c r="R8" s="1766"/>
      <c r="S8" s="1767" t="s">
        <v>51</v>
      </c>
      <c r="T8" s="1767"/>
      <c r="U8" s="1767"/>
      <c r="V8" s="1767"/>
      <c r="W8" s="1767"/>
      <c r="X8" s="1767"/>
      <c r="Y8" s="1767"/>
      <c r="Z8" s="1767"/>
      <c r="AA8" s="1767"/>
      <c r="AB8" s="1767"/>
      <c r="AC8" s="1767"/>
      <c r="AD8" s="1767"/>
      <c r="AE8" s="1767"/>
      <c r="AF8" s="1767"/>
      <c r="AG8" s="1766"/>
      <c r="AH8" s="1766"/>
      <c r="AI8" s="1766"/>
      <c r="AJ8" s="1766"/>
      <c r="AK8" s="1767" t="s">
        <v>51</v>
      </c>
      <c r="AL8" s="1767"/>
      <c r="AM8" s="1767"/>
      <c r="AN8" s="1767"/>
      <c r="AO8" s="1767"/>
      <c r="AP8" s="1767"/>
      <c r="AQ8" s="1767"/>
      <c r="AR8" s="1767"/>
      <c r="AS8" s="1767"/>
      <c r="AT8" s="1767"/>
      <c r="AU8" s="1767"/>
      <c r="AV8" s="1767"/>
      <c r="AW8" s="1767"/>
      <c r="AX8" s="1767"/>
      <c r="AY8" s="1766"/>
      <c r="AZ8" s="1766"/>
      <c r="BA8" s="1766"/>
      <c r="BB8" s="1766"/>
      <c r="BC8" s="1767" t="s">
        <v>51</v>
      </c>
      <c r="BD8" s="1767"/>
      <c r="BE8" s="1767"/>
      <c r="BF8" s="1767"/>
      <c r="BG8" s="1767"/>
      <c r="BH8" s="1767"/>
      <c r="BI8" s="1767"/>
      <c r="BJ8" s="1767"/>
      <c r="BK8" s="1767"/>
      <c r="BL8" s="1767"/>
      <c r="BM8" s="1767"/>
      <c r="BN8" s="1767"/>
      <c r="BO8" s="1767"/>
      <c r="BP8" s="1767"/>
      <c r="BQ8" s="1766"/>
      <c r="BR8" s="1766"/>
      <c r="BS8" s="1766"/>
      <c r="BT8" s="1766"/>
      <c r="BU8" s="1767" t="s">
        <v>51</v>
      </c>
      <c r="BV8" s="1767"/>
      <c r="BW8" s="1767"/>
      <c r="BX8" s="1767"/>
      <c r="BY8" s="1767"/>
      <c r="BZ8" s="1767"/>
      <c r="CA8" s="1767"/>
      <c r="CB8" s="1767"/>
      <c r="CC8" s="1767"/>
      <c r="CD8" s="1767"/>
      <c r="CE8" s="1767"/>
      <c r="CF8" s="1767"/>
      <c r="CG8" s="1767"/>
      <c r="CH8" s="1767"/>
      <c r="CI8" s="1766"/>
      <c r="CJ8" s="1766"/>
      <c r="CK8" s="1766"/>
      <c r="CL8" s="1766"/>
      <c r="CM8" s="1767" t="s">
        <v>51</v>
      </c>
      <c r="CN8" s="1767"/>
      <c r="CO8" s="1767"/>
      <c r="CP8" s="1767"/>
      <c r="CQ8" s="1767"/>
      <c r="CR8" s="1767"/>
      <c r="CS8" s="1767"/>
      <c r="CT8" s="1767"/>
      <c r="CU8" s="1767"/>
      <c r="CV8" s="1767"/>
      <c r="CW8" s="1767"/>
      <c r="CX8" s="1767"/>
      <c r="CY8" s="1767"/>
      <c r="CZ8" s="1767"/>
      <c r="DA8" s="1766"/>
      <c r="DB8" s="1766"/>
      <c r="DC8" s="1766"/>
      <c r="DD8" s="1766"/>
      <c r="DE8" s="1767" t="s">
        <v>51</v>
      </c>
      <c r="DF8" s="1767"/>
      <c r="DG8" s="1767"/>
      <c r="DH8" s="1767"/>
      <c r="DI8" s="1767"/>
      <c r="DJ8" s="1767"/>
      <c r="DK8" s="1767"/>
      <c r="DL8" s="1767"/>
      <c r="DM8" s="1767"/>
      <c r="DN8" s="1767"/>
      <c r="DO8" s="1767"/>
      <c r="DP8" s="1767"/>
      <c r="DQ8" s="1767"/>
      <c r="DR8" s="1767"/>
      <c r="DS8" s="1766"/>
      <c r="DT8" s="1766"/>
      <c r="DU8" s="1766"/>
      <c r="DV8" s="1766"/>
      <c r="DW8" s="1767" t="s">
        <v>51</v>
      </c>
      <c r="DX8" s="1767"/>
      <c r="DY8" s="1767"/>
      <c r="DZ8" s="1767"/>
      <c r="EA8" s="1767"/>
      <c r="EB8" s="1767"/>
      <c r="EC8" s="1767"/>
      <c r="ED8" s="1767"/>
      <c r="EE8" s="1767"/>
      <c r="EF8" s="1767"/>
      <c r="EG8" s="1767"/>
      <c r="EH8" s="1767"/>
      <c r="EI8" s="1767"/>
      <c r="EJ8" s="1767"/>
      <c r="EK8" s="1766"/>
      <c r="EL8" s="1766"/>
      <c r="EM8" s="1766"/>
      <c r="EN8" s="1766"/>
      <c r="EO8" s="1767" t="s">
        <v>51</v>
      </c>
      <c r="EP8" s="1767"/>
      <c r="EQ8" s="1767"/>
      <c r="ER8" s="1767"/>
      <c r="ES8" s="1767"/>
      <c r="ET8" s="1767"/>
      <c r="EU8" s="1767"/>
      <c r="EV8" s="1767"/>
      <c r="EW8" s="1767"/>
      <c r="EX8" s="1767"/>
      <c r="EY8" s="1767"/>
      <c r="EZ8" s="1767"/>
      <c r="FA8" s="1767"/>
      <c r="FB8" s="1767"/>
      <c r="FC8" s="1766"/>
      <c r="FD8" s="1766"/>
      <c r="FE8" s="1766"/>
      <c r="FF8" s="1766"/>
      <c r="FG8" s="1767" t="s">
        <v>51</v>
      </c>
      <c r="FH8" s="1767"/>
      <c r="FI8" s="1767"/>
      <c r="FJ8" s="1767"/>
      <c r="FK8" s="1767"/>
      <c r="FL8" s="1767"/>
      <c r="FM8" s="1767"/>
      <c r="FN8" s="1767"/>
      <c r="FO8" s="1767"/>
      <c r="FP8" s="1767"/>
      <c r="FQ8" s="1767"/>
      <c r="FR8" s="1767"/>
      <c r="FS8" s="1767"/>
      <c r="FT8" s="1767"/>
      <c r="FU8" s="1766"/>
      <c r="FV8" s="1766"/>
      <c r="FW8" s="1766"/>
      <c r="FX8" s="1766"/>
      <c r="FY8" s="1767" t="s">
        <v>51</v>
      </c>
      <c r="FZ8" s="1767"/>
      <c r="GA8" s="1767"/>
      <c r="GB8" s="1767"/>
      <c r="GC8" s="1767"/>
      <c r="GD8" s="1767"/>
      <c r="GE8" s="1767"/>
      <c r="GF8" s="1767"/>
      <c r="GG8" s="1767"/>
      <c r="GH8" s="1767"/>
      <c r="GI8" s="1767"/>
      <c r="GJ8" s="1767"/>
      <c r="GK8" s="1767"/>
      <c r="GL8" s="1767"/>
      <c r="GM8" s="1766"/>
      <c r="GN8" s="1766"/>
      <c r="GO8" s="1766"/>
      <c r="GP8" s="1766"/>
      <c r="GQ8" s="1767" t="s">
        <v>51</v>
      </c>
      <c r="GR8" s="1767"/>
      <c r="GS8" s="1767"/>
      <c r="GT8" s="1767"/>
      <c r="GU8" s="1767"/>
      <c r="GV8" s="1767"/>
      <c r="GW8" s="1767"/>
      <c r="GX8" s="1767"/>
      <c r="GY8" s="1767"/>
      <c r="GZ8" s="1767"/>
      <c r="HA8" s="1767"/>
      <c r="HB8" s="1767"/>
      <c r="HC8" s="1767"/>
      <c r="HD8" s="1767"/>
      <c r="HE8" s="1766"/>
      <c r="HF8" s="1766"/>
      <c r="HG8" s="1766"/>
      <c r="HH8" s="1766"/>
      <c r="HI8" s="1767" t="s">
        <v>51</v>
      </c>
      <c r="HJ8" s="1767"/>
      <c r="HK8" s="1767"/>
      <c r="HL8" s="1767"/>
      <c r="HM8" s="1767"/>
      <c r="HN8" s="1767"/>
      <c r="HO8" s="1767"/>
      <c r="HP8" s="1767"/>
      <c r="HQ8" s="1767"/>
      <c r="HR8" s="1767"/>
      <c r="HS8" s="1767"/>
      <c r="HT8" s="1767"/>
      <c r="HU8" s="1767"/>
      <c r="HV8" s="1767"/>
      <c r="HW8" s="1766"/>
      <c r="HX8" s="1766"/>
      <c r="HY8" s="1766"/>
      <c r="HZ8" s="1766"/>
      <c r="IA8" s="1767" t="s">
        <v>51</v>
      </c>
      <c r="IB8" s="1767"/>
      <c r="IC8" s="1767"/>
      <c r="ID8" s="1767"/>
      <c r="IE8" s="1767"/>
      <c r="IF8" s="1767"/>
      <c r="IG8" s="1767"/>
      <c r="IH8" s="1767"/>
      <c r="II8" s="1767"/>
      <c r="IJ8" s="1767"/>
      <c r="IK8" s="1767"/>
      <c r="IL8" s="1767"/>
      <c r="IM8" s="1767"/>
      <c r="IN8" s="1767"/>
      <c r="IO8" s="1766"/>
      <c r="IP8" s="1766"/>
      <c r="IQ8" s="1766"/>
      <c r="IR8" s="1766"/>
      <c r="IS8" s="1767" t="s">
        <v>51</v>
      </c>
      <c r="IT8" s="1767"/>
      <c r="IU8" s="1767"/>
      <c r="IV8" s="1767"/>
      <c r="IW8" s="1767"/>
      <c r="IX8" s="1767"/>
      <c r="IY8" s="1767"/>
      <c r="IZ8" s="1767"/>
      <c r="JA8" s="1767"/>
      <c r="JB8" s="1767"/>
      <c r="JC8" s="1767"/>
      <c r="JD8" s="1767"/>
      <c r="JE8" s="1767"/>
      <c r="JF8" s="1767"/>
      <c r="JG8" s="1766"/>
      <c r="JH8" s="1766"/>
      <c r="JI8" s="1766"/>
      <c r="JJ8" s="1766"/>
      <c r="JK8" s="1767" t="s">
        <v>51</v>
      </c>
      <c r="JL8" s="1767"/>
      <c r="JM8" s="1767"/>
      <c r="JN8" s="1767"/>
      <c r="JO8" s="1767"/>
      <c r="JP8" s="1767"/>
      <c r="JQ8" s="1767"/>
      <c r="JR8" s="1767"/>
      <c r="JS8" s="1767"/>
      <c r="JT8" s="1767"/>
      <c r="JU8" s="1767"/>
      <c r="JV8" s="1767"/>
      <c r="JW8" s="1767"/>
      <c r="JX8" s="1767"/>
      <c r="JY8" s="1766"/>
      <c r="JZ8" s="1766"/>
      <c r="KA8" s="1766"/>
      <c r="KB8" s="1766"/>
      <c r="KC8" s="1767" t="s">
        <v>51</v>
      </c>
      <c r="KD8" s="1767"/>
      <c r="KE8" s="1767"/>
      <c r="KF8" s="1767"/>
      <c r="KG8" s="1767"/>
      <c r="KH8" s="1767"/>
      <c r="KI8" s="1767"/>
      <c r="KJ8" s="1767"/>
      <c r="KK8" s="1767"/>
      <c r="KL8" s="1767"/>
      <c r="KM8" s="1767"/>
      <c r="KN8" s="1767"/>
      <c r="KO8" s="1767"/>
      <c r="KP8" s="1767"/>
      <c r="KQ8" s="1766"/>
      <c r="KR8" s="1766"/>
      <c r="KS8" s="1766"/>
      <c r="KT8" s="1766"/>
      <c r="KU8" s="1767" t="s">
        <v>51</v>
      </c>
      <c r="KV8" s="1767"/>
      <c r="KW8" s="1767"/>
      <c r="KX8" s="1767"/>
      <c r="KY8" s="1767"/>
      <c r="KZ8" s="1767"/>
      <c r="LA8" s="1767"/>
      <c r="LB8" s="1767"/>
      <c r="LC8" s="1767"/>
      <c r="LD8" s="1767"/>
      <c r="LE8" s="1767"/>
      <c r="LF8" s="1767"/>
      <c r="LG8" s="1767"/>
      <c r="LH8" s="1767"/>
      <c r="LI8" s="1766"/>
      <c r="LJ8" s="1766"/>
      <c r="LK8" s="1766"/>
      <c r="LL8" s="1766"/>
      <c r="LM8" s="1767" t="s">
        <v>51</v>
      </c>
      <c r="LN8" s="1767"/>
      <c r="LO8" s="1767"/>
      <c r="LP8" s="1767"/>
      <c r="LQ8" s="1767"/>
      <c r="LR8" s="1767"/>
      <c r="LS8" s="1767"/>
      <c r="LT8" s="1767"/>
      <c r="LU8" s="1767"/>
      <c r="LV8" s="1767"/>
      <c r="LW8" s="1767"/>
      <c r="LX8" s="1767"/>
      <c r="LY8" s="1767"/>
      <c r="LZ8" s="1767"/>
      <c r="MA8" s="1766"/>
      <c r="MB8" s="1766"/>
      <c r="MC8" s="1766"/>
      <c r="MD8" s="1766"/>
      <c r="ME8" s="1767" t="s">
        <v>51</v>
      </c>
      <c r="MF8" s="1767"/>
      <c r="MG8" s="1767"/>
      <c r="MH8" s="1767"/>
      <c r="MI8" s="1767"/>
      <c r="MJ8" s="1767"/>
      <c r="MK8" s="1767"/>
      <c r="ML8" s="1767"/>
      <c r="MM8" s="1767"/>
      <c r="MN8" s="1767"/>
      <c r="MO8" s="1767"/>
      <c r="MP8" s="1767"/>
      <c r="MQ8" s="1767"/>
      <c r="MR8" s="1767"/>
      <c r="MS8" s="1766"/>
      <c r="MT8" s="1766"/>
      <c r="MU8" s="1766"/>
      <c r="MV8" s="1766"/>
      <c r="MW8" s="1767" t="s">
        <v>51</v>
      </c>
      <c r="MX8" s="1767"/>
      <c r="MY8" s="1767"/>
      <c r="MZ8" s="1767"/>
      <c r="NA8" s="1767"/>
      <c r="NB8" s="1767"/>
      <c r="NC8" s="1767"/>
      <c r="ND8" s="1767"/>
      <c r="NE8" s="1767"/>
      <c r="NF8" s="1767"/>
      <c r="NG8" s="1767"/>
      <c r="NH8" s="1767"/>
      <c r="NI8" s="1767"/>
      <c r="NJ8" s="1767"/>
      <c r="NK8" s="1766"/>
      <c r="NL8" s="1766"/>
      <c r="NM8" s="1766"/>
      <c r="NN8" s="1766"/>
      <c r="NO8" s="1767" t="s">
        <v>51</v>
      </c>
      <c r="NP8" s="1767"/>
      <c r="NQ8" s="1767"/>
      <c r="NR8" s="1767"/>
      <c r="NS8" s="1767"/>
      <c r="NT8" s="1767"/>
      <c r="NU8" s="1767"/>
      <c r="NV8" s="1767"/>
      <c r="NW8" s="1767"/>
      <c r="NX8" s="1767"/>
      <c r="NY8" s="1767"/>
      <c r="NZ8" s="1767"/>
      <c r="OA8" s="1767"/>
      <c r="OB8" s="1767"/>
      <c r="OC8" s="1766"/>
      <c r="OD8" s="1766"/>
      <c r="OE8" s="1766"/>
      <c r="OF8" s="1766"/>
      <c r="OG8" s="1767" t="s">
        <v>51</v>
      </c>
      <c r="OH8" s="1767"/>
      <c r="OI8" s="1767"/>
      <c r="OJ8" s="1767"/>
      <c r="OK8" s="1767"/>
      <c r="OL8" s="1767"/>
      <c r="OM8" s="1767"/>
      <c r="ON8" s="1767"/>
      <c r="OO8" s="1767"/>
      <c r="OP8" s="1767"/>
      <c r="OQ8" s="1767"/>
      <c r="OR8" s="1767"/>
      <c r="OS8" s="1767"/>
      <c r="OT8" s="1767"/>
      <c r="OU8" s="1766"/>
      <c r="OV8" s="1766"/>
      <c r="OW8" s="1766"/>
      <c r="OX8" s="1766"/>
      <c r="OY8" s="1767" t="s">
        <v>51</v>
      </c>
      <c r="OZ8" s="1767"/>
      <c r="PA8" s="1767"/>
      <c r="PB8" s="1767"/>
      <c r="PC8" s="1767"/>
      <c r="PD8" s="1767"/>
      <c r="PE8" s="1767"/>
      <c r="PF8" s="1767"/>
      <c r="PG8" s="1767"/>
      <c r="PH8" s="1767"/>
      <c r="PI8" s="1770"/>
      <c r="PJ8" s="1770"/>
      <c r="PK8" s="1770"/>
      <c r="PL8" s="1770"/>
      <c r="PM8" s="1769"/>
      <c r="PN8" s="1769"/>
      <c r="PO8" s="1766"/>
      <c r="PP8" s="1766"/>
      <c r="PQ8" s="1767" t="s">
        <v>51</v>
      </c>
      <c r="PR8" s="1767"/>
      <c r="PS8" s="1767"/>
      <c r="PT8" s="1767"/>
      <c r="PU8" s="1767"/>
      <c r="PV8" s="1767"/>
      <c r="PW8" s="1767"/>
      <c r="PX8" s="1767"/>
      <c r="PY8" s="1767"/>
      <c r="PZ8" s="1767"/>
      <c r="QA8" s="1767"/>
      <c r="QB8" s="1767"/>
      <c r="QC8" s="1767"/>
      <c r="QD8" s="1767"/>
      <c r="QE8" s="1766"/>
      <c r="QF8" s="1766"/>
      <c r="QG8" s="1766"/>
      <c r="QH8" s="1766"/>
      <c r="QI8" s="1768"/>
      <c r="QJ8" s="1761" t="s">
        <v>51</v>
      </c>
      <c r="QK8" s="1761"/>
      <c r="QL8" s="1761"/>
      <c r="QM8" s="1761"/>
      <c r="QN8" s="1761"/>
      <c r="QO8" s="1761"/>
      <c r="QP8" s="1761"/>
      <c r="QQ8" s="1761"/>
      <c r="QR8" s="1761"/>
      <c r="QS8" s="1761"/>
      <c r="QT8" s="1761"/>
      <c r="QU8" s="1761"/>
      <c r="QV8" s="1761"/>
      <c r="QW8" s="1761"/>
      <c r="QX8" s="1762"/>
      <c r="QY8" s="1762"/>
      <c r="QZ8" s="1762"/>
      <c r="RA8" s="1762"/>
      <c r="RB8" s="1767" t="s">
        <v>51</v>
      </c>
      <c r="RC8" s="1767"/>
      <c r="RD8" s="1767"/>
      <c r="RE8" s="1767"/>
      <c r="RF8" s="1767"/>
      <c r="RG8" s="1767"/>
      <c r="RH8" s="1767"/>
      <c r="RI8" s="1767"/>
      <c r="RJ8" s="1767"/>
      <c r="RK8" s="1767"/>
      <c r="RL8" s="1767"/>
      <c r="RM8" s="1767"/>
      <c r="RN8" s="1767"/>
      <c r="RO8" s="1767"/>
      <c r="RP8" s="1766"/>
      <c r="RQ8" s="1766"/>
      <c r="RR8" s="1766"/>
      <c r="RS8" s="1766"/>
      <c r="RT8" s="1761" t="s">
        <v>51</v>
      </c>
      <c r="RU8" s="1761"/>
      <c r="RV8" s="1761"/>
      <c r="RW8" s="1761"/>
      <c r="RX8" s="1761"/>
      <c r="RY8" s="1761"/>
      <c r="RZ8" s="1761"/>
      <c r="SA8" s="1761"/>
      <c r="SB8" s="1761"/>
      <c r="SC8" s="1761"/>
      <c r="SD8" s="1761"/>
      <c r="SE8" s="1761"/>
      <c r="SF8" s="1761"/>
      <c r="SG8" s="1761"/>
      <c r="SH8" s="1762"/>
      <c r="SI8" s="1762"/>
      <c r="SJ8" s="1762"/>
      <c r="SK8" s="1762"/>
      <c r="SL8" s="1761" t="s">
        <v>51</v>
      </c>
      <c r="SM8" s="1765"/>
      <c r="SN8" s="1765"/>
      <c r="SO8" s="1765"/>
      <c r="SP8" s="1765"/>
      <c r="SQ8" s="1765"/>
      <c r="SR8" s="1765"/>
      <c r="SS8" s="1765"/>
      <c r="ST8" s="1765"/>
      <c r="SU8" s="1765"/>
      <c r="SV8" s="1765"/>
      <c r="SW8" s="1765"/>
      <c r="SX8" s="1765"/>
      <c r="SY8" s="1765"/>
      <c r="SZ8" s="1764"/>
      <c r="TA8" s="1764"/>
      <c r="TB8" s="1764"/>
      <c r="TC8" s="1764"/>
      <c r="TD8" s="1763"/>
      <c r="TE8" s="1761" t="s">
        <v>51</v>
      </c>
      <c r="TF8" s="1761"/>
      <c r="TG8" s="1761"/>
      <c r="TH8" s="1761"/>
      <c r="TI8" s="1761"/>
      <c r="TJ8" s="1761"/>
      <c r="TK8" s="1761"/>
      <c r="TL8" s="1761"/>
      <c r="TM8" s="1761"/>
      <c r="TN8" s="1761"/>
      <c r="TO8" s="1761"/>
      <c r="TP8" s="1761"/>
      <c r="TQ8" s="1761"/>
      <c r="TR8" s="1761"/>
      <c r="TS8" s="1762"/>
      <c r="TT8" s="1762"/>
      <c r="TU8" s="1762"/>
      <c r="TV8" s="1762"/>
      <c r="TW8" s="1763"/>
      <c r="TX8" s="1761" t="s">
        <v>51</v>
      </c>
      <c r="TY8" s="1761"/>
      <c r="TZ8" s="1761"/>
      <c r="UA8" s="1761"/>
      <c r="UB8" s="1761"/>
      <c r="UC8" s="1761"/>
      <c r="UD8" s="1761"/>
      <c r="UE8" s="1761"/>
      <c r="UF8" s="1761"/>
      <c r="UG8" s="1761"/>
      <c r="UH8" s="1761"/>
      <c r="UI8" s="1761"/>
      <c r="UJ8" s="1761"/>
      <c r="UK8" s="1761"/>
      <c r="UL8" s="1762"/>
      <c r="UM8" s="1762"/>
      <c r="UN8" s="1762"/>
      <c r="UO8" s="1762"/>
      <c r="UQ8" s="1761" t="s">
        <v>51</v>
      </c>
      <c r="UR8" s="1761"/>
      <c r="US8" s="1761"/>
      <c r="UT8" s="1761"/>
      <c r="UU8" s="1761"/>
      <c r="UV8" s="1761"/>
      <c r="UW8" s="1761"/>
      <c r="UX8" s="1761"/>
      <c r="UY8" s="1761"/>
      <c r="UZ8" s="1761"/>
      <c r="VA8" s="1761"/>
      <c r="VB8" s="1761"/>
      <c r="VC8" s="1761"/>
      <c r="VD8" s="1761"/>
      <c r="VE8" s="1762"/>
      <c r="VF8" s="1762"/>
      <c r="VG8" s="1762"/>
      <c r="VH8" s="1762"/>
      <c r="VJ8" s="1761" t="s">
        <v>51</v>
      </c>
      <c r="VK8" s="1761"/>
      <c r="VL8" s="1761"/>
      <c r="VM8" s="1761"/>
      <c r="VN8" s="1761"/>
      <c r="VO8" s="1761"/>
      <c r="VP8" s="1761"/>
      <c r="VQ8" s="1761"/>
      <c r="VR8" s="1761"/>
      <c r="VS8" s="1761"/>
      <c r="VT8" s="1761"/>
      <c r="VU8" s="1761"/>
      <c r="VV8" s="1761"/>
      <c r="VW8" s="1761"/>
      <c r="VY8" s="1761" t="s">
        <v>51</v>
      </c>
      <c r="VZ8" s="1761"/>
      <c r="WA8" s="1761"/>
      <c r="WB8" s="1761"/>
      <c r="WC8" s="1761"/>
      <c r="WD8" s="1761"/>
      <c r="WE8" s="1761"/>
      <c r="WF8" s="1761"/>
      <c r="WG8" s="1761"/>
      <c r="WH8" s="1761"/>
      <c r="WI8" s="1761"/>
      <c r="WJ8" s="1761"/>
      <c r="WK8" s="1761"/>
      <c r="WL8" s="1761"/>
      <c r="WN8" s="1761" t="s">
        <v>51</v>
      </c>
      <c r="WO8" s="1761"/>
      <c r="WP8" s="1761"/>
      <c r="WQ8" s="1761"/>
      <c r="WR8" s="1761"/>
      <c r="WS8" s="1761"/>
      <c r="WT8" s="1761"/>
      <c r="WU8" s="1761"/>
      <c r="WV8" s="1761"/>
      <c r="WW8" s="1761"/>
      <c r="WX8" s="1761"/>
      <c r="WY8" s="1761"/>
      <c r="WZ8" s="1761"/>
      <c r="XA8" s="1761"/>
    </row>
    <row r="9" spans="1:625" s="43" customFormat="1" x14ac:dyDescent="0.25">
      <c r="A9" s="1617"/>
      <c r="B9" s="1617"/>
      <c r="C9" s="1617"/>
      <c r="D9" s="521" t="s">
        <v>179</v>
      </c>
      <c r="F9" s="950" t="s">
        <v>180</v>
      </c>
      <c r="H9" s="521" t="s">
        <v>180</v>
      </c>
      <c r="I9" s="520"/>
      <c r="J9" s="521" t="s">
        <v>180</v>
      </c>
      <c r="K9" s="520"/>
      <c r="L9" s="521" t="s">
        <v>179</v>
      </c>
      <c r="M9" s="520"/>
      <c r="N9" s="521" t="s">
        <v>179</v>
      </c>
      <c r="O9" s="1016"/>
      <c r="P9" s="1016" t="s">
        <v>181</v>
      </c>
      <c r="Q9" s="1016"/>
      <c r="R9" s="1016" t="s">
        <v>181</v>
      </c>
      <c r="S9" s="1617"/>
      <c r="T9" s="1617"/>
      <c r="U9" s="1617"/>
      <c r="V9" s="1016" t="s">
        <v>181</v>
      </c>
      <c r="W9" s="1016"/>
      <c r="X9" s="1016" t="s">
        <v>180</v>
      </c>
      <c r="Y9" s="1016"/>
      <c r="Z9" s="1016" t="s">
        <v>180</v>
      </c>
      <c r="AA9" s="1016"/>
      <c r="AB9" s="1016" t="s">
        <v>180</v>
      </c>
      <c r="AC9" s="1016"/>
      <c r="AD9" s="1016" t="s">
        <v>181</v>
      </c>
      <c r="AE9" s="1016"/>
      <c r="AF9" s="1016" t="s">
        <v>179</v>
      </c>
      <c r="AG9" s="1016"/>
      <c r="AH9" s="1016" t="s">
        <v>181</v>
      </c>
      <c r="AI9" s="1016"/>
      <c r="AJ9" s="1016" t="s">
        <v>181</v>
      </c>
      <c r="AK9" s="1617"/>
      <c r="AL9" s="1617"/>
      <c r="AM9" s="1617"/>
      <c r="AN9" s="1016" t="s">
        <v>181</v>
      </c>
      <c r="AO9" s="1016"/>
      <c r="AP9" s="1016" t="s">
        <v>180</v>
      </c>
      <c r="AQ9" s="1016"/>
      <c r="AR9" s="1016" t="s">
        <v>180</v>
      </c>
      <c r="AS9" s="1016"/>
      <c r="AT9" s="1016" t="s">
        <v>180</v>
      </c>
      <c r="AU9" s="1016"/>
      <c r="AV9" s="1016" t="s">
        <v>181</v>
      </c>
      <c r="AW9" s="1016"/>
      <c r="AX9" s="1016" t="s">
        <v>179</v>
      </c>
      <c r="AY9" s="1016"/>
      <c r="AZ9" s="1016" t="s">
        <v>181</v>
      </c>
      <c r="BA9" s="1016"/>
      <c r="BB9" s="1016" t="s">
        <v>181</v>
      </c>
      <c r="BC9" s="1617"/>
      <c r="BD9" s="1617"/>
      <c r="BE9" s="1617"/>
      <c r="BF9" s="1016" t="s">
        <v>181</v>
      </c>
      <c r="BG9" s="1016"/>
      <c r="BH9" s="1016" t="s">
        <v>180</v>
      </c>
      <c r="BI9" s="1016"/>
      <c r="BJ9" s="1016" t="s">
        <v>180</v>
      </c>
      <c r="BK9" s="1016"/>
      <c r="BL9" s="1016" t="s">
        <v>180</v>
      </c>
      <c r="BM9" s="1016"/>
      <c r="BN9" s="1016" t="s">
        <v>181</v>
      </c>
      <c r="BO9" s="1016"/>
      <c r="BP9" s="1016" t="s">
        <v>179</v>
      </c>
      <c r="BQ9" s="1016"/>
      <c r="BR9" s="1016" t="s">
        <v>181</v>
      </c>
      <c r="BS9" s="1016"/>
      <c r="BT9" s="1016" t="s">
        <v>181</v>
      </c>
      <c r="BU9" s="1617"/>
      <c r="BV9" s="1617"/>
      <c r="BW9" s="1617"/>
      <c r="BX9" s="1016" t="s">
        <v>181</v>
      </c>
      <c r="BY9" s="1016"/>
      <c r="BZ9" s="1016" t="s">
        <v>180</v>
      </c>
      <c r="CA9" s="1016"/>
      <c r="CB9" s="1016" t="s">
        <v>180</v>
      </c>
      <c r="CC9" s="1016"/>
      <c r="CD9" s="1016" t="s">
        <v>180</v>
      </c>
      <c r="CE9" s="1016"/>
      <c r="CF9" s="1016" t="s">
        <v>181</v>
      </c>
      <c r="CG9" s="1016"/>
      <c r="CH9" s="1016" t="s">
        <v>179</v>
      </c>
      <c r="CI9" s="1016"/>
      <c r="CJ9" s="1016" t="s">
        <v>181</v>
      </c>
      <c r="CK9" s="1016"/>
      <c r="CL9" s="1016" t="s">
        <v>181</v>
      </c>
      <c r="CM9" s="1617"/>
      <c r="CN9" s="1617"/>
      <c r="CO9" s="1617"/>
      <c r="CP9" s="1016" t="s">
        <v>181</v>
      </c>
      <c r="CQ9" s="1016"/>
      <c r="CR9" s="1016" t="s">
        <v>180</v>
      </c>
      <c r="CS9" s="1016"/>
      <c r="CT9" s="1016" t="s">
        <v>180</v>
      </c>
      <c r="CU9" s="1016"/>
      <c r="CV9" s="1016" t="s">
        <v>180</v>
      </c>
      <c r="CW9" s="1016"/>
      <c r="CX9" s="1016" t="s">
        <v>181</v>
      </c>
      <c r="CY9" s="1016"/>
      <c r="CZ9" s="1016" t="s">
        <v>179</v>
      </c>
      <c r="DA9" s="1016"/>
      <c r="DB9" s="1016" t="s">
        <v>181</v>
      </c>
      <c r="DC9" s="1016"/>
      <c r="DD9" s="1016" t="s">
        <v>181</v>
      </c>
      <c r="DE9" s="1617"/>
      <c r="DF9" s="1617"/>
      <c r="DG9" s="1617"/>
      <c r="DH9" s="1016" t="s">
        <v>181</v>
      </c>
      <c r="DI9" s="1016"/>
      <c r="DJ9" s="1016" t="s">
        <v>180</v>
      </c>
      <c r="DK9" s="1016"/>
      <c r="DL9" s="1016" t="s">
        <v>180</v>
      </c>
      <c r="DM9" s="1016"/>
      <c r="DN9" s="1016" t="s">
        <v>180</v>
      </c>
      <c r="DO9" s="1016"/>
      <c r="DP9" s="1016" t="s">
        <v>181</v>
      </c>
      <c r="DQ9" s="1016"/>
      <c r="DR9" s="1016" t="s">
        <v>179</v>
      </c>
      <c r="DS9" s="1016"/>
      <c r="DT9" s="1016" t="s">
        <v>181</v>
      </c>
      <c r="DU9" s="1016"/>
      <c r="DV9" s="1016" t="s">
        <v>181</v>
      </c>
      <c r="DW9" s="1617"/>
      <c r="DX9" s="1617"/>
      <c r="DY9" s="1617"/>
      <c r="DZ9" s="1016" t="s">
        <v>181</v>
      </c>
      <c r="EA9" s="1016"/>
      <c r="EB9" s="1016" t="s">
        <v>180</v>
      </c>
      <c r="EC9" s="1016"/>
      <c r="ED9" s="1016" t="s">
        <v>180</v>
      </c>
      <c r="EE9" s="1016"/>
      <c r="EF9" s="1016" t="s">
        <v>180</v>
      </c>
      <c r="EG9" s="1016"/>
      <c r="EH9" s="1016" t="s">
        <v>181</v>
      </c>
      <c r="EI9" s="1016"/>
      <c r="EJ9" s="1016" t="s">
        <v>179</v>
      </c>
      <c r="EK9" s="1016"/>
      <c r="EL9" s="1016" t="s">
        <v>181</v>
      </c>
      <c r="EM9" s="1016"/>
      <c r="EN9" s="1016" t="s">
        <v>181</v>
      </c>
      <c r="EO9" s="1617"/>
      <c r="EP9" s="1617"/>
      <c r="EQ9" s="1617"/>
      <c r="ER9" s="1016" t="s">
        <v>181</v>
      </c>
      <c r="ES9" s="1016"/>
      <c r="ET9" s="1016" t="s">
        <v>180</v>
      </c>
      <c r="EU9" s="1016"/>
      <c r="EV9" s="1016" t="s">
        <v>180</v>
      </c>
      <c r="EW9" s="1016"/>
      <c r="EX9" s="1016" t="s">
        <v>180</v>
      </c>
      <c r="EY9" s="1016"/>
      <c r="EZ9" s="1016" t="s">
        <v>181</v>
      </c>
      <c r="FA9" s="1016"/>
      <c r="FB9" s="1016" t="s">
        <v>179</v>
      </c>
      <c r="FC9" s="1016"/>
      <c r="FD9" s="1016" t="s">
        <v>181</v>
      </c>
      <c r="FE9" s="1016"/>
      <c r="FF9" s="1016" t="s">
        <v>181</v>
      </c>
      <c r="FG9" s="1617"/>
      <c r="FH9" s="1617"/>
      <c r="FI9" s="1617"/>
      <c r="FJ9" s="1016" t="s">
        <v>181</v>
      </c>
      <c r="FK9" s="1016"/>
      <c r="FL9" s="1016" t="s">
        <v>180</v>
      </c>
      <c r="FM9" s="1016"/>
      <c r="FN9" s="1016" t="s">
        <v>180</v>
      </c>
      <c r="FO9" s="1016"/>
      <c r="FP9" s="1016" t="s">
        <v>180</v>
      </c>
      <c r="FQ9" s="1016"/>
      <c r="FR9" s="1016" t="s">
        <v>181</v>
      </c>
      <c r="FS9" s="1016"/>
      <c r="FT9" s="1016" t="s">
        <v>179</v>
      </c>
      <c r="FU9" s="1016"/>
      <c r="FV9" s="1016" t="s">
        <v>181</v>
      </c>
      <c r="FW9" s="1016"/>
      <c r="FX9" s="1016" t="s">
        <v>181</v>
      </c>
      <c r="FY9" s="1617"/>
      <c r="FZ9" s="1617"/>
      <c r="GA9" s="1617"/>
      <c r="GB9" s="1016" t="s">
        <v>181</v>
      </c>
      <c r="GC9" s="1016"/>
      <c r="GD9" s="1016" t="s">
        <v>180</v>
      </c>
      <c r="GE9" s="1016"/>
      <c r="GF9" s="1016" t="s">
        <v>180</v>
      </c>
      <c r="GG9" s="1016"/>
      <c r="GH9" s="1016" t="s">
        <v>180</v>
      </c>
      <c r="GI9" s="1016"/>
      <c r="GJ9" s="1016" t="s">
        <v>181</v>
      </c>
      <c r="GK9" s="1016"/>
      <c r="GL9" s="1016" t="s">
        <v>179</v>
      </c>
      <c r="GM9" s="1016"/>
      <c r="GN9" s="1016" t="s">
        <v>181</v>
      </c>
      <c r="GO9" s="1016"/>
      <c r="GP9" s="1016" t="s">
        <v>181</v>
      </c>
      <c r="GQ9" s="1617"/>
      <c r="GR9" s="1617"/>
      <c r="GS9" s="1617"/>
      <c r="GT9" s="1016" t="s">
        <v>181</v>
      </c>
      <c r="GU9" s="1016"/>
      <c r="GV9" s="1016" t="s">
        <v>180</v>
      </c>
      <c r="GW9" s="1016"/>
      <c r="GX9" s="1016" t="s">
        <v>180</v>
      </c>
      <c r="GY9" s="1016"/>
      <c r="GZ9" s="1016" t="s">
        <v>180</v>
      </c>
      <c r="HA9" s="1016"/>
      <c r="HB9" s="1016" t="s">
        <v>181</v>
      </c>
      <c r="HC9" s="1016"/>
      <c r="HD9" s="1016" t="s">
        <v>179</v>
      </c>
      <c r="HE9" s="1016"/>
      <c r="HF9" s="1016" t="s">
        <v>181</v>
      </c>
      <c r="HG9" s="1016"/>
      <c r="HH9" s="1016" t="s">
        <v>181</v>
      </c>
      <c r="HI9" s="1617"/>
      <c r="HJ9" s="1617"/>
      <c r="HK9" s="1617"/>
      <c r="HL9" s="1016" t="s">
        <v>181</v>
      </c>
      <c r="HM9" s="1016"/>
      <c r="HN9" s="1016" t="s">
        <v>180</v>
      </c>
      <c r="HO9" s="1016"/>
      <c r="HP9" s="1016" t="s">
        <v>180</v>
      </c>
      <c r="HQ9" s="1016"/>
      <c r="HR9" s="1016" t="s">
        <v>180</v>
      </c>
      <c r="HS9" s="1016"/>
      <c r="HT9" s="1016" t="s">
        <v>181</v>
      </c>
      <c r="HU9" s="1016"/>
      <c r="HV9" s="1016" t="s">
        <v>179</v>
      </c>
      <c r="HW9" s="1016"/>
      <c r="HX9" s="1016" t="s">
        <v>181</v>
      </c>
      <c r="HY9" s="1016"/>
      <c r="HZ9" s="1016" t="s">
        <v>181</v>
      </c>
      <c r="IA9" s="1617"/>
      <c r="IB9" s="1617"/>
      <c r="IC9" s="1617"/>
      <c r="ID9" s="1016" t="s">
        <v>181</v>
      </c>
      <c r="IE9" s="1016"/>
      <c r="IF9" s="1016" t="s">
        <v>180</v>
      </c>
      <c r="IG9" s="1016"/>
      <c r="IH9" s="1016" t="s">
        <v>180</v>
      </c>
      <c r="II9" s="1016"/>
      <c r="IJ9" s="1016" t="s">
        <v>180</v>
      </c>
      <c r="IK9" s="1016"/>
      <c r="IL9" s="1016" t="s">
        <v>181</v>
      </c>
      <c r="IM9" s="1016"/>
      <c r="IN9" s="1016" t="s">
        <v>179</v>
      </c>
      <c r="IO9" s="1016"/>
      <c r="IP9" s="1016" t="s">
        <v>181</v>
      </c>
      <c r="IQ9" s="1016"/>
      <c r="IR9" s="1016" t="s">
        <v>181</v>
      </c>
      <c r="IS9" s="1617"/>
      <c r="IT9" s="1617"/>
      <c r="IU9" s="1617"/>
      <c r="IV9" s="1016" t="s">
        <v>181</v>
      </c>
      <c r="IW9" s="1016"/>
      <c r="IX9" s="1016" t="s">
        <v>180</v>
      </c>
      <c r="IY9" s="1016"/>
      <c r="IZ9" s="1016" t="s">
        <v>180</v>
      </c>
      <c r="JA9" s="1016"/>
      <c r="JB9" s="1016" t="s">
        <v>180</v>
      </c>
      <c r="JC9" s="1016"/>
      <c r="JD9" s="1016" t="s">
        <v>181</v>
      </c>
      <c r="JE9" s="1016"/>
      <c r="JF9" s="1016" t="s">
        <v>179</v>
      </c>
      <c r="JG9" s="1016"/>
      <c r="JH9" s="1016" t="s">
        <v>181</v>
      </c>
      <c r="JI9" s="1016"/>
      <c r="JJ9" s="1016" t="s">
        <v>181</v>
      </c>
      <c r="JK9" s="1617"/>
      <c r="JL9" s="1617"/>
      <c r="JM9" s="1617"/>
      <c r="JN9" s="1016" t="s">
        <v>181</v>
      </c>
      <c r="JO9" s="1016"/>
      <c r="JP9" s="1016" t="s">
        <v>180</v>
      </c>
      <c r="JQ9" s="1016"/>
      <c r="JR9" s="1016" t="s">
        <v>180</v>
      </c>
      <c r="JS9" s="1016"/>
      <c r="JT9" s="1016" t="s">
        <v>180</v>
      </c>
      <c r="JU9" s="1016"/>
      <c r="JV9" s="1016" t="s">
        <v>181</v>
      </c>
      <c r="JW9" s="1016"/>
      <c r="JX9" s="1016" t="s">
        <v>179</v>
      </c>
      <c r="JY9" s="1016"/>
      <c r="JZ9" s="1016" t="s">
        <v>181</v>
      </c>
      <c r="KA9" s="1016"/>
      <c r="KB9" s="1016" t="s">
        <v>181</v>
      </c>
      <c r="KC9" s="1617"/>
      <c r="KD9" s="1617"/>
      <c r="KE9" s="1617"/>
      <c r="KF9" s="1016" t="s">
        <v>181</v>
      </c>
      <c r="KG9" s="1016"/>
      <c r="KH9" s="1016" t="s">
        <v>180</v>
      </c>
      <c r="KI9" s="1016"/>
      <c r="KJ9" s="1016" t="s">
        <v>180</v>
      </c>
      <c r="KK9" s="1016"/>
      <c r="KL9" s="1016" t="s">
        <v>180</v>
      </c>
      <c r="KM9" s="1016"/>
      <c r="KN9" s="1016" t="s">
        <v>181</v>
      </c>
      <c r="KO9" s="1016"/>
      <c r="KP9" s="1016" t="s">
        <v>179</v>
      </c>
      <c r="KQ9" s="1016"/>
      <c r="KR9" s="1016" t="s">
        <v>181</v>
      </c>
      <c r="KS9" s="1016"/>
      <c r="KT9" s="1016" t="s">
        <v>181</v>
      </c>
      <c r="KU9" s="1617"/>
      <c r="KV9" s="1617"/>
      <c r="KW9" s="1617"/>
      <c r="KX9" s="1016" t="s">
        <v>181</v>
      </c>
      <c r="KY9" s="1016"/>
      <c r="KZ9" s="1016" t="s">
        <v>180</v>
      </c>
      <c r="LA9" s="1016"/>
      <c r="LB9" s="1016" t="s">
        <v>180</v>
      </c>
      <c r="LC9" s="1016"/>
      <c r="LD9" s="1016" t="s">
        <v>180</v>
      </c>
      <c r="LE9" s="1016"/>
      <c r="LF9" s="1016" t="s">
        <v>181</v>
      </c>
      <c r="LG9" s="1016"/>
      <c r="LH9" s="1016" t="s">
        <v>179</v>
      </c>
      <c r="LI9" s="1016"/>
      <c r="LJ9" s="1016" t="s">
        <v>181</v>
      </c>
      <c r="LK9" s="1016"/>
      <c r="LL9" s="1016" t="s">
        <v>181</v>
      </c>
      <c r="LM9" s="1617"/>
      <c r="LN9" s="1617"/>
      <c r="LO9" s="1617"/>
      <c r="LP9" s="1016" t="s">
        <v>181</v>
      </c>
      <c r="LQ9" s="1016"/>
      <c r="LR9" s="1016" t="s">
        <v>180</v>
      </c>
      <c r="LS9" s="1016"/>
      <c r="LT9" s="1016" t="s">
        <v>180</v>
      </c>
      <c r="LU9" s="1016"/>
      <c r="LV9" s="1016" t="s">
        <v>180</v>
      </c>
      <c r="LW9" s="1016"/>
      <c r="LX9" s="1016" t="s">
        <v>181</v>
      </c>
      <c r="LY9" s="1016"/>
      <c r="LZ9" s="1016" t="s">
        <v>179</v>
      </c>
      <c r="MA9" s="1016"/>
      <c r="MB9" s="1016" t="s">
        <v>181</v>
      </c>
      <c r="MC9" s="1016"/>
      <c r="MD9" s="1016" t="s">
        <v>181</v>
      </c>
      <c r="ME9" s="1617"/>
      <c r="MF9" s="1617"/>
      <c r="MG9" s="1617"/>
      <c r="MH9" s="1016" t="s">
        <v>181</v>
      </c>
      <c r="MI9" s="1016"/>
      <c r="MJ9" s="1016" t="s">
        <v>180</v>
      </c>
      <c r="MK9" s="1016"/>
      <c r="ML9" s="1016" t="s">
        <v>180</v>
      </c>
      <c r="MM9" s="1016"/>
      <c r="MN9" s="1016" t="s">
        <v>180</v>
      </c>
      <c r="MO9" s="1016"/>
      <c r="MP9" s="1016" t="s">
        <v>181</v>
      </c>
      <c r="MQ9" s="1016"/>
      <c r="MR9" s="1016" t="s">
        <v>179</v>
      </c>
      <c r="MS9" s="1016"/>
      <c r="MT9" s="1016" t="s">
        <v>181</v>
      </c>
      <c r="MU9" s="1016"/>
      <c r="MV9" s="1016" t="s">
        <v>181</v>
      </c>
      <c r="MW9" s="1617"/>
      <c r="MX9" s="1617"/>
      <c r="MY9" s="1617"/>
      <c r="MZ9" s="1016" t="s">
        <v>181</v>
      </c>
      <c r="NA9" s="1016"/>
      <c r="NB9" s="1016" t="s">
        <v>180</v>
      </c>
      <c r="NC9" s="1016"/>
      <c r="ND9" s="1016" t="s">
        <v>180</v>
      </c>
      <c r="NE9" s="1016"/>
      <c r="NF9" s="1016" t="s">
        <v>180</v>
      </c>
      <c r="NG9" s="1016"/>
      <c r="NH9" s="1016" t="s">
        <v>181</v>
      </c>
      <c r="NI9" s="1016"/>
      <c r="NJ9" s="1016" t="s">
        <v>179</v>
      </c>
      <c r="NK9" s="1016"/>
      <c r="NL9" s="1016" t="s">
        <v>181</v>
      </c>
      <c r="NM9" s="1016"/>
      <c r="NN9" s="1016" t="s">
        <v>181</v>
      </c>
      <c r="NO9" s="1617"/>
      <c r="NP9" s="1617"/>
      <c r="NQ9" s="1617"/>
      <c r="NR9" s="1016" t="s">
        <v>181</v>
      </c>
      <c r="NS9" s="1016"/>
      <c r="NT9" s="1016" t="s">
        <v>180</v>
      </c>
      <c r="NU9" s="1016"/>
      <c r="NV9" s="1016" t="s">
        <v>180</v>
      </c>
      <c r="NW9" s="1016"/>
      <c r="NX9" s="1016" t="s">
        <v>180</v>
      </c>
      <c r="NY9" s="1016"/>
      <c r="NZ9" s="1016" t="s">
        <v>181</v>
      </c>
      <c r="OA9" s="1016"/>
      <c r="OB9" s="1016" t="s">
        <v>179</v>
      </c>
      <c r="OC9" s="1016"/>
      <c r="OD9" s="1016" t="s">
        <v>181</v>
      </c>
      <c r="OE9" s="1016"/>
      <c r="OF9" s="1016" t="s">
        <v>181</v>
      </c>
      <c r="OG9" s="1617"/>
      <c r="OH9" s="1617"/>
      <c r="OI9" s="1617"/>
      <c r="OJ9" s="1016" t="s">
        <v>181</v>
      </c>
      <c r="OK9" s="1016"/>
      <c r="OL9" s="1016" t="s">
        <v>180</v>
      </c>
      <c r="OM9" s="1016"/>
      <c r="ON9" s="1016" t="s">
        <v>180</v>
      </c>
      <c r="OO9" s="1016"/>
      <c r="OP9" s="1016" t="s">
        <v>180</v>
      </c>
      <c r="OQ9" s="1016"/>
      <c r="OR9" s="1016" t="s">
        <v>181</v>
      </c>
      <c r="OS9" s="1016"/>
      <c r="OT9" s="1016" t="s">
        <v>179</v>
      </c>
      <c r="OU9" s="1016"/>
      <c r="OV9" s="1016" t="s">
        <v>181</v>
      </c>
      <c r="OW9" s="1016"/>
      <c r="OX9" s="1016" t="s">
        <v>181</v>
      </c>
      <c r="OY9" s="1617"/>
      <c r="OZ9" s="1617"/>
      <c r="PA9" s="1617"/>
      <c r="PB9" s="1016" t="s">
        <v>181</v>
      </c>
      <c r="PC9" s="1016"/>
      <c r="PD9" s="1016" t="s">
        <v>180</v>
      </c>
      <c r="PE9" s="1016"/>
      <c r="PF9" s="1016" t="s">
        <v>180</v>
      </c>
      <c r="PG9" s="1016"/>
      <c r="PH9" s="1016" t="s">
        <v>180</v>
      </c>
      <c r="PI9" s="1016"/>
      <c r="PJ9" s="1016" t="s">
        <v>181</v>
      </c>
      <c r="PK9" s="1016"/>
      <c r="PL9" s="1016" t="s">
        <v>179</v>
      </c>
      <c r="PM9" s="1016"/>
      <c r="PN9" s="1016" t="s">
        <v>181</v>
      </c>
      <c r="PO9" s="1016"/>
      <c r="PP9" s="1016" t="s">
        <v>181</v>
      </c>
      <c r="PQ9" s="1617"/>
      <c r="PR9" s="1617"/>
      <c r="PS9" s="1617"/>
      <c r="PT9" s="1016" t="s">
        <v>181</v>
      </c>
      <c r="PU9" s="1016"/>
      <c r="PV9" s="1016" t="s">
        <v>180</v>
      </c>
      <c r="PW9" s="1016"/>
      <c r="PX9" s="1016" t="s">
        <v>180</v>
      </c>
      <c r="PY9" s="1016"/>
      <c r="PZ9" s="1016" t="s">
        <v>180</v>
      </c>
      <c r="QA9" s="1016"/>
      <c r="QB9" s="1016" t="s">
        <v>181</v>
      </c>
      <c r="QC9" s="1016"/>
      <c r="QD9" s="1016" t="s">
        <v>179</v>
      </c>
      <c r="QE9" s="1016"/>
      <c r="QF9" s="1016" t="s">
        <v>181</v>
      </c>
      <c r="QG9" s="1016"/>
      <c r="QH9" s="1016" t="s">
        <v>181</v>
      </c>
      <c r="QI9" s="1759"/>
      <c r="QJ9" s="1758"/>
      <c r="QK9" s="1758"/>
      <c r="QL9" s="1758"/>
      <c r="QM9" s="1016" t="s">
        <v>181</v>
      </c>
      <c r="QN9" s="1016"/>
      <c r="QO9" s="1016" t="s">
        <v>180</v>
      </c>
      <c r="QP9" s="1016"/>
      <c r="QQ9" s="1016" t="s">
        <v>180</v>
      </c>
      <c r="QR9" s="1016"/>
      <c r="QS9" s="1016" t="s">
        <v>180</v>
      </c>
      <c r="QT9" s="1016"/>
      <c r="QU9" s="1016" t="s">
        <v>181</v>
      </c>
      <c r="QV9" s="1016"/>
      <c r="QW9" s="1016" t="s">
        <v>179</v>
      </c>
      <c r="QX9" s="1016"/>
      <c r="QY9" s="1016" t="s">
        <v>181</v>
      </c>
      <c r="QZ9" s="1016"/>
      <c r="RA9" s="1016" t="s">
        <v>181</v>
      </c>
      <c r="RB9" s="1225"/>
      <c r="RC9" s="1016"/>
      <c r="RD9" s="1617"/>
      <c r="RE9" s="1016" t="s">
        <v>181</v>
      </c>
      <c r="RF9" s="1016"/>
      <c r="RG9" s="1016" t="s">
        <v>180</v>
      </c>
      <c r="RH9" s="1016"/>
      <c r="RI9" s="1016" t="s">
        <v>180</v>
      </c>
      <c r="RJ9" s="1016"/>
      <c r="RK9" s="1016" t="s">
        <v>180</v>
      </c>
      <c r="RL9" s="1016"/>
      <c r="RM9" s="1016" t="s">
        <v>181</v>
      </c>
      <c r="RN9" s="1016"/>
      <c r="RO9" s="1016" t="s">
        <v>179</v>
      </c>
      <c r="RP9" s="1016"/>
      <c r="RQ9" s="1016" t="s">
        <v>181</v>
      </c>
      <c r="RR9" s="1016"/>
      <c r="RS9" s="1016" t="s">
        <v>181</v>
      </c>
      <c r="RT9" s="1758"/>
      <c r="RU9" s="1758"/>
      <c r="RV9" s="1758"/>
      <c r="RW9" s="1016" t="s">
        <v>181</v>
      </c>
      <c r="RX9" s="1016"/>
      <c r="RY9" s="1016" t="s">
        <v>180</v>
      </c>
      <c r="RZ9" s="1016"/>
      <c r="SA9" s="1016" t="s">
        <v>180</v>
      </c>
      <c r="SB9" s="1016"/>
      <c r="SC9" s="1016" t="s">
        <v>180</v>
      </c>
      <c r="SD9" s="1016"/>
      <c r="SE9" s="1016" t="s">
        <v>181</v>
      </c>
      <c r="SF9" s="1016"/>
      <c r="SG9" s="1016" t="s">
        <v>179</v>
      </c>
      <c r="SH9" s="1016"/>
      <c r="SI9" s="1016" t="s">
        <v>181</v>
      </c>
      <c r="SJ9" s="1016"/>
      <c r="SK9" s="1016" t="s">
        <v>181</v>
      </c>
      <c r="SL9" s="1758"/>
      <c r="SM9" s="1758"/>
      <c r="SN9" s="1758"/>
      <c r="SO9" s="1016" t="s">
        <v>181</v>
      </c>
      <c r="SP9" s="1016"/>
      <c r="SQ9" s="1016" t="s">
        <v>180</v>
      </c>
      <c r="SR9" s="1016"/>
      <c r="SS9" s="1016" t="s">
        <v>180</v>
      </c>
      <c r="ST9" s="1016"/>
      <c r="SU9" s="1016" t="s">
        <v>180</v>
      </c>
      <c r="SV9" s="1016"/>
      <c r="SW9" s="1016" t="s">
        <v>181</v>
      </c>
      <c r="SX9" s="1016"/>
      <c r="SY9" s="1016" t="s">
        <v>179</v>
      </c>
      <c r="SZ9" s="1016"/>
      <c r="TA9" s="1016" t="s">
        <v>181</v>
      </c>
      <c r="TB9" s="1016"/>
      <c r="TC9" s="1016" t="s">
        <v>181</v>
      </c>
      <c r="TD9" s="1759"/>
      <c r="TE9" s="1758"/>
      <c r="TF9" s="1758"/>
      <c r="TG9" s="1758"/>
      <c r="TH9" s="1016" t="s">
        <v>181</v>
      </c>
      <c r="TI9" s="1016"/>
      <c r="TJ9" s="1016" t="s">
        <v>180</v>
      </c>
      <c r="TK9" s="1016"/>
      <c r="TL9" s="1016" t="s">
        <v>180</v>
      </c>
      <c r="TM9" s="1016"/>
      <c r="TN9" s="1016" t="s">
        <v>180</v>
      </c>
      <c r="TO9" s="1016"/>
      <c r="TP9" s="1016" t="s">
        <v>181</v>
      </c>
      <c r="TQ9" s="1016"/>
      <c r="TR9" s="1016" t="s">
        <v>179</v>
      </c>
      <c r="TS9" s="1016"/>
      <c r="TT9" s="1016" t="s">
        <v>181</v>
      </c>
      <c r="TU9" s="1016"/>
      <c r="TV9" s="1016" t="s">
        <v>181</v>
      </c>
      <c r="TW9" s="1759"/>
      <c r="TX9" s="1758"/>
      <c r="TY9" s="1758"/>
      <c r="TZ9" s="1758"/>
      <c r="UA9" s="1016" t="s">
        <v>180</v>
      </c>
      <c r="UB9" s="1016"/>
      <c r="UC9" s="1016" t="s">
        <v>180</v>
      </c>
      <c r="UD9" s="1016"/>
      <c r="UE9" s="1016" t="s">
        <v>180</v>
      </c>
      <c r="UF9" s="1016"/>
      <c r="UG9" s="1016" t="s">
        <v>180</v>
      </c>
      <c r="UH9" s="1016"/>
      <c r="UI9" s="1016" t="s">
        <v>181</v>
      </c>
      <c r="UJ9" s="1016"/>
      <c r="UK9" s="1016" t="s">
        <v>179</v>
      </c>
      <c r="UL9" s="1016"/>
      <c r="UM9" s="1016" t="s">
        <v>181</v>
      </c>
      <c r="UN9" s="1016"/>
      <c r="UO9" s="1016" t="s">
        <v>181</v>
      </c>
      <c r="UQ9" s="1758"/>
      <c r="UR9" s="1758"/>
      <c r="US9" s="1758"/>
      <c r="UT9" s="1016" t="s">
        <v>181</v>
      </c>
      <c r="UU9" s="1016"/>
      <c r="UV9" s="1016" t="s">
        <v>180</v>
      </c>
      <c r="UW9" s="1016"/>
      <c r="UX9" s="1016" t="s">
        <v>180</v>
      </c>
      <c r="UY9" s="1016"/>
      <c r="UZ9" s="1016" t="s">
        <v>180</v>
      </c>
      <c r="VA9" s="1016"/>
      <c r="VB9" s="1016" t="s">
        <v>181</v>
      </c>
      <c r="VC9" s="1016"/>
      <c r="VD9" s="1016" t="s">
        <v>179</v>
      </c>
      <c r="VE9" s="1016"/>
      <c r="VF9" s="1016" t="s">
        <v>181</v>
      </c>
      <c r="VG9" s="1016"/>
      <c r="VH9" s="1016" t="s">
        <v>181</v>
      </c>
      <c r="VJ9" s="1617"/>
      <c r="VK9" s="1617"/>
      <c r="VL9" s="1617"/>
      <c r="VM9" s="1016" t="s">
        <v>181</v>
      </c>
      <c r="VN9" s="1016"/>
      <c r="VO9" s="1016" t="s">
        <v>180</v>
      </c>
      <c r="VP9" s="1016"/>
      <c r="VQ9" s="1016" t="s">
        <v>180</v>
      </c>
      <c r="VR9" s="1016"/>
      <c r="VS9" s="1016" t="s">
        <v>180</v>
      </c>
      <c r="VT9" s="1016"/>
      <c r="VU9" s="1016" t="s">
        <v>181</v>
      </c>
      <c r="VV9" s="1016"/>
      <c r="VW9" s="1016" t="s">
        <v>179</v>
      </c>
      <c r="VY9" s="1758"/>
      <c r="VZ9" s="1758"/>
      <c r="WA9" s="1758"/>
      <c r="WB9" s="1016" t="s">
        <v>181</v>
      </c>
      <c r="WC9" s="1016"/>
      <c r="WD9" s="1016" t="s">
        <v>180</v>
      </c>
      <c r="WE9" s="1016"/>
      <c r="WF9" s="1016" t="s">
        <v>180</v>
      </c>
      <c r="WG9" s="1016"/>
      <c r="WH9" s="1016" t="s">
        <v>180</v>
      </c>
      <c r="WI9" s="1016"/>
      <c r="WJ9" s="1016" t="s">
        <v>181</v>
      </c>
      <c r="WK9" s="1016"/>
      <c r="WL9" s="1016" t="s">
        <v>179</v>
      </c>
      <c r="WN9" s="1758"/>
      <c r="WO9" s="1758"/>
      <c r="WP9" s="1758"/>
      <c r="WQ9" s="1016" t="s">
        <v>181</v>
      </c>
      <c r="WR9" s="1016"/>
      <c r="WS9" s="1016" t="s">
        <v>180</v>
      </c>
      <c r="WT9" s="1016"/>
      <c r="WU9" s="1016" t="s">
        <v>180</v>
      </c>
      <c r="WV9" s="1016"/>
      <c r="WW9" s="1016" t="s">
        <v>180</v>
      </c>
      <c r="WX9" s="1016"/>
      <c r="WY9" s="1016" t="s">
        <v>181</v>
      </c>
      <c r="WZ9" s="1016"/>
      <c r="XA9" s="1016" t="s">
        <v>179</v>
      </c>
    </row>
    <row r="10" spans="1:625" x14ac:dyDescent="0.25">
      <c r="A10" s="8"/>
      <c r="B10" s="8"/>
      <c r="C10" s="8"/>
      <c r="D10" s="483"/>
      <c r="E10" s="484"/>
      <c r="F10" s="484"/>
      <c r="G10" s="484"/>
      <c r="H10" s="484"/>
      <c r="I10" s="484"/>
      <c r="J10" s="109"/>
      <c r="K10" s="109"/>
      <c r="L10" s="109"/>
      <c r="M10" s="109"/>
      <c r="N10" s="110"/>
      <c r="O10" s="109"/>
      <c r="P10" s="109"/>
      <c r="Q10" s="109"/>
      <c r="R10" s="110"/>
      <c r="S10" s="8"/>
      <c r="T10" s="8"/>
      <c r="U10" s="8"/>
      <c r="V10" s="483"/>
      <c r="W10" s="484"/>
      <c r="X10" s="484"/>
      <c r="Y10" s="484"/>
      <c r="Z10" s="484"/>
      <c r="AA10" s="484"/>
      <c r="AB10" s="109"/>
      <c r="AC10" s="109"/>
      <c r="AD10" s="109"/>
      <c r="AE10" s="109"/>
      <c r="AF10" s="110"/>
      <c r="AG10" s="109"/>
      <c r="AH10" s="109"/>
      <c r="AI10" s="109"/>
      <c r="AJ10" s="110"/>
      <c r="AK10" s="8"/>
      <c r="AL10" s="8"/>
      <c r="AM10" s="8"/>
      <c r="AN10" s="483"/>
      <c r="AO10" s="484"/>
      <c r="AP10" s="484"/>
      <c r="AQ10" s="484"/>
      <c r="AR10" s="484"/>
      <c r="AS10" s="484"/>
      <c r="AT10" s="109"/>
      <c r="AU10" s="109"/>
      <c r="AV10" s="109"/>
      <c r="AW10" s="109"/>
      <c r="AX10" s="110"/>
      <c r="AY10" s="109"/>
      <c r="AZ10" s="109"/>
      <c r="BA10" s="109"/>
      <c r="BB10" s="110"/>
      <c r="BC10" s="8"/>
      <c r="BD10" s="8"/>
      <c r="BE10" s="8"/>
      <c r="BF10" s="483"/>
      <c r="BG10" s="484"/>
      <c r="BH10" s="484"/>
      <c r="BI10" s="484"/>
      <c r="BJ10" s="484"/>
      <c r="BK10" s="484"/>
      <c r="BL10" s="109"/>
      <c r="BM10" s="109"/>
      <c r="BN10" s="109"/>
      <c r="BO10" s="109"/>
      <c r="BP10" s="110"/>
      <c r="BQ10" s="109"/>
      <c r="BR10" s="109"/>
      <c r="BS10" s="109"/>
      <c r="BT10" s="110"/>
      <c r="BU10" s="8"/>
      <c r="BV10" s="8"/>
      <c r="BW10" s="8"/>
      <c r="BX10" s="483"/>
      <c r="BY10" s="484"/>
      <c r="BZ10" s="484"/>
      <c r="CA10" s="484"/>
      <c r="CB10" s="484"/>
      <c r="CC10" s="484"/>
      <c r="CD10" s="109"/>
      <c r="CE10" s="109"/>
      <c r="CF10" s="109"/>
      <c r="CG10" s="109"/>
      <c r="CH10" s="110"/>
      <c r="CI10" s="109"/>
      <c r="CJ10" s="109"/>
      <c r="CK10" s="109"/>
      <c r="CL10" s="110"/>
      <c r="CM10" s="8"/>
      <c r="CN10" s="8"/>
      <c r="CO10" s="8"/>
      <c r="CP10" s="483"/>
      <c r="CQ10" s="484"/>
      <c r="CR10" s="484"/>
      <c r="CS10" s="484"/>
      <c r="CT10" s="484"/>
      <c r="CU10" s="484"/>
      <c r="CV10" s="109"/>
      <c r="CW10" s="109"/>
      <c r="CX10" s="109"/>
      <c r="CY10" s="109"/>
      <c r="CZ10" s="110"/>
      <c r="DA10" s="109"/>
      <c r="DB10" s="109"/>
      <c r="DC10" s="109"/>
      <c r="DD10" s="110"/>
      <c r="DE10" s="8"/>
      <c r="DF10" s="8"/>
      <c r="DG10" s="8"/>
      <c r="DH10" s="483"/>
      <c r="DI10" s="484"/>
      <c r="DJ10" s="484"/>
      <c r="DK10" s="484"/>
      <c r="DL10" s="484"/>
      <c r="DM10" s="484"/>
      <c r="DN10" s="109"/>
      <c r="DO10" s="109"/>
      <c r="DP10" s="109"/>
      <c r="DQ10" s="109"/>
      <c r="DR10" s="110"/>
      <c r="DS10" s="109"/>
      <c r="DT10" s="109"/>
      <c r="DU10" s="109"/>
      <c r="DV10" s="110"/>
      <c r="DW10" s="8"/>
      <c r="DX10" s="8"/>
      <c r="DY10" s="8"/>
      <c r="DZ10" s="483"/>
      <c r="EA10" s="484"/>
      <c r="EB10" s="484"/>
      <c r="EC10" s="484"/>
      <c r="ED10" s="484"/>
      <c r="EE10" s="484"/>
      <c r="EF10" s="109"/>
      <c r="EG10" s="109"/>
      <c r="EH10" s="109"/>
      <c r="EI10" s="109"/>
      <c r="EJ10" s="110"/>
      <c r="EK10" s="109"/>
      <c r="EL10" s="109"/>
      <c r="EM10" s="109"/>
      <c r="EN10" s="110"/>
      <c r="EO10" s="8"/>
      <c r="EP10" s="8"/>
      <c r="EQ10" s="8"/>
      <c r="ER10" s="483"/>
      <c r="ES10" s="484"/>
      <c r="ET10" s="484"/>
      <c r="EU10" s="484"/>
      <c r="EV10" s="484"/>
      <c r="EW10" s="484"/>
      <c r="EX10" s="109"/>
      <c r="EY10" s="109"/>
      <c r="EZ10" s="109"/>
      <c r="FA10" s="109"/>
      <c r="FB10" s="110"/>
      <c r="FC10" s="109"/>
      <c r="FD10" s="109"/>
      <c r="FE10" s="109"/>
      <c r="FF10" s="110"/>
      <c r="FG10" s="8"/>
      <c r="FH10" s="8"/>
      <c r="FI10" s="8"/>
      <c r="FJ10" s="483"/>
      <c r="FK10" s="484"/>
      <c r="FL10" s="484"/>
      <c r="FM10" s="484"/>
      <c r="FN10" s="484"/>
      <c r="FO10" s="484"/>
      <c r="FP10" s="109"/>
      <c r="FQ10" s="109"/>
      <c r="FR10" s="109"/>
      <c r="FS10" s="109"/>
      <c r="FT10" s="110"/>
      <c r="FU10" s="109"/>
      <c r="FV10" s="109"/>
      <c r="FW10" s="109"/>
      <c r="FX10" s="110"/>
      <c r="FY10" s="8"/>
      <c r="FZ10" s="8"/>
      <c r="GA10" s="8"/>
      <c r="GB10" s="483"/>
      <c r="GC10" s="484"/>
      <c r="GD10" s="484"/>
      <c r="GE10" s="484"/>
      <c r="GF10" s="484"/>
      <c r="GG10" s="484"/>
      <c r="GH10" s="109"/>
      <c r="GI10" s="109"/>
      <c r="GJ10" s="109"/>
      <c r="GK10" s="109"/>
      <c r="GL10" s="110"/>
      <c r="GM10" s="109"/>
      <c r="GN10" s="109"/>
      <c r="GO10" s="109"/>
      <c r="GP10" s="110"/>
      <c r="GQ10" s="8"/>
      <c r="GR10" s="8"/>
      <c r="GS10" s="8"/>
      <c r="GT10" s="483"/>
      <c r="GU10" s="484"/>
      <c r="GV10" s="484"/>
      <c r="GW10" s="484"/>
      <c r="GX10" s="484"/>
      <c r="GY10" s="484"/>
      <c r="GZ10" s="109"/>
      <c r="HA10" s="109"/>
      <c r="HB10" s="109"/>
      <c r="HC10" s="109"/>
      <c r="HD10" s="110"/>
      <c r="HE10" s="109"/>
      <c r="HF10" s="109"/>
      <c r="HG10" s="109"/>
      <c r="HH10" s="110"/>
      <c r="HI10" s="8"/>
      <c r="HJ10" s="8"/>
      <c r="HK10" s="8"/>
      <c r="HL10" s="483"/>
      <c r="HM10" s="484"/>
      <c r="HN10" s="484"/>
      <c r="HO10" s="484"/>
      <c r="HP10" s="484"/>
      <c r="HQ10" s="484"/>
      <c r="HR10" s="109"/>
      <c r="HS10" s="109"/>
      <c r="HT10" s="109"/>
      <c r="HU10" s="109"/>
      <c r="HV10" s="110"/>
      <c r="HW10" s="109"/>
      <c r="HX10" s="109"/>
      <c r="HY10" s="109"/>
      <c r="HZ10" s="110"/>
      <c r="IA10" s="8"/>
      <c r="IB10" s="8"/>
      <c r="IC10" s="8"/>
      <c r="ID10" s="483"/>
      <c r="IE10" s="484"/>
      <c r="IF10" s="484"/>
      <c r="IG10" s="484"/>
      <c r="IH10" s="484"/>
      <c r="II10" s="484"/>
      <c r="IJ10" s="109"/>
      <c r="IK10" s="109"/>
      <c r="IL10" s="109"/>
      <c r="IM10" s="109"/>
      <c r="IN10" s="110"/>
      <c r="IO10" s="109"/>
      <c r="IP10" s="109"/>
      <c r="IQ10" s="109"/>
      <c r="IR10" s="110"/>
      <c r="IS10" s="8"/>
      <c r="IT10" s="8"/>
      <c r="IU10" s="8"/>
      <c r="IV10" s="483"/>
      <c r="IW10" s="484"/>
      <c r="IX10" s="484"/>
      <c r="IY10" s="484"/>
      <c r="IZ10" s="484"/>
      <c r="JA10" s="484"/>
      <c r="JB10" s="109"/>
      <c r="JC10" s="109"/>
      <c r="JD10" s="109"/>
      <c r="JE10" s="109"/>
      <c r="JF10" s="110"/>
      <c r="JG10" s="109"/>
      <c r="JH10" s="109"/>
      <c r="JI10" s="109"/>
      <c r="JJ10" s="110"/>
      <c r="JK10" s="8"/>
      <c r="JL10" s="8"/>
      <c r="JM10" s="8"/>
      <c r="JN10" s="483"/>
      <c r="JO10" s="484"/>
      <c r="JP10" s="484"/>
      <c r="JQ10" s="484"/>
      <c r="JR10" s="484"/>
      <c r="JS10" s="484"/>
      <c r="JT10" s="109"/>
      <c r="JU10" s="109"/>
      <c r="JV10" s="109"/>
      <c r="JW10" s="109"/>
      <c r="JX10" s="110"/>
      <c r="JY10" s="109"/>
      <c r="JZ10" s="109"/>
      <c r="KA10" s="109"/>
      <c r="KB10" s="110"/>
      <c r="KC10" s="8"/>
      <c r="KD10" s="8"/>
      <c r="KE10" s="8"/>
      <c r="KF10" s="483"/>
      <c r="KG10" s="484"/>
      <c r="KH10" s="484"/>
      <c r="KI10" s="484"/>
      <c r="KJ10" s="484"/>
      <c r="KK10" s="484"/>
      <c r="KL10" s="109"/>
      <c r="KM10" s="109"/>
      <c r="KN10" s="109"/>
      <c r="KO10" s="109"/>
      <c r="KP10" s="110"/>
      <c r="KQ10" s="109"/>
      <c r="KR10" s="109"/>
      <c r="KS10" s="109"/>
      <c r="KT10" s="110"/>
      <c r="KU10" s="8"/>
      <c r="KV10" s="8"/>
      <c r="KW10" s="8"/>
      <c r="KX10" s="483"/>
      <c r="KY10" s="484"/>
      <c r="KZ10" s="484"/>
      <c r="LA10" s="484"/>
      <c r="LB10" s="484"/>
      <c r="LC10" s="484"/>
      <c r="LD10" s="109"/>
      <c r="LE10" s="109"/>
      <c r="LF10" s="109"/>
      <c r="LG10" s="109"/>
      <c r="LH10" s="110"/>
      <c r="LI10" s="109"/>
      <c r="LJ10" s="109"/>
      <c r="LK10" s="109"/>
      <c r="LL10" s="110"/>
      <c r="LP10" s="483"/>
      <c r="LQ10" s="484"/>
      <c r="LR10" s="484"/>
      <c r="LS10" s="484"/>
      <c r="LT10" s="484"/>
      <c r="LU10" s="484"/>
      <c r="LV10" s="109"/>
      <c r="LW10" s="109"/>
      <c r="LX10" s="109"/>
      <c r="LY10" s="109"/>
      <c r="LZ10" s="110"/>
      <c r="MA10" s="109"/>
      <c r="MB10" s="109"/>
      <c r="MC10" s="109"/>
      <c r="MD10" s="110"/>
      <c r="MH10" s="483"/>
      <c r="MI10" s="484"/>
      <c r="MJ10" s="484"/>
      <c r="MK10" s="484"/>
      <c r="ML10" s="484"/>
      <c r="MM10" s="484"/>
      <c r="MN10" s="109"/>
      <c r="MO10" s="109"/>
      <c r="MP10" s="109"/>
      <c r="MQ10" s="109"/>
      <c r="MR10" s="110"/>
      <c r="MS10" s="109"/>
      <c r="MT10" s="109"/>
      <c r="MU10" s="109"/>
      <c r="MV10" s="110"/>
      <c r="MW10" s="8"/>
      <c r="MX10" s="8"/>
      <c r="MY10" s="8"/>
      <c r="MZ10" s="483"/>
      <c r="NA10" s="484"/>
      <c r="NB10" s="484"/>
      <c r="NC10" s="484"/>
      <c r="ND10" s="484"/>
      <c r="NE10" s="484"/>
      <c r="NF10" s="109"/>
      <c r="NG10" s="109"/>
      <c r="NH10" s="109"/>
      <c r="NI10" s="109"/>
      <c r="NJ10" s="110"/>
      <c r="NK10" s="109"/>
      <c r="NL10" s="109"/>
      <c r="NM10" s="109"/>
      <c r="NN10" s="110"/>
      <c r="NR10" s="483"/>
      <c r="NS10" s="484"/>
      <c r="NT10" s="484"/>
      <c r="NU10" s="484"/>
      <c r="NV10" s="484"/>
      <c r="NW10" s="484"/>
      <c r="NX10" s="109"/>
      <c r="NY10" s="109"/>
      <c r="NZ10" s="109"/>
      <c r="OA10" s="109"/>
      <c r="OB10" s="110"/>
      <c r="OC10" s="109"/>
      <c r="OD10" s="109"/>
      <c r="OE10" s="109"/>
      <c r="OF10" s="110"/>
      <c r="OJ10" s="483"/>
      <c r="OK10" s="484"/>
      <c r="OL10" s="484"/>
      <c r="OM10" s="484"/>
      <c r="ON10" s="484"/>
      <c r="OO10" s="484"/>
      <c r="OP10" s="109"/>
      <c r="OQ10" s="109"/>
      <c r="OR10" s="109"/>
      <c r="OS10" s="109"/>
      <c r="OT10" s="110"/>
      <c r="OU10" s="109"/>
      <c r="OV10" s="109"/>
      <c r="OW10" s="109"/>
      <c r="OX10" s="110"/>
      <c r="PB10" s="483"/>
      <c r="PC10" s="484"/>
      <c r="PD10" s="484"/>
      <c r="PE10" s="484"/>
      <c r="PF10" s="484"/>
      <c r="PG10" s="484"/>
      <c r="PH10" s="109"/>
      <c r="PI10" s="109"/>
      <c r="PJ10" s="109"/>
      <c r="PK10" s="109"/>
      <c r="PL10" s="110"/>
      <c r="PM10" s="109"/>
      <c r="PN10" s="109"/>
      <c r="PO10" s="109"/>
      <c r="PP10" s="110"/>
      <c r="PT10" s="483"/>
      <c r="PU10" s="484"/>
      <c r="PV10" s="484"/>
      <c r="PW10" s="484"/>
      <c r="PX10" s="484"/>
      <c r="PY10" s="484"/>
      <c r="PZ10" s="109"/>
      <c r="QA10" s="109"/>
      <c r="QB10" s="109"/>
      <c r="QC10" s="109"/>
      <c r="QD10" s="110"/>
      <c r="QE10" s="109"/>
      <c r="QF10" s="109"/>
      <c r="QG10" s="109"/>
      <c r="QH10" s="110"/>
      <c r="QJ10" s="1756"/>
      <c r="QK10" s="1756"/>
      <c r="QL10" s="1756"/>
      <c r="QM10" s="483"/>
      <c r="QN10" s="484"/>
      <c r="QO10" s="484"/>
      <c r="QP10" s="484"/>
      <c r="QQ10" s="484"/>
      <c r="QR10" s="484"/>
      <c r="QS10" s="109"/>
      <c r="QT10" s="109"/>
      <c r="QU10" s="109"/>
      <c r="QV10" s="109"/>
      <c r="QW10" s="110"/>
      <c r="QX10" s="109"/>
      <c r="QY10" s="109"/>
      <c r="QZ10" s="109"/>
      <c r="RA10" s="109"/>
      <c r="RB10" s="1754"/>
      <c r="RC10"/>
      <c r="RE10" s="483"/>
      <c r="RF10" s="484"/>
      <c r="RG10" s="484"/>
      <c r="RH10" s="484"/>
      <c r="RI10" s="484"/>
      <c r="RJ10" s="484"/>
      <c r="RK10" s="109"/>
      <c r="RL10" s="109"/>
      <c r="RM10" s="109"/>
      <c r="RN10" s="109"/>
      <c r="RO10" s="110"/>
      <c r="RP10" s="109"/>
      <c r="RQ10" s="109"/>
      <c r="RR10" s="109"/>
      <c r="RS10" s="110"/>
      <c r="RT10" s="1756"/>
      <c r="RU10" s="1756"/>
      <c r="RV10" s="1756"/>
      <c r="RW10" s="483"/>
      <c r="RX10" s="484"/>
      <c r="RY10" s="484"/>
      <c r="RZ10" s="484"/>
      <c r="SA10" s="484"/>
      <c r="SB10" s="484"/>
      <c r="SC10" s="109"/>
      <c r="SD10" s="109"/>
      <c r="SE10" s="109"/>
      <c r="SF10" s="109"/>
      <c r="SG10" s="110"/>
      <c r="SH10" s="109"/>
      <c r="SI10" s="109"/>
      <c r="SJ10" s="109"/>
      <c r="SK10" s="110"/>
      <c r="SL10" s="1756"/>
      <c r="SM10" s="1756"/>
      <c r="SN10" s="1756"/>
      <c r="SO10" s="483"/>
      <c r="SP10" s="484"/>
      <c r="SQ10" s="484"/>
      <c r="SR10" s="484"/>
      <c r="SS10" s="484"/>
      <c r="ST10" s="484"/>
      <c r="SU10" s="109"/>
      <c r="SV10" s="109"/>
      <c r="SW10" s="109"/>
      <c r="SX10" s="109"/>
      <c r="SY10" s="110"/>
      <c r="SZ10" s="109"/>
      <c r="TA10" s="109"/>
      <c r="TB10" s="109"/>
      <c r="TC10" s="110"/>
      <c r="TD10" s="424"/>
      <c r="TE10" s="1756"/>
      <c r="TF10" s="1756"/>
      <c r="TG10" s="1756"/>
      <c r="TH10" s="483"/>
      <c r="TI10" s="484"/>
      <c r="TJ10" s="484"/>
      <c r="TK10" s="484"/>
      <c r="TL10" s="484"/>
      <c r="TM10" s="484"/>
      <c r="TN10" s="109"/>
      <c r="TO10" s="109"/>
      <c r="TP10" s="109"/>
      <c r="TQ10" s="109"/>
      <c r="TR10" s="110"/>
      <c r="TS10" s="109"/>
      <c r="TT10" s="109"/>
      <c r="TU10" s="109"/>
      <c r="TV10" s="110"/>
      <c r="TW10" s="424"/>
      <c r="TX10" s="1756"/>
      <c r="TY10" s="1756"/>
      <c r="TZ10" s="1756"/>
      <c r="UA10" s="483"/>
      <c r="UB10" s="484"/>
      <c r="UC10" s="484"/>
      <c r="UD10" s="484"/>
      <c r="UE10" s="484"/>
      <c r="UF10" s="484"/>
      <c r="UG10" s="109"/>
      <c r="UH10" s="109"/>
      <c r="UI10" s="109"/>
      <c r="UJ10" s="109"/>
      <c r="UK10" s="110"/>
      <c r="UL10" s="109"/>
      <c r="UM10" s="109"/>
      <c r="UN10" s="109"/>
      <c r="UO10" s="110"/>
      <c r="UQ10" s="1756"/>
      <c r="UR10" s="1756"/>
      <c r="US10" s="1756"/>
      <c r="UT10" s="483"/>
      <c r="UU10" s="484"/>
      <c r="UV10" s="484"/>
      <c r="UW10" s="484"/>
      <c r="UX10" s="484"/>
      <c r="UY10" s="484"/>
      <c r="UZ10" s="109"/>
      <c r="VA10" s="109"/>
      <c r="VB10" s="109"/>
      <c r="VC10" s="109"/>
      <c r="VD10" s="110"/>
      <c r="VE10" s="109"/>
      <c r="VF10" s="109"/>
      <c r="VG10" s="109"/>
      <c r="VH10" s="110"/>
      <c r="VJ10" s="8"/>
      <c r="VK10" s="8"/>
      <c r="VL10" s="8"/>
      <c r="VM10" s="483"/>
      <c r="VN10" s="484"/>
      <c r="VO10" s="484"/>
      <c r="VP10" s="484"/>
      <c r="VQ10" s="484"/>
      <c r="VR10" s="484"/>
      <c r="VS10" s="109"/>
      <c r="VT10" s="109"/>
      <c r="VU10" s="109"/>
      <c r="VV10" s="109"/>
      <c r="VW10" s="110"/>
      <c r="VY10" s="1756"/>
      <c r="VZ10" s="1756"/>
      <c r="WA10" s="1756"/>
      <c r="WB10" s="483"/>
      <c r="WC10" s="484"/>
      <c r="WD10" s="484"/>
      <c r="WE10" s="484"/>
      <c r="WF10" s="484"/>
      <c r="WG10" s="484"/>
      <c r="WH10" s="109"/>
      <c r="WI10" s="109"/>
      <c r="WJ10" s="109"/>
      <c r="WK10" s="109"/>
      <c r="WL10" s="110"/>
      <c r="WN10" s="1756"/>
      <c r="WO10" s="1756"/>
      <c r="WP10" s="1756"/>
      <c r="WQ10" s="483"/>
      <c r="WR10" s="484"/>
      <c r="WS10" s="484"/>
      <c r="WT10" s="484"/>
      <c r="WU10" s="484"/>
      <c r="WV10" s="484"/>
      <c r="WW10" s="109"/>
      <c r="WX10" s="109"/>
      <c r="WY10" s="109"/>
      <c r="WZ10" s="109"/>
      <c r="XA10" s="110"/>
    </row>
    <row r="11" spans="1:625" x14ac:dyDescent="0.25">
      <c r="A11" s="8"/>
      <c r="C11" s="8"/>
      <c r="D11" s="117"/>
      <c r="E11" s="118"/>
      <c r="F11" s="259"/>
      <c r="G11" s="485"/>
      <c r="H11" s="121" t="s">
        <v>61</v>
      </c>
      <c r="I11" s="122">
        <v>2024</v>
      </c>
      <c r="J11" s="123" t="s">
        <v>62</v>
      </c>
      <c r="K11" s="486">
        <v>2025</v>
      </c>
      <c r="L11" s="123" t="s">
        <v>62</v>
      </c>
      <c r="M11" s="486">
        <v>2026</v>
      </c>
      <c r="N11" s="124" t="s">
        <v>62</v>
      </c>
      <c r="O11" s="486"/>
      <c r="P11" s="123" t="s">
        <v>62</v>
      </c>
      <c r="Q11" s="486"/>
      <c r="R11" s="124" t="s">
        <v>62</v>
      </c>
      <c r="S11" s="8"/>
      <c r="T11" s="8"/>
      <c r="U11" s="8"/>
      <c r="V11" s="117"/>
      <c r="W11" s="118"/>
      <c r="X11" s="259"/>
      <c r="Y11" s="485"/>
      <c r="Z11" s="121" t="s">
        <v>61</v>
      </c>
      <c r="AA11" s="122">
        <v>2024</v>
      </c>
      <c r="AB11" s="123" t="s">
        <v>62</v>
      </c>
      <c r="AC11" s="486">
        <v>2025</v>
      </c>
      <c r="AD11" s="123" t="s">
        <v>62</v>
      </c>
      <c r="AE11" s="486">
        <v>2026</v>
      </c>
      <c r="AF11" s="124" t="s">
        <v>62</v>
      </c>
      <c r="AG11" s="486"/>
      <c r="AH11" s="123" t="s">
        <v>62</v>
      </c>
      <c r="AI11" s="486"/>
      <c r="AJ11" s="124" t="s">
        <v>62</v>
      </c>
      <c r="AK11" s="8"/>
      <c r="AL11" s="8"/>
      <c r="AM11" s="8"/>
      <c r="AN11" s="117"/>
      <c r="AO11" s="118"/>
      <c r="AP11" s="259"/>
      <c r="AQ11" s="485"/>
      <c r="AR11" s="121" t="s">
        <v>61</v>
      </c>
      <c r="AS11" s="122">
        <v>2024</v>
      </c>
      <c r="AT11" s="123" t="s">
        <v>62</v>
      </c>
      <c r="AU11" s="486">
        <v>2025</v>
      </c>
      <c r="AV11" s="123" t="s">
        <v>62</v>
      </c>
      <c r="AW11" s="486">
        <v>2026</v>
      </c>
      <c r="AX11" s="124" t="s">
        <v>62</v>
      </c>
      <c r="AY11" s="486"/>
      <c r="AZ11" s="123" t="s">
        <v>62</v>
      </c>
      <c r="BA11" s="486"/>
      <c r="BB11" s="124" t="s">
        <v>62</v>
      </c>
      <c r="BC11" s="8"/>
      <c r="BD11" s="8"/>
      <c r="BE11" s="8"/>
      <c r="BF11" s="117"/>
      <c r="BG11" s="118"/>
      <c r="BH11" s="259"/>
      <c r="BI11" s="485"/>
      <c r="BJ11" s="121" t="s">
        <v>61</v>
      </c>
      <c r="BK11" s="122">
        <v>2024</v>
      </c>
      <c r="BL11" s="123" t="s">
        <v>62</v>
      </c>
      <c r="BM11" s="486">
        <v>2025</v>
      </c>
      <c r="BN11" s="123" t="s">
        <v>62</v>
      </c>
      <c r="BO11" s="486">
        <v>2026</v>
      </c>
      <c r="BP11" s="124" t="s">
        <v>62</v>
      </c>
      <c r="BQ11" s="486"/>
      <c r="BR11" s="123" t="s">
        <v>62</v>
      </c>
      <c r="BS11" s="486"/>
      <c r="BT11" s="124" t="s">
        <v>62</v>
      </c>
      <c r="BU11" s="8"/>
      <c r="BV11" s="8"/>
      <c r="BW11" s="8"/>
      <c r="BX11" s="117"/>
      <c r="BY11" s="118"/>
      <c r="BZ11" s="259"/>
      <c r="CA11" s="485"/>
      <c r="CB11" s="121" t="s">
        <v>61</v>
      </c>
      <c r="CC11" s="122">
        <v>2024</v>
      </c>
      <c r="CD11" s="123" t="s">
        <v>62</v>
      </c>
      <c r="CE11" s="486">
        <v>2025</v>
      </c>
      <c r="CF11" s="123" t="s">
        <v>62</v>
      </c>
      <c r="CG11" s="486">
        <v>2026</v>
      </c>
      <c r="CH11" s="124" t="s">
        <v>62</v>
      </c>
      <c r="CI11" s="486"/>
      <c r="CJ11" s="123" t="s">
        <v>62</v>
      </c>
      <c r="CK11" s="486"/>
      <c r="CL11" s="124" t="s">
        <v>62</v>
      </c>
      <c r="CM11" s="8"/>
      <c r="CN11" s="8"/>
      <c r="CO11" s="8"/>
      <c r="CP11" s="117"/>
      <c r="CQ11" s="118"/>
      <c r="CR11" s="259"/>
      <c r="CS11" s="485"/>
      <c r="CT11" s="121" t="s">
        <v>61</v>
      </c>
      <c r="CU11" s="122">
        <v>2024</v>
      </c>
      <c r="CV11" s="123" t="s">
        <v>62</v>
      </c>
      <c r="CW11" s="486">
        <v>2025</v>
      </c>
      <c r="CX11" s="123" t="s">
        <v>62</v>
      </c>
      <c r="CY11" s="486">
        <v>2026</v>
      </c>
      <c r="CZ11" s="124" t="s">
        <v>62</v>
      </c>
      <c r="DA11" s="486"/>
      <c r="DB11" s="123" t="s">
        <v>62</v>
      </c>
      <c r="DC11" s="486"/>
      <c r="DD11" s="124" t="s">
        <v>62</v>
      </c>
      <c r="DE11" s="8"/>
      <c r="DF11" s="8"/>
      <c r="DG11" s="8"/>
      <c r="DH11" s="117"/>
      <c r="DI11" s="118"/>
      <c r="DJ11" s="259"/>
      <c r="DK11" s="485"/>
      <c r="DL11" s="121" t="s">
        <v>61</v>
      </c>
      <c r="DM11" s="122">
        <v>2024</v>
      </c>
      <c r="DN11" s="123" t="s">
        <v>62</v>
      </c>
      <c r="DO11" s="486">
        <v>2025</v>
      </c>
      <c r="DP11" s="123" t="s">
        <v>62</v>
      </c>
      <c r="DQ11" s="486">
        <v>2026</v>
      </c>
      <c r="DR11" s="124" t="s">
        <v>62</v>
      </c>
      <c r="DS11" s="486"/>
      <c r="DT11" s="123" t="s">
        <v>62</v>
      </c>
      <c r="DU11" s="486"/>
      <c r="DV11" s="124" t="s">
        <v>62</v>
      </c>
      <c r="DW11" s="8"/>
      <c r="DX11" s="8"/>
      <c r="DY11" s="8"/>
      <c r="DZ11" s="117"/>
      <c r="EA11" s="118"/>
      <c r="EB11" s="259"/>
      <c r="EC11" s="485"/>
      <c r="ED11" s="121" t="s">
        <v>61</v>
      </c>
      <c r="EE11" s="122">
        <v>2024</v>
      </c>
      <c r="EF11" s="123" t="s">
        <v>62</v>
      </c>
      <c r="EG11" s="486">
        <v>2025</v>
      </c>
      <c r="EH11" s="123" t="s">
        <v>62</v>
      </c>
      <c r="EI11" s="486">
        <v>2026</v>
      </c>
      <c r="EJ11" s="124" t="s">
        <v>62</v>
      </c>
      <c r="EK11" s="486"/>
      <c r="EL11" s="123" t="s">
        <v>62</v>
      </c>
      <c r="EM11" s="486"/>
      <c r="EN11" s="124" t="s">
        <v>62</v>
      </c>
      <c r="EO11" s="8"/>
      <c r="EP11" s="8"/>
      <c r="EQ11" s="8"/>
      <c r="ER11" s="117"/>
      <c r="ES11" s="118"/>
      <c r="ET11" s="259"/>
      <c r="EU11" s="485"/>
      <c r="EV11" s="121" t="s">
        <v>61</v>
      </c>
      <c r="EW11" s="122">
        <v>2024</v>
      </c>
      <c r="EX11" s="123" t="s">
        <v>62</v>
      </c>
      <c r="EY11" s="486">
        <v>2025</v>
      </c>
      <c r="EZ11" s="123" t="s">
        <v>62</v>
      </c>
      <c r="FA11" s="486">
        <v>2026</v>
      </c>
      <c r="FB11" s="124" t="s">
        <v>62</v>
      </c>
      <c r="FC11" s="486"/>
      <c r="FD11" s="123" t="s">
        <v>62</v>
      </c>
      <c r="FE11" s="486"/>
      <c r="FF11" s="124" t="s">
        <v>62</v>
      </c>
      <c r="FG11" s="8"/>
      <c r="FH11" s="8"/>
      <c r="FI11" s="8"/>
      <c r="FJ11" s="117"/>
      <c r="FK11" s="118"/>
      <c r="FL11" s="259"/>
      <c r="FM11" s="485"/>
      <c r="FN11" s="121" t="s">
        <v>61</v>
      </c>
      <c r="FO11" s="122">
        <v>2024</v>
      </c>
      <c r="FP11" s="123" t="s">
        <v>62</v>
      </c>
      <c r="FQ11" s="486">
        <v>2025</v>
      </c>
      <c r="FR11" s="123" t="s">
        <v>62</v>
      </c>
      <c r="FS11" s="486">
        <v>2026</v>
      </c>
      <c r="FT11" s="124" t="s">
        <v>62</v>
      </c>
      <c r="FU11" s="486"/>
      <c r="FV11" s="123" t="s">
        <v>62</v>
      </c>
      <c r="FW11" s="486"/>
      <c r="FX11" s="124" t="s">
        <v>62</v>
      </c>
      <c r="FY11" s="8"/>
      <c r="FZ11" s="8"/>
      <c r="GA11" s="8"/>
      <c r="GB11" s="117"/>
      <c r="GC11" s="118"/>
      <c r="GD11" s="259"/>
      <c r="GE11" s="485"/>
      <c r="GF11" s="121" t="s">
        <v>61</v>
      </c>
      <c r="GG11" s="122">
        <v>2024</v>
      </c>
      <c r="GH11" s="123" t="s">
        <v>62</v>
      </c>
      <c r="GI11" s="486">
        <v>2025</v>
      </c>
      <c r="GJ11" s="123" t="s">
        <v>62</v>
      </c>
      <c r="GK11" s="486">
        <v>2026</v>
      </c>
      <c r="GL11" s="124" t="s">
        <v>62</v>
      </c>
      <c r="GM11" s="486"/>
      <c r="GN11" s="123" t="s">
        <v>62</v>
      </c>
      <c r="GO11" s="486"/>
      <c r="GP11" s="124" t="s">
        <v>62</v>
      </c>
      <c r="GQ11" s="8"/>
      <c r="GR11" s="8"/>
      <c r="GS11" s="8"/>
      <c r="GT11" s="117"/>
      <c r="GU11" s="118"/>
      <c r="GV11" s="259"/>
      <c r="GW11" s="485"/>
      <c r="GX11" s="121" t="s">
        <v>61</v>
      </c>
      <c r="GY11" s="122">
        <v>2024</v>
      </c>
      <c r="GZ11" s="123" t="s">
        <v>62</v>
      </c>
      <c r="HA11" s="486">
        <v>2025</v>
      </c>
      <c r="HB11" s="123" t="s">
        <v>62</v>
      </c>
      <c r="HC11" s="486">
        <v>2026</v>
      </c>
      <c r="HD11" s="124" t="s">
        <v>62</v>
      </c>
      <c r="HE11" s="486"/>
      <c r="HF11" s="123" t="s">
        <v>62</v>
      </c>
      <c r="HG11" s="486"/>
      <c r="HH11" s="124" t="s">
        <v>62</v>
      </c>
      <c r="HI11" s="8"/>
      <c r="HJ11" s="8"/>
      <c r="HK11" s="8"/>
      <c r="HL11" s="117"/>
      <c r="HM11" s="118"/>
      <c r="HN11" s="259"/>
      <c r="HO11" s="485"/>
      <c r="HP11" s="121" t="s">
        <v>61</v>
      </c>
      <c r="HQ11" s="122">
        <v>2024</v>
      </c>
      <c r="HR11" s="123" t="s">
        <v>62</v>
      </c>
      <c r="HS11" s="486">
        <v>2025</v>
      </c>
      <c r="HT11" s="123" t="s">
        <v>62</v>
      </c>
      <c r="HU11" s="486">
        <v>2026</v>
      </c>
      <c r="HV11" s="124" t="s">
        <v>62</v>
      </c>
      <c r="HW11" s="486"/>
      <c r="HX11" s="123" t="s">
        <v>62</v>
      </c>
      <c r="HY11" s="486"/>
      <c r="HZ11" s="124" t="s">
        <v>62</v>
      </c>
      <c r="IA11" s="8"/>
      <c r="IB11" s="8"/>
      <c r="IC11" s="8"/>
      <c r="ID11" s="117"/>
      <c r="IE11" s="118"/>
      <c r="IF11" s="259"/>
      <c r="IG11" s="485"/>
      <c r="IH11" s="121" t="s">
        <v>61</v>
      </c>
      <c r="II11" s="122">
        <v>2024</v>
      </c>
      <c r="IJ11" s="123" t="s">
        <v>62</v>
      </c>
      <c r="IK11" s="486">
        <v>2025</v>
      </c>
      <c r="IL11" s="123" t="s">
        <v>62</v>
      </c>
      <c r="IM11" s="486">
        <v>2026</v>
      </c>
      <c r="IN11" s="124" t="s">
        <v>62</v>
      </c>
      <c r="IO11" s="486"/>
      <c r="IP11" s="123" t="s">
        <v>62</v>
      </c>
      <c r="IQ11" s="486"/>
      <c r="IR11" s="124" t="s">
        <v>62</v>
      </c>
      <c r="IS11" s="8"/>
      <c r="IT11" s="8"/>
      <c r="IU11" s="8"/>
      <c r="IV11" s="117"/>
      <c r="IW11" s="118"/>
      <c r="IX11" s="259"/>
      <c r="IY11" s="485"/>
      <c r="IZ11" s="121" t="s">
        <v>61</v>
      </c>
      <c r="JA11" s="122">
        <v>2024</v>
      </c>
      <c r="JB11" s="123" t="s">
        <v>62</v>
      </c>
      <c r="JC11" s="486">
        <v>2025</v>
      </c>
      <c r="JD11" s="123" t="s">
        <v>62</v>
      </c>
      <c r="JE11" s="486">
        <v>2026</v>
      </c>
      <c r="JF11" s="124" t="s">
        <v>62</v>
      </c>
      <c r="JG11" s="486"/>
      <c r="JH11" s="123" t="s">
        <v>62</v>
      </c>
      <c r="JI11" s="486"/>
      <c r="JJ11" s="124" t="s">
        <v>62</v>
      </c>
      <c r="JK11" s="8"/>
      <c r="JL11" s="8"/>
      <c r="JM11" s="8"/>
      <c r="JN11" s="117"/>
      <c r="JO11" s="118"/>
      <c r="JP11" s="259"/>
      <c r="JQ11" s="485"/>
      <c r="JR11" s="121" t="s">
        <v>61</v>
      </c>
      <c r="JS11" s="122">
        <v>2024</v>
      </c>
      <c r="JT11" s="123" t="s">
        <v>62</v>
      </c>
      <c r="JU11" s="486">
        <v>2025</v>
      </c>
      <c r="JV11" s="123" t="s">
        <v>62</v>
      </c>
      <c r="JW11" s="486">
        <v>2026</v>
      </c>
      <c r="JX11" s="124" t="s">
        <v>62</v>
      </c>
      <c r="JY11" s="486"/>
      <c r="JZ11" s="123" t="s">
        <v>62</v>
      </c>
      <c r="KA11" s="486"/>
      <c r="KB11" s="124" t="s">
        <v>62</v>
      </c>
      <c r="KC11" s="8"/>
      <c r="KD11" s="8"/>
      <c r="KE11" s="8"/>
      <c r="KF11" s="117"/>
      <c r="KG11" s="118"/>
      <c r="KH11" s="259"/>
      <c r="KI11" s="485"/>
      <c r="KJ11" s="121" t="s">
        <v>61</v>
      </c>
      <c r="KK11" s="122">
        <v>2024</v>
      </c>
      <c r="KL11" s="123" t="s">
        <v>62</v>
      </c>
      <c r="KM11" s="486">
        <v>2025</v>
      </c>
      <c r="KN11" s="123" t="s">
        <v>62</v>
      </c>
      <c r="KO11" s="486">
        <v>2026</v>
      </c>
      <c r="KP11" s="124" t="s">
        <v>62</v>
      </c>
      <c r="KQ11" s="486"/>
      <c r="KR11" s="123" t="s">
        <v>62</v>
      </c>
      <c r="KS11" s="486"/>
      <c r="KT11" s="124" t="s">
        <v>62</v>
      </c>
      <c r="KU11" s="8"/>
      <c r="KV11" s="8"/>
      <c r="KW11" s="8"/>
      <c r="KX11" s="117"/>
      <c r="KY11" s="118"/>
      <c r="KZ11" s="259"/>
      <c r="LA11" s="485"/>
      <c r="LB11" s="121" t="s">
        <v>61</v>
      </c>
      <c r="LC11" s="122">
        <v>2024</v>
      </c>
      <c r="LD11" s="123" t="s">
        <v>62</v>
      </c>
      <c r="LE11" s="486">
        <v>2025</v>
      </c>
      <c r="LF11" s="123" t="s">
        <v>62</v>
      </c>
      <c r="LG11" s="486">
        <v>2026</v>
      </c>
      <c r="LH11" s="124" t="s">
        <v>62</v>
      </c>
      <c r="LI11" s="486"/>
      <c r="LJ11" s="123" t="s">
        <v>62</v>
      </c>
      <c r="LK11" s="486"/>
      <c r="LL11" s="124" t="s">
        <v>62</v>
      </c>
      <c r="LP11" s="117"/>
      <c r="LQ11" s="118"/>
      <c r="LR11" s="259"/>
      <c r="LS11" s="485"/>
      <c r="LT11" s="121" t="s">
        <v>61</v>
      </c>
      <c r="LU11" s="122">
        <v>2024</v>
      </c>
      <c r="LV11" s="123" t="s">
        <v>62</v>
      </c>
      <c r="LW11" s="486">
        <v>2025</v>
      </c>
      <c r="LX11" s="123" t="s">
        <v>62</v>
      </c>
      <c r="LY11" s="486">
        <v>2026</v>
      </c>
      <c r="LZ11" s="124" t="s">
        <v>62</v>
      </c>
      <c r="MA11" s="486"/>
      <c r="MB11" s="123" t="s">
        <v>62</v>
      </c>
      <c r="MC11" s="486"/>
      <c r="MD11" s="124" t="s">
        <v>62</v>
      </c>
      <c r="MH11" s="117"/>
      <c r="MI11" s="118"/>
      <c r="MJ11" s="259"/>
      <c r="MK11" s="485"/>
      <c r="ML11" s="121" t="s">
        <v>61</v>
      </c>
      <c r="MM11" s="122">
        <v>2024</v>
      </c>
      <c r="MN11" s="123" t="s">
        <v>62</v>
      </c>
      <c r="MO11" s="486">
        <v>2025</v>
      </c>
      <c r="MP11" s="123" t="s">
        <v>62</v>
      </c>
      <c r="MQ11" s="486">
        <v>2026</v>
      </c>
      <c r="MR11" s="124" t="s">
        <v>62</v>
      </c>
      <c r="MS11" s="486"/>
      <c r="MT11" s="123" t="s">
        <v>62</v>
      </c>
      <c r="MU11" s="486"/>
      <c r="MV11" s="124" t="s">
        <v>62</v>
      </c>
      <c r="MW11" s="8"/>
      <c r="MX11" s="8"/>
      <c r="MY11" s="8"/>
      <c r="MZ11" s="117"/>
      <c r="NA11" s="118"/>
      <c r="NB11" s="259"/>
      <c r="NC11" s="485"/>
      <c r="ND11" s="121" t="s">
        <v>61</v>
      </c>
      <c r="NE11" s="122">
        <v>2024</v>
      </c>
      <c r="NF11" s="123" t="s">
        <v>62</v>
      </c>
      <c r="NG11" s="486">
        <v>2025</v>
      </c>
      <c r="NH11" s="123" t="s">
        <v>62</v>
      </c>
      <c r="NI11" s="486">
        <v>2026</v>
      </c>
      <c r="NJ11" s="124" t="s">
        <v>62</v>
      </c>
      <c r="NK11" s="486"/>
      <c r="NL11" s="123" t="s">
        <v>62</v>
      </c>
      <c r="NM11" s="486"/>
      <c r="NN11" s="124" t="s">
        <v>62</v>
      </c>
      <c r="NR11" s="117"/>
      <c r="NS11" s="118"/>
      <c r="NT11" s="259"/>
      <c r="NU11" s="485"/>
      <c r="NV11" s="121" t="s">
        <v>61</v>
      </c>
      <c r="NW11" s="122">
        <v>2024</v>
      </c>
      <c r="NX11" s="123" t="s">
        <v>62</v>
      </c>
      <c r="NY11" s="486">
        <v>2025</v>
      </c>
      <c r="NZ11" s="123" t="s">
        <v>62</v>
      </c>
      <c r="OA11" s="486">
        <v>2026</v>
      </c>
      <c r="OB11" s="124" t="s">
        <v>62</v>
      </c>
      <c r="OC11" s="486"/>
      <c r="OD11" s="123" t="s">
        <v>62</v>
      </c>
      <c r="OE11" s="486"/>
      <c r="OF11" s="124" t="s">
        <v>62</v>
      </c>
      <c r="OJ11" s="117"/>
      <c r="OK11" s="118"/>
      <c r="OL11" s="259"/>
      <c r="OM11" s="485"/>
      <c r="ON11" s="121" t="s">
        <v>61</v>
      </c>
      <c r="OO11" s="122">
        <v>2024</v>
      </c>
      <c r="OP11" s="123" t="s">
        <v>62</v>
      </c>
      <c r="OQ11" s="486">
        <v>2025</v>
      </c>
      <c r="OR11" s="123" t="s">
        <v>62</v>
      </c>
      <c r="OS11" s="486">
        <v>2026</v>
      </c>
      <c r="OT11" s="124" t="s">
        <v>62</v>
      </c>
      <c r="OU11" s="486"/>
      <c r="OV11" s="123" t="s">
        <v>62</v>
      </c>
      <c r="OW11" s="486"/>
      <c r="OX11" s="124" t="s">
        <v>62</v>
      </c>
      <c r="PB11" s="117"/>
      <c r="PC11" s="118"/>
      <c r="PD11" s="259"/>
      <c r="PE11" s="485"/>
      <c r="PF11" s="121" t="s">
        <v>61</v>
      </c>
      <c r="PG11" s="122">
        <v>2024</v>
      </c>
      <c r="PH11" s="123" t="s">
        <v>62</v>
      </c>
      <c r="PI11" s="486">
        <v>2025</v>
      </c>
      <c r="PJ11" s="123" t="s">
        <v>62</v>
      </c>
      <c r="PK11" s="486">
        <v>2026</v>
      </c>
      <c r="PL11" s="124" t="s">
        <v>62</v>
      </c>
      <c r="PM11" s="486"/>
      <c r="PN11" s="123" t="s">
        <v>62</v>
      </c>
      <c r="PO11" s="486"/>
      <c r="PP11" s="124" t="s">
        <v>62</v>
      </c>
      <c r="PT11" s="117"/>
      <c r="PU11" s="118"/>
      <c r="PV11" s="259"/>
      <c r="PW11" s="485"/>
      <c r="PX11" s="121" t="s">
        <v>61</v>
      </c>
      <c r="PY11" s="122">
        <v>2024</v>
      </c>
      <c r="PZ11" s="123" t="s">
        <v>62</v>
      </c>
      <c r="QA11" s="486">
        <v>2025</v>
      </c>
      <c r="QB11" s="123" t="s">
        <v>62</v>
      </c>
      <c r="QC11" s="486">
        <v>2026</v>
      </c>
      <c r="QD11" s="124" t="s">
        <v>62</v>
      </c>
      <c r="QE11" s="486"/>
      <c r="QF11" s="123" t="s">
        <v>62</v>
      </c>
      <c r="QG11" s="486"/>
      <c r="QH11" s="124" t="s">
        <v>62</v>
      </c>
      <c r="QJ11" s="1756"/>
      <c r="QK11" s="1756"/>
      <c r="QL11" s="1756"/>
      <c r="QM11" s="117"/>
      <c r="QN11" s="118"/>
      <c r="QO11" s="259"/>
      <c r="QP11" s="485"/>
      <c r="QQ11" s="121" t="s">
        <v>61</v>
      </c>
      <c r="QR11" s="122">
        <v>2024</v>
      </c>
      <c r="QS11" s="123" t="s">
        <v>62</v>
      </c>
      <c r="QT11" s="486">
        <v>2025</v>
      </c>
      <c r="QU11" s="123" t="s">
        <v>62</v>
      </c>
      <c r="QV11" s="486">
        <v>2026</v>
      </c>
      <c r="QW11" s="124" t="s">
        <v>62</v>
      </c>
      <c r="QX11" s="486"/>
      <c r="QY11" s="123" t="s">
        <v>62</v>
      </c>
      <c r="QZ11" s="486"/>
      <c r="RA11" s="1757" t="s">
        <v>62</v>
      </c>
      <c r="RB11" s="1754"/>
      <c r="RC11"/>
      <c r="RE11" s="117"/>
      <c r="RF11" s="118"/>
      <c r="RG11" s="259"/>
      <c r="RH11" s="485"/>
      <c r="RI11" s="121" t="s">
        <v>61</v>
      </c>
      <c r="RJ11" s="122">
        <v>2024</v>
      </c>
      <c r="RK11" s="123" t="s">
        <v>62</v>
      </c>
      <c r="RL11" s="486">
        <v>2025</v>
      </c>
      <c r="RM11" s="123" t="s">
        <v>62</v>
      </c>
      <c r="RN11" s="486">
        <v>2026</v>
      </c>
      <c r="RO11" s="124" t="s">
        <v>62</v>
      </c>
      <c r="RP11" s="486"/>
      <c r="RQ11" s="123" t="s">
        <v>62</v>
      </c>
      <c r="RR11" s="486"/>
      <c r="RS11" s="124" t="s">
        <v>62</v>
      </c>
      <c r="RT11" s="1756"/>
      <c r="RU11" s="1756"/>
      <c r="RV11" s="1756"/>
      <c r="RW11" s="117"/>
      <c r="RX11" s="118"/>
      <c r="RY11" s="259"/>
      <c r="RZ11" s="485"/>
      <c r="SA11" s="121" t="s">
        <v>61</v>
      </c>
      <c r="SB11" s="122">
        <v>2024</v>
      </c>
      <c r="SC11" s="123" t="s">
        <v>62</v>
      </c>
      <c r="SD11" s="486">
        <v>2025</v>
      </c>
      <c r="SE11" s="123" t="s">
        <v>62</v>
      </c>
      <c r="SF11" s="486">
        <v>2026</v>
      </c>
      <c r="SG11" s="124" t="s">
        <v>62</v>
      </c>
      <c r="SH11" s="486"/>
      <c r="SI11" s="123" t="s">
        <v>62</v>
      </c>
      <c r="SJ11" s="486"/>
      <c r="SK11" s="124" t="s">
        <v>62</v>
      </c>
      <c r="SL11" s="1756"/>
      <c r="SM11" s="1756"/>
      <c r="SN11" s="1756"/>
      <c r="SO11" s="117"/>
      <c r="SP11" s="118"/>
      <c r="SQ11" s="259"/>
      <c r="SR11" s="485"/>
      <c r="SS11" s="121" t="s">
        <v>61</v>
      </c>
      <c r="ST11" s="122">
        <v>2024</v>
      </c>
      <c r="SU11" s="123" t="s">
        <v>62</v>
      </c>
      <c r="SV11" s="486">
        <v>2025</v>
      </c>
      <c r="SW11" s="123" t="s">
        <v>62</v>
      </c>
      <c r="SX11" s="486">
        <v>2026</v>
      </c>
      <c r="SY11" s="124" t="s">
        <v>62</v>
      </c>
      <c r="SZ11" s="486"/>
      <c r="TA11" s="123" t="s">
        <v>62</v>
      </c>
      <c r="TB11" s="486"/>
      <c r="TC11" s="124" t="s">
        <v>62</v>
      </c>
      <c r="TD11" s="424"/>
      <c r="TE11" s="1756"/>
      <c r="TF11" s="1756"/>
      <c r="TG11" s="1756"/>
      <c r="TH11" s="117"/>
      <c r="TI11" s="118"/>
      <c r="TJ11" s="259"/>
      <c r="TK11" s="485"/>
      <c r="TL11" s="121" t="s">
        <v>61</v>
      </c>
      <c r="TM11" s="122">
        <v>2024</v>
      </c>
      <c r="TN11" s="123" t="s">
        <v>62</v>
      </c>
      <c r="TO11" s="486">
        <v>2025</v>
      </c>
      <c r="TP11" s="123" t="s">
        <v>62</v>
      </c>
      <c r="TQ11" s="486">
        <v>2026</v>
      </c>
      <c r="TR11" s="124" t="s">
        <v>62</v>
      </c>
      <c r="TS11" s="486"/>
      <c r="TT11" s="123" t="s">
        <v>62</v>
      </c>
      <c r="TU11" s="486"/>
      <c r="TV11" s="124" t="s">
        <v>62</v>
      </c>
      <c r="TW11" s="424"/>
      <c r="TX11" s="1756"/>
      <c r="TY11" s="1756"/>
      <c r="TZ11" s="1756"/>
      <c r="UA11" s="117"/>
      <c r="UB11" s="118"/>
      <c r="UC11" s="259"/>
      <c r="UD11" s="485"/>
      <c r="UE11" s="121" t="s">
        <v>61</v>
      </c>
      <c r="UF11" s="122">
        <v>2024</v>
      </c>
      <c r="UG11" s="123" t="s">
        <v>62</v>
      </c>
      <c r="UH11" s="486">
        <v>2025</v>
      </c>
      <c r="UI11" s="123" t="s">
        <v>62</v>
      </c>
      <c r="UJ11" s="486">
        <v>2026</v>
      </c>
      <c r="UK11" s="124" t="s">
        <v>62</v>
      </c>
      <c r="UL11" s="486"/>
      <c r="UM11" s="123" t="s">
        <v>62</v>
      </c>
      <c r="UN11" s="486"/>
      <c r="UO11" s="124" t="s">
        <v>62</v>
      </c>
      <c r="UQ11" s="1756"/>
      <c r="UR11" s="1756"/>
      <c r="US11" s="1756"/>
      <c r="UT11" s="117"/>
      <c r="UU11" s="118"/>
      <c r="UV11" s="259"/>
      <c r="UW11" s="485"/>
      <c r="UX11" s="121" t="s">
        <v>61</v>
      </c>
      <c r="UY11" s="122">
        <v>2024</v>
      </c>
      <c r="UZ11" s="123" t="s">
        <v>62</v>
      </c>
      <c r="VA11" s="486">
        <v>2025</v>
      </c>
      <c r="VB11" s="123" t="s">
        <v>62</v>
      </c>
      <c r="VC11" s="486">
        <v>2026</v>
      </c>
      <c r="VD11" s="124" t="s">
        <v>62</v>
      </c>
      <c r="VE11" s="486"/>
      <c r="VF11" s="123" t="s">
        <v>62</v>
      </c>
      <c r="VG11" s="486"/>
      <c r="VH11" s="124" t="s">
        <v>62</v>
      </c>
      <c r="VJ11" s="8"/>
      <c r="VK11" s="8"/>
      <c r="VL11" s="8"/>
      <c r="VM11" s="117"/>
      <c r="VN11" s="118"/>
      <c r="VO11" s="259"/>
      <c r="VP11" s="485"/>
      <c r="VQ11" s="121" t="s">
        <v>61</v>
      </c>
      <c r="VR11" s="122">
        <v>2024</v>
      </c>
      <c r="VS11" s="123" t="s">
        <v>62</v>
      </c>
      <c r="VT11" s="486">
        <v>2025</v>
      </c>
      <c r="VU11" s="123" t="s">
        <v>62</v>
      </c>
      <c r="VV11" s="486">
        <v>2026</v>
      </c>
      <c r="VW11" s="124" t="s">
        <v>62</v>
      </c>
      <c r="VY11" s="1756"/>
      <c r="VZ11" s="1756"/>
      <c r="WA11" s="1756"/>
      <c r="WB11" s="117"/>
      <c r="WC11" s="118"/>
      <c r="WD11" s="259"/>
      <c r="WE11" s="485"/>
      <c r="WF11" s="121" t="s">
        <v>61</v>
      </c>
      <c r="WG11" s="122">
        <v>2024</v>
      </c>
      <c r="WH11" s="123" t="s">
        <v>62</v>
      </c>
      <c r="WI11" s="486">
        <v>2025</v>
      </c>
      <c r="WJ11" s="123" t="s">
        <v>62</v>
      </c>
      <c r="WK11" s="486">
        <v>2026</v>
      </c>
      <c r="WL11" s="124" t="s">
        <v>62</v>
      </c>
      <c r="WN11" s="1756"/>
      <c r="WO11" s="1756"/>
      <c r="WP11" s="1756"/>
      <c r="WQ11" s="117"/>
      <c r="WR11" s="118"/>
      <c r="WS11" s="259"/>
      <c r="WT11" s="485"/>
      <c r="WU11" s="121" t="s">
        <v>61</v>
      </c>
      <c r="WV11" s="122">
        <v>2024</v>
      </c>
      <c r="WW11" s="123" t="s">
        <v>62</v>
      </c>
      <c r="WX11" s="486">
        <v>2025</v>
      </c>
      <c r="WY11" s="123" t="s">
        <v>62</v>
      </c>
      <c r="WZ11" s="486">
        <v>2026</v>
      </c>
      <c r="XA11" s="124" t="s">
        <v>62</v>
      </c>
    </row>
    <row r="12" spans="1:625" x14ac:dyDescent="0.25">
      <c r="C12" s="487"/>
      <c r="D12" s="132" t="s">
        <v>63</v>
      </c>
      <c r="E12" s="133"/>
      <c r="F12" s="138" t="s">
        <v>64</v>
      </c>
      <c r="G12" s="139" t="s">
        <v>70</v>
      </c>
      <c r="H12" s="136" t="s">
        <v>62</v>
      </c>
      <c r="I12" s="137" t="s">
        <v>71</v>
      </c>
      <c r="J12" s="134" t="s">
        <v>66</v>
      </c>
      <c r="K12" s="135" t="s">
        <v>9</v>
      </c>
      <c r="L12" s="134" t="s">
        <v>66</v>
      </c>
      <c r="M12" s="135" t="s">
        <v>10</v>
      </c>
      <c r="N12" s="138" t="s">
        <v>66</v>
      </c>
      <c r="O12" s="135" t="s">
        <v>11</v>
      </c>
      <c r="P12" s="134" t="s">
        <v>66</v>
      </c>
      <c r="Q12" s="135" t="s">
        <v>12</v>
      </c>
      <c r="R12" s="138" t="s">
        <v>66</v>
      </c>
      <c r="U12" s="487"/>
      <c r="V12" s="132" t="s">
        <v>63</v>
      </c>
      <c r="W12" s="133"/>
      <c r="X12" s="138" t="s">
        <v>64</v>
      </c>
      <c r="Y12" s="139" t="s">
        <v>70</v>
      </c>
      <c r="Z12" s="136" t="s">
        <v>62</v>
      </c>
      <c r="AA12" s="137" t="s">
        <v>71</v>
      </c>
      <c r="AB12" s="134" t="s">
        <v>66</v>
      </c>
      <c r="AC12" s="135" t="s">
        <v>9</v>
      </c>
      <c r="AD12" s="134" t="s">
        <v>66</v>
      </c>
      <c r="AE12" s="135" t="s">
        <v>10</v>
      </c>
      <c r="AF12" s="138" t="s">
        <v>66</v>
      </c>
      <c r="AG12" s="135" t="s">
        <v>11</v>
      </c>
      <c r="AH12" s="134" t="s">
        <v>66</v>
      </c>
      <c r="AI12" s="135" t="s">
        <v>12</v>
      </c>
      <c r="AJ12" s="138" t="s">
        <v>66</v>
      </c>
      <c r="AK12" s="488"/>
      <c r="AL12" s="487"/>
      <c r="AM12" s="487"/>
      <c r="AN12" s="132" t="s">
        <v>63</v>
      </c>
      <c r="AO12" s="133"/>
      <c r="AP12" s="138" t="s">
        <v>64</v>
      </c>
      <c r="AQ12" s="139" t="s">
        <v>70</v>
      </c>
      <c r="AR12" s="136" t="s">
        <v>62</v>
      </c>
      <c r="AS12" s="137" t="s">
        <v>71</v>
      </c>
      <c r="AT12" s="134" t="s">
        <v>66</v>
      </c>
      <c r="AU12" s="135" t="s">
        <v>9</v>
      </c>
      <c r="AV12" s="134" t="s">
        <v>66</v>
      </c>
      <c r="AW12" s="135" t="s">
        <v>10</v>
      </c>
      <c r="AX12" s="138" t="s">
        <v>66</v>
      </c>
      <c r="AY12" s="135" t="s">
        <v>11</v>
      </c>
      <c r="AZ12" s="134" t="s">
        <v>66</v>
      </c>
      <c r="BA12" s="135" t="s">
        <v>12</v>
      </c>
      <c r="BB12" s="138" t="s">
        <v>66</v>
      </c>
      <c r="BE12" s="487"/>
      <c r="BF12" s="132" t="s">
        <v>63</v>
      </c>
      <c r="BG12" s="133"/>
      <c r="BH12" s="138" t="s">
        <v>64</v>
      </c>
      <c r="BI12" s="139" t="s">
        <v>70</v>
      </c>
      <c r="BJ12" s="136" t="s">
        <v>62</v>
      </c>
      <c r="BK12" s="137" t="s">
        <v>71</v>
      </c>
      <c r="BL12" s="134" t="s">
        <v>66</v>
      </c>
      <c r="BM12" s="135" t="s">
        <v>9</v>
      </c>
      <c r="BN12" s="134" t="s">
        <v>66</v>
      </c>
      <c r="BO12" s="135" t="s">
        <v>10</v>
      </c>
      <c r="BP12" s="138" t="s">
        <v>66</v>
      </c>
      <c r="BQ12" s="135" t="s">
        <v>11</v>
      </c>
      <c r="BR12" s="134" t="s">
        <v>66</v>
      </c>
      <c r="BS12" s="135" t="s">
        <v>12</v>
      </c>
      <c r="BT12" s="138" t="s">
        <v>66</v>
      </c>
      <c r="BU12" s="488"/>
      <c r="BV12" s="487"/>
      <c r="BW12" s="487"/>
      <c r="BX12" s="132" t="s">
        <v>63</v>
      </c>
      <c r="BY12" s="133"/>
      <c r="BZ12" s="138" t="s">
        <v>64</v>
      </c>
      <c r="CA12" s="139" t="s">
        <v>70</v>
      </c>
      <c r="CB12" s="136" t="s">
        <v>62</v>
      </c>
      <c r="CC12" s="137" t="s">
        <v>71</v>
      </c>
      <c r="CD12" s="134" t="s">
        <v>66</v>
      </c>
      <c r="CE12" s="135" t="s">
        <v>9</v>
      </c>
      <c r="CF12" s="134" t="s">
        <v>66</v>
      </c>
      <c r="CG12" s="135" t="s">
        <v>10</v>
      </c>
      <c r="CH12" s="138" t="s">
        <v>66</v>
      </c>
      <c r="CI12" s="135" t="s">
        <v>11</v>
      </c>
      <c r="CJ12" s="134" t="s">
        <v>66</v>
      </c>
      <c r="CK12" s="135" t="s">
        <v>12</v>
      </c>
      <c r="CL12" s="138" t="s">
        <v>66</v>
      </c>
      <c r="CM12" s="1"/>
      <c r="CN12" s="489"/>
      <c r="CO12" s="487"/>
      <c r="CP12" s="132" t="s">
        <v>63</v>
      </c>
      <c r="CQ12" s="133"/>
      <c r="CR12" s="138" t="s">
        <v>64</v>
      </c>
      <c r="CS12" s="139" t="s">
        <v>70</v>
      </c>
      <c r="CT12" s="136" t="s">
        <v>62</v>
      </c>
      <c r="CU12" s="137" t="s">
        <v>71</v>
      </c>
      <c r="CV12" s="134" t="s">
        <v>66</v>
      </c>
      <c r="CW12" s="135" t="s">
        <v>9</v>
      </c>
      <c r="CX12" s="134" t="s">
        <v>66</v>
      </c>
      <c r="CY12" s="135" t="s">
        <v>10</v>
      </c>
      <c r="CZ12" s="138" t="s">
        <v>66</v>
      </c>
      <c r="DA12" s="135" t="s">
        <v>11</v>
      </c>
      <c r="DB12" s="134" t="s">
        <v>66</v>
      </c>
      <c r="DC12" s="135" t="s">
        <v>12</v>
      </c>
      <c r="DD12" s="138" t="s">
        <v>66</v>
      </c>
      <c r="DE12" s="1"/>
      <c r="DF12" s="1"/>
      <c r="DG12" s="490"/>
      <c r="DH12" s="132" t="s">
        <v>63</v>
      </c>
      <c r="DI12" s="133"/>
      <c r="DJ12" s="138" t="s">
        <v>64</v>
      </c>
      <c r="DK12" s="139" t="s">
        <v>70</v>
      </c>
      <c r="DL12" s="136" t="s">
        <v>62</v>
      </c>
      <c r="DM12" s="137" t="s">
        <v>71</v>
      </c>
      <c r="DN12" s="134" t="s">
        <v>66</v>
      </c>
      <c r="DO12" s="135" t="s">
        <v>9</v>
      </c>
      <c r="DP12" s="134" t="s">
        <v>66</v>
      </c>
      <c r="DQ12" s="135" t="s">
        <v>10</v>
      </c>
      <c r="DR12" s="138" t="s">
        <v>66</v>
      </c>
      <c r="DS12" s="135" t="s">
        <v>11</v>
      </c>
      <c r="DT12" s="134" t="s">
        <v>66</v>
      </c>
      <c r="DU12" s="135" t="s">
        <v>12</v>
      </c>
      <c r="DV12" s="138" t="s">
        <v>66</v>
      </c>
      <c r="DW12" s="491"/>
      <c r="DX12" s="490"/>
      <c r="DY12" s="490"/>
      <c r="DZ12" s="132" t="s">
        <v>63</v>
      </c>
      <c r="EA12" s="133"/>
      <c r="EB12" s="138" t="s">
        <v>64</v>
      </c>
      <c r="EC12" s="139" t="s">
        <v>70</v>
      </c>
      <c r="ED12" s="136" t="s">
        <v>62</v>
      </c>
      <c r="EE12" s="137" t="s">
        <v>71</v>
      </c>
      <c r="EF12" s="134" t="s">
        <v>66</v>
      </c>
      <c r="EG12" s="135" t="s">
        <v>9</v>
      </c>
      <c r="EH12" s="134" t="s">
        <v>66</v>
      </c>
      <c r="EI12" s="135" t="s">
        <v>10</v>
      </c>
      <c r="EJ12" s="138" t="s">
        <v>66</v>
      </c>
      <c r="EK12" s="135" t="s">
        <v>11</v>
      </c>
      <c r="EL12" s="134" t="s">
        <v>66</v>
      </c>
      <c r="EM12" s="135" t="s">
        <v>12</v>
      </c>
      <c r="EN12" s="138" t="s">
        <v>66</v>
      </c>
      <c r="EO12" s="1"/>
      <c r="EP12" s="1"/>
      <c r="EQ12" s="1"/>
      <c r="ER12" s="132" t="s">
        <v>63</v>
      </c>
      <c r="ES12" s="133"/>
      <c r="ET12" s="138" t="s">
        <v>64</v>
      </c>
      <c r="EU12" s="139" t="s">
        <v>70</v>
      </c>
      <c r="EV12" s="136" t="s">
        <v>62</v>
      </c>
      <c r="EW12" s="137" t="s">
        <v>71</v>
      </c>
      <c r="EX12" s="134" t="s">
        <v>66</v>
      </c>
      <c r="EY12" s="135" t="s">
        <v>9</v>
      </c>
      <c r="EZ12" s="134" t="s">
        <v>66</v>
      </c>
      <c r="FA12" s="135" t="s">
        <v>10</v>
      </c>
      <c r="FB12" s="138" t="s">
        <v>66</v>
      </c>
      <c r="FC12" s="135" t="s">
        <v>11</v>
      </c>
      <c r="FD12" s="134" t="s">
        <v>66</v>
      </c>
      <c r="FE12" s="135" t="s">
        <v>12</v>
      </c>
      <c r="FF12" s="138" t="s">
        <v>66</v>
      </c>
      <c r="FG12" s="488"/>
      <c r="FH12" s="487"/>
      <c r="FI12" s="487"/>
      <c r="FJ12" s="132" t="s">
        <v>63</v>
      </c>
      <c r="FK12" s="133"/>
      <c r="FL12" s="138" t="s">
        <v>64</v>
      </c>
      <c r="FM12" s="139" t="s">
        <v>70</v>
      </c>
      <c r="FN12" s="136" t="s">
        <v>62</v>
      </c>
      <c r="FO12" s="137" t="s">
        <v>71</v>
      </c>
      <c r="FP12" s="134" t="s">
        <v>66</v>
      </c>
      <c r="FQ12" s="135" t="s">
        <v>9</v>
      </c>
      <c r="FR12" s="134" t="s">
        <v>66</v>
      </c>
      <c r="FS12" s="135" t="s">
        <v>10</v>
      </c>
      <c r="FT12" s="138" t="s">
        <v>66</v>
      </c>
      <c r="FU12" s="135" t="s">
        <v>11</v>
      </c>
      <c r="FV12" s="134" t="s">
        <v>66</v>
      </c>
      <c r="FW12" s="135" t="s">
        <v>12</v>
      </c>
      <c r="FX12" s="138" t="s">
        <v>66</v>
      </c>
      <c r="GA12" s="490"/>
      <c r="GB12" s="132" t="s">
        <v>63</v>
      </c>
      <c r="GC12" s="133"/>
      <c r="GD12" s="138" t="s">
        <v>64</v>
      </c>
      <c r="GE12" s="139" t="s">
        <v>70</v>
      </c>
      <c r="GF12" s="136" t="s">
        <v>62</v>
      </c>
      <c r="GG12" s="137" t="s">
        <v>71</v>
      </c>
      <c r="GH12" s="134" t="s">
        <v>66</v>
      </c>
      <c r="GI12" s="135" t="s">
        <v>9</v>
      </c>
      <c r="GJ12" s="134" t="s">
        <v>66</v>
      </c>
      <c r="GK12" s="135" t="s">
        <v>10</v>
      </c>
      <c r="GL12" s="138" t="s">
        <v>66</v>
      </c>
      <c r="GM12" s="135" t="s">
        <v>11</v>
      </c>
      <c r="GN12" s="134" t="s">
        <v>66</v>
      </c>
      <c r="GO12" s="135" t="s">
        <v>12</v>
      </c>
      <c r="GP12" s="138" t="s">
        <v>66</v>
      </c>
      <c r="GQ12" s="7"/>
      <c r="GR12" s="492"/>
      <c r="GS12" s="490"/>
      <c r="GT12" s="132" t="s">
        <v>63</v>
      </c>
      <c r="GU12" s="133"/>
      <c r="GV12" s="138" t="s">
        <v>64</v>
      </c>
      <c r="GW12" s="139" t="s">
        <v>70</v>
      </c>
      <c r="GX12" s="136" t="s">
        <v>62</v>
      </c>
      <c r="GY12" s="137" t="s">
        <v>71</v>
      </c>
      <c r="GZ12" s="134" t="s">
        <v>66</v>
      </c>
      <c r="HA12" s="135" t="s">
        <v>9</v>
      </c>
      <c r="HB12" s="134" t="s">
        <v>66</v>
      </c>
      <c r="HC12" s="135" t="s">
        <v>10</v>
      </c>
      <c r="HD12" s="138" t="s">
        <v>66</v>
      </c>
      <c r="HE12" s="135" t="s">
        <v>11</v>
      </c>
      <c r="HF12" s="134" t="s">
        <v>66</v>
      </c>
      <c r="HG12" s="135" t="s">
        <v>12</v>
      </c>
      <c r="HH12" s="138" t="s">
        <v>66</v>
      </c>
      <c r="HK12" s="490"/>
      <c r="HL12" s="132" t="s">
        <v>63</v>
      </c>
      <c r="HM12" s="133"/>
      <c r="HN12" s="138" t="s">
        <v>64</v>
      </c>
      <c r="HO12" s="139" t="s">
        <v>70</v>
      </c>
      <c r="HP12" s="136" t="s">
        <v>62</v>
      </c>
      <c r="HQ12" s="137" t="s">
        <v>71</v>
      </c>
      <c r="HR12" s="134" t="s">
        <v>66</v>
      </c>
      <c r="HS12" s="135" t="s">
        <v>9</v>
      </c>
      <c r="HT12" s="134" t="s">
        <v>66</v>
      </c>
      <c r="HU12" s="135" t="s">
        <v>10</v>
      </c>
      <c r="HV12" s="138" t="s">
        <v>66</v>
      </c>
      <c r="HW12" s="135" t="s">
        <v>11</v>
      </c>
      <c r="HX12" s="134" t="s">
        <v>66</v>
      </c>
      <c r="HY12" s="135" t="s">
        <v>12</v>
      </c>
      <c r="HZ12" s="138" t="s">
        <v>66</v>
      </c>
      <c r="IC12" s="490"/>
      <c r="ID12" s="132" t="s">
        <v>63</v>
      </c>
      <c r="IE12" s="133"/>
      <c r="IF12" s="138" t="s">
        <v>64</v>
      </c>
      <c r="IG12" s="139" t="s">
        <v>70</v>
      </c>
      <c r="IH12" s="136" t="s">
        <v>62</v>
      </c>
      <c r="II12" s="137" t="s">
        <v>71</v>
      </c>
      <c r="IJ12" s="134" t="s">
        <v>66</v>
      </c>
      <c r="IK12" s="135" t="s">
        <v>9</v>
      </c>
      <c r="IL12" s="134" t="s">
        <v>66</v>
      </c>
      <c r="IM12" s="135" t="s">
        <v>10</v>
      </c>
      <c r="IN12" s="138" t="s">
        <v>66</v>
      </c>
      <c r="IO12" s="135" t="s">
        <v>11</v>
      </c>
      <c r="IP12" s="134" t="s">
        <v>66</v>
      </c>
      <c r="IQ12" s="135" t="s">
        <v>12</v>
      </c>
      <c r="IR12" s="138" t="s">
        <v>66</v>
      </c>
      <c r="IU12" s="490"/>
      <c r="IV12" s="132" t="s">
        <v>63</v>
      </c>
      <c r="IW12" s="133"/>
      <c r="IX12" s="138" t="s">
        <v>64</v>
      </c>
      <c r="IY12" s="139" t="s">
        <v>70</v>
      </c>
      <c r="IZ12" s="136" t="s">
        <v>62</v>
      </c>
      <c r="JA12" s="137" t="s">
        <v>71</v>
      </c>
      <c r="JB12" s="134" t="s">
        <v>66</v>
      </c>
      <c r="JC12" s="135" t="s">
        <v>9</v>
      </c>
      <c r="JD12" s="134" t="s">
        <v>66</v>
      </c>
      <c r="JE12" s="135" t="s">
        <v>10</v>
      </c>
      <c r="JF12" s="138" t="s">
        <v>66</v>
      </c>
      <c r="JG12" s="135" t="s">
        <v>11</v>
      </c>
      <c r="JH12" s="134" t="s">
        <v>66</v>
      </c>
      <c r="JI12" s="135" t="s">
        <v>12</v>
      </c>
      <c r="JJ12" s="138" t="s">
        <v>66</v>
      </c>
      <c r="JM12" s="490"/>
      <c r="JN12" s="132" t="s">
        <v>63</v>
      </c>
      <c r="JO12" s="133"/>
      <c r="JP12" s="138" t="s">
        <v>64</v>
      </c>
      <c r="JQ12" s="139" t="s">
        <v>70</v>
      </c>
      <c r="JR12" s="136" t="s">
        <v>62</v>
      </c>
      <c r="JS12" s="137" t="s">
        <v>71</v>
      </c>
      <c r="JT12" s="134" t="s">
        <v>66</v>
      </c>
      <c r="JU12" s="135" t="s">
        <v>9</v>
      </c>
      <c r="JV12" s="134" t="s">
        <v>66</v>
      </c>
      <c r="JW12" s="135" t="s">
        <v>10</v>
      </c>
      <c r="JX12" s="138" t="s">
        <v>66</v>
      </c>
      <c r="JY12" s="135" t="s">
        <v>11</v>
      </c>
      <c r="JZ12" s="134" t="s">
        <v>66</v>
      </c>
      <c r="KA12" s="135" t="s">
        <v>12</v>
      </c>
      <c r="KB12" s="138" t="s">
        <v>66</v>
      </c>
      <c r="KE12" s="490"/>
      <c r="KF12" s="132" t="s">
        <v>63</v>
      </c>
      <c r="KG12" s="133"/>
      <c r="KH12" s="138" t="s">
        <v>64</v>
      </c>
      <c r="KI12" s="139" t="s">
        <v>70</v>
      </c>
      <c r="KJ12" s="136" t="s">
        <v>62</v>
      </c>
      <c r="KK12" s="137" t="s">
        <v>71</v>
      </c>
      <c r="KL12" s="134" t="s">
        <v>66</v>
      </c>
      <c r="KM12" s="135" t="s">
        <v>9</v>
      </c>
      <c r="KN12" s="134" t="s">
        <v>66</v>
      </c>
      <c r="KO12" s="135" t="s">
        <v>10</v>
      </c>
      <c r="KP12" s="138" t="s">
        <v>66</v>
      </c>
      <c r="KQ12" s="135" t="s">
        <v>11</v>
      </c>
      <c r="KR12" s="134" t="s">
        <v>66</v>
      </c>
      <c r="KS12" s="135" t="s">
        <v>12</v>
      </c>
      <c r="KT12" s="138" t="s">
        <v>66</v>
      </c>
      <c r="KU12" s="7"/>
      <c r="KV12" s="492"/>
      <c r="KW12" s="490"/>
      <c r="KX12" s="132" t="s">
        <v>63</v>
      </c>
      <c r="KY12" s="133"/>
      <c r="KZ12" s="138" t="s">
        <v>64</v>
      </c>
      <c r="LA12" s="139" t="s">
        <v>70</v>
      </c>
      <c r="LB12" s="136" t="s">
        <v>62</v>
      </c>
      <c r="LC12" s="137" t="s">
        <v>71</v>
      </c>
      <c r="LD12" s="134" t="s">
        <v>66</v>
      </c>
      <c r="LE12" s="135" t="s">
        <v>9</v>
      </c>
      <c r="LF12" s="134" t="s">
        <v>66</v>
      </c>
      <c r="LG12" s="135" t="s">
        <v>10</v>
      </c>
      <c r="LH12" s="138" t="s">
        <v>66</v>
      </c>
      <c r="LI12" s="135" t="s">
        <v>11</v>
      </c>
      <c r="LJ12" s="134" t="s">
        <v>66</v>
      </c>
      <c r="LK12" s="135" t="s">
        <v>12</v>
      </c>
      <c r="LL12" s="138" t="s">
        <v>66</v>
      </c>
      <c r="LM12" s="20"/>
      <c r="LP12" s="132" t="s">
        <v>63</v>
      </c>
      <c r="LQ12" s="133"/>
      <c r="LR12" s="138" t="s">
        <v>64</v>
      </c>
      <c r="LS12" s="139" t="s">
        <v>70</v>
      </c>
      <c r="LT12" s="136" t="s">
        <v>62</v>
      </c>
      <c r="LU12" s="137" t="s">
        <v>71</v>
      </c>
      <c r="LV12" s="134" t="s">
        <v>66</v>
      </c>
      <c r="LW12" s="135" t="s">
        <v>9</v>
      </c>
      <c r="LX12" s="134" t="s">
        <v>66</v>
      </c>
      <c r="LY12" s="135" t="s">
        <v>10</v>
      </c>
      <c r="LZ12" s="138" t="s">
        <v>66</v>
      </c>
      <c r="MA12" s="135" t="s">
        <v>11</v>
      </c>
      <c r="MB12" s="134" t="s">
        <v>66</v>
      </c>
      <c r="MC12" s="135" t="s">
        <v>12</v>
      </c>
      <c r="MD12" s="138" t="s">
        <v>66</v>
      </c>
      <c r="MH12" s="132" t="s">
        <v>63</v>
      </c>
      <c r="MI12" s="133"/>
      <c r="MJ12" s="138" t="s">
        <v>64</v>
      </c>
      <c r="MK12" s="139" t="s">
        <v>70</v>
      </c>
      <c r="ML12" s="136" t="s">
        <v>62</v>
      </c>
      <c r="MM12" s="137" t="s">
        <v>71</v>
      </c>
      <c r="MN12" s="134" t="s">
        <v>66</v>
      </c>
      <c r="MO12" s="135" t="s">
        <v>9</v>
      </c>
      <c r="MP12" s="134" t="s">
        <v>66</v>
      </c>
      <c r="MQ12" s="135" t="s">
        <v>10</v>
      </c>
      <c r="MR12" s="138" t="s">
        <v>66</v>
      </c>
      <c r="MS12" s="135" t="s">
        <v>11</v>
      </c>
      <c r="MT12" s="134" t="s">
        <v>66</v>
      </c>
      <c r="MU12" s="135" t="s">
        <v>12</v>
      </c>
      <c r="MV12" s="138" t="s">
        <v>66</v>
      </c>
      <c r="MW12" s="1"/>
      <c r="MX12" s="1"/>
      <c r="MY12" s="490"/>
      <c r="MZ12" s="132" t="s">
        <v>63</v>
      </c>
      <c r="NA12" s="133"/>
      <c r="NB12" s="138" t="s">
        <v>64</v>
      </c>
      <c r="NC12" s="139" t="s">
        <v>70</v>
      </c>
      <c r="ND12" s="136" t="s">
        <v>62</v>
      </c>
      <c r="NE12" s="137" t="s">
        <v>71</v>
      </c>
      <c r="NF12" s="134" t="s">
        <v>66</v>
      </c>
      <c r="NG12" s="135" t="s">
        <v>9</v>
      </c>
      <c r="NH12" s="134" t="s">
        <v>66</v>
      </c>
      <c r="NI12" s="135" t="s">
        <v>10</v>
      </c>
      <c r="NJ12" s="138" t="s">
        <v>66</v>
      </c>
      <c r="NK12" s="135" t="s">
        <v>11</v>
      </c>
      <c r="NL12" s="134" t="s">
        <v>66</v>
      </c>
      <c r="NM12" s="135" t="s">
        <v>12</v>
      </c>
      <c r="NN12" s="138" t="s">
        <v>66</v>
      </c>
      <c r="NQ12" s="490"/>
      <c r="NR12" s="132" t="s">
        <v>63</v>
      </c>
      <c r="NS12" s="133"/>
      <c r="NT12" s="138" t="s">
        <v>64</v>
      </c>
      <c r="NU12" s="139" t="s">
        <v>70</v>
      </c>
      <c r="NV12" s="136" t="s">
        <v>62</v>
      </c>
      <c r="NW12" s="137" t="s">
        <v>71</v>
      </c>
      <c r="NX12" s="134" t="s">
        <v>66</v>
      </c>
      <c r="NY12" s="135" t="s">
        <v>9</v>
      </c>
      <c r="NZ12" s="134" t="s">
        <v>66</v>
      </c>
      <c r="OA12" s="135" t="s">
        <v>10</v>
      </c>
      <c r="OB12" s="138" t="s">
        <v>66</v>
      </c>
      <c r="OC12" s="135" t="s">
        <v>11</v>
      </c>
      <c r="OD12" s="134" t="s">
        <v>66</v>
      </c>
      <c r="OE12" s="135" t="s">
        <v>12</v>
      </c>
      <c r="OF12" s="138" t="s">
        <v>66</v>
      </c>
      <c r="OI12" s="490"/>
      <c r="OJ12" s="132" t="s">
        <v>63</v>
      </c>
      <c r="OK12" s="133"/>
      <c r="OL12" s="138" t="s">
        <v>64</v>
      </c>
      <c r="OM12" s="139" t="s">
        <v>70</v>
      </c>
      <c r="ON12" s="136" t="s">
        <v>62</v>
      </c>
      <c r="OO12" s="137" t="s">
        <v>71</v>
      </c>
      <c r="OP12" s="134" t="s">
        <v>66</v>
      </c>
      <c r="OQ12" s="135" t="s">
        <v>9</v>
      </c>
      <c r="OR12" s="134" t="s">
        <v>66</v>
      </c>
      <c r="OS12" s="135" t="s">
        <v>10</v>
      </c>
      <c r="OT12" s="138" t="s">
        <v>66</v>
      </c>
      <c r="OU12" s="135" t="s">
        <v>11</v>
      </c>
      <c r="OV12" s="134" t="s">
        <v>66</v>
      </c>
      <c r="OW12" s="135" t="s">
        <v>12</v>
      </c>
      <c r="OX12" s="138" t="s">
        <v>66</v>
      </c>
      <c r="PA12" s="490"/>
      <c r="PB12" s="132" t="s">
        <v>63</v>
      </c>
      <c r="PC12" s="133"/>
      <c r="PD12" s="138" t="s">
        <v>64</v>
      </c>
      <c r="PE12" s="139" t="s">
        <v>70</v>
      </c>
      <c r="PF12" s="136" t="s">
        <v>62</v>
      </c>
      <c r="PG12" s="137" t="s">
        <v>71</v>
      </c>
      <c r="PH12" s="134" t="s">
        <v>66</v>
      </c>
      <c r="PI12" s="135" t="s">
        <v>9</v>
      </c>
      <c r="PJ12" s="134" t="s">
        <v>66</v>
      </c>
      <c r="PK12" s="135" t="s">
        <v>10</v>
      </c>
      <c r="PL12" s="138" t="s">
        <v>66</v>
      </c>
      <c r="PM12" s="135" t="s">
        <v>11</v>
      </c>
      <c r="PN12" s="134" t="s">
        <v>66</v>
      </c>
      <c r="PO12" s="135" t="s">
        <v>12</v>
      </c>
      <c r="PP12" s="138" t="s">
        <v>66</v>
      </c>
      <c r="PS12" s="490"/>
      <c r="PT12" s="132" t="s">
        <v>63</v>
      </c>
      <c r="PU12" s="133"/>
      <c r="PV12" s="138" t="s">
        <v>64</v>
      </c>
      <c r="PW12" s="139" t="s">
        <v>70</v>
      </c>
      <c r="PX12" s="136" t="s">
        <v>62</v>
      </c>
      <c r="PY12" s="137" t="s">
        <v>71</v>
      </c>
      <c r="PZ12" s="134" t="s">
        <v>66</v>
      </c>
      <c r="QA12" s="135" t="s">
        <v>9</v>
      </c>
      <c r="QB12" s="134" t="s">
        <v>66</v>
      </c>
      <c r="QC12" s="135" t="s">
        <v>10</v>
      </c>
      <c r="QD12" s="138" t="s">
        <v>66</v>
      </c>
      <c r="QE12" s="135" t="s">
        <v>11</v>
      </c>
      <c r="QF12" s="134" t="s">
        <v>66</v>
      </c>
      <c r="QG12" s="135" t="s">
        <v>12</v>
      </c>
      <c r="QH12" s="138" t="s">
        <v>66</v>
      </c>
      <c r="QJ12" s="317"/>
      <c r="QK12" s="317"/>
      <c r="QL12" s="1557"/>
      <c r="QM12" s="132" t="s">
        <v>63</v>
      </c>
      <c r="QN12" s="133"/>
      <c r="QO12" s="138" t="s">
        <v>64</v>
      </c>
      <c r="QP12" s="139" t="s">
        <v>70</v>
      </c>
      <c r="QQ12" s="136" t="s">
        <v>62</v>
      </c>
      <c r="QR12" s="137" t="s">
        <v>71</v>
      </c>
      <c r="QS12" s="134" t="s">
        <v>66</v>
      </c>
      <c r="QT12" s="135" t="s">
        <v>9</v>
      </c>
      <c r="QU12" s="134" t="s">
        <v>66</v>
      </c>
      <c r="QV12" s="135" t="s">
        <v>10</v>
      </c>
      <c r="QW12" s="138" t="s">
        <v>66</v>
      </c>
      <c r="QX12" s="135" t="s">
        <v>11</v>
      </c>
      <c r="QY12" s="134" t="s">
        <v>66</v>
      </c>
      <c r="QZ12" s="135" t="s">
        <v>12</v>
      </c>
      <c r="RA12" s="1755" t="s">
        <v>66</v>
      </c>
      <c r="RB12" s="1754"/>
      <c r="RC12"/>
      <c r="RE12" s="132" t="s">
        <v>63</v>
      </c>
      <c r="RF12" s="133"/>
      <c r="RG12" s="138" t="s">
        <v>64</v>
      </c>
      <c r="RH12" s="139" t="s">
        <v>70</v>
      </c>
      <c r="RI12" s="136" t="s">
        <v>62</v>
      </c>
      <c r="RJ12" s="137" t="s">
        <v>71</v>
      </c>
      <c r="RK12" s="134" t="s">
        <v>66</v>
      </c>
      <c r="RL12" s="135" t="s">
        <v>9</v>
      </c>
      <c r="RM12" s="134" t="s">
        <v>66</v>
      </c>
      <c r="RN12" s="135" t="s">
        <v>10</v>
      </c>
      <c r="RO12" s="138" t="s">
        <v>66</v>
      </c>
      <c r="RP12" s="135" t="s">
        <v>11</v>
      </c>
      <c r="RQ12" s="134" t="s">
        <v>66</v>
      </c>
      <c r="RR12" s="135" t="s">
        <v>12</v>
      </c>
      <c r="RS12" s="138" t="s">
        <v>66</v>
      </c>
      <c r="RT12" s="317"/>
      <c r="RU12" s="317"/>
      <c r="RV12" s="1557"/>
      <c r="RW12" s="132" t="s">
        <v>63</v>
      </c>
      <c r="RX12" s="133"/>
      <c r="RY12" s="138" t="s">
        <v>64</v>
      </c>
      <c r="RZ12" s="139" t="s">
        <v>70</v>
      </c>
      <c r="SA12" s="136" t="s">
        <v>62</v>
      </c>
      <c r="SB12" s="137" t="s">
        <v>71</v>
      </c>
      <c r="SC12" s="134" t="s">
        <v>66</v>
      </c>
      <c r="SD12" s="135" t="s">
        <v>9</v>
      </c>
      <c r="SE12" s="134" t="s">
        <v>66</v>
      </c>
      <c r="SF12" s="135" t="s">
        <v>10</v>
      </c>
      <c r="SG12" s="138" t="s">
        <v>66</v>
      </c>
      <c r="SH12" s="135" t="s">
        <v>11</v>
      </c>
      <c r="SI12" s="134" t="s">
        <v>66</v>
      </c>
      <c r="SJ12" s="135" t="s">
        <v>12</v>
      </c>
      <c r="SK12" s="138" t="s">
        <v>66</v>
      </c>
      <c r="SL12" s="317"/>
      <c r="SM12" s="317"/>
      <c r="SN12" s="1557"/>
      <c r="SO12" s="132" t="s">
        <v>63</v>
      </c>
      <c r="SP12" s="133"/>
      <c r="SQ12" s="138" t="s">
        <v>64</v>
      </c>
      <c r="SR12" s="139" t="s">
        <v>70</v>
      </c>
      <c r="SS12" s="136" t="s">
        <v>62</v>
      </c>
      <c r="ST12" s="137" t="s">
        <v>71</v>
      </c>
      <c r="SU12" s="134" t="s">
        <v>66</v>
      </c>
      <c r="SV12" s="135" t="s">
        <v>9</v>
      </c>
      <c r="SW12" s="134" t="s">
        <v>66</v>
      </c>
      <c r="SX12" s="135" t="s">
        <v>10</v>
      </c>
      <c r="SY12" s="138" t="s">
        <v>66</v>
      </c>
      <c r="SZ12" s="135" t="s">
        <v>11</v>
      </c>
      <c r="TA12" s="134" t="s">
        <v>66</v>
      </c>
      <c r="TB12" s="135" t="s">
        <v>12</v>
      </c>
      <c r="TC12" s="138" t="s">
        <v>66</v>
      </c>
      <c r="TD12" s="424"/>
      <c r="TE12" s="317"/>
      <c r="TF12" s="317"/>
      <c r="TG12" s="1557"/>
      <c r="TH12" s="132" t="s">
        <v>63</v>
      </c>
      <c r="TI12" s="133"/>
      <c r="TJ12" s="138" t="s">
        <v>64</v>
      </c>
      <c r="TK12" s="139" t="s">
        <v>70</v>
      </c>
      <c r="TL12" s="136" t="s">
        <v>62</v>
      </c>
      <c r="TM12" s="137" t="s">
        <v>71</v>
      </c>
      <c r="TN12" s="134" t="s">
        <v>66</v>
      </c>
      <c r="TO12" s="135" t="s">
        <v>9</v>
      </c>
      <c r="TP12" s="134" t="s">
        <v>66</v>
      </c>
      <c r="TQ12" s="135" t="s">
        <v>10</v>
      </c>
      <c r="TR12" s="138" t="s">
        <v>66</v>
      </c>
      <c r="TS12" s="135" t="s">
        <v>11</v>
      </c>
      <c r="TT12" s="134" t="s">
        <v>66</v>
      </c>
      <c r="TU12" s="135" t="s">
        <v>12</v>
      </c>
      <c r="TV12" s="138" t="s">
        <v>66</v>
      </c>
      <c r="TW12" s="424"/>
      <c r="TX12" s="317"/>
      <c r="TY12" s="317"/>
      <c r="TZ12" s="1557"/>
      <c r="UA12" s="132" t="s">
        <v>63</v>
      </c>
      <c r="UB12" s="133"/>
      <c r="UC12" s="138" t="s">
        <v>64</v>
      </c>
      <c r="UD12" s="139" t="s">
        <v>70</v>
      </c>
      <c r="UE12" s="136" t="s">
        <v>62</v>
      </c>
      <c r="UF12" s="137" t="s">
        <v>71</v>
      </c>
      <c r="UG12" s="134" t="s">
        <v>66</v>
      </c>
      <c r="UH12" s="135" t="s">
        <v>9</v>
      </c>
      <c r="UI12" s="134" t="s">
        <v>66</v>
      </c>
      <c r="UJ12" s="135" t="s">
        <v>10</v>
      </c>
      <c r="UK12" s="138" t="s">
        <v>66</v>
      </c>
      <c r="UL12" s="135" t="s">
        <v>11</v>
      </c>
      <c r="UM12" s="134" t="s">
        <v>66</v>
      </c>
      <c r="UN12" s="135" t="s">
        <v>12</v>
      </c>
      <c r="UO12" s="138" t="s">
        <v>66</v>
      </c>
      <c r="UQ12" s="317"/>
      <c r="UR12" s="317"/>
      <c r="US12" s="1557"/>
      <c r="UT12" s="132" t="s">
        <v>63</v>
      </c>
      <c r="UU12" s="133"/>
      <c r="UV12" s="138" t="s">
        <v>64</v>
      </c>
      <c r="UW12" s="139" t="s">
        <v>70</v>
      </c>
      <c r="UX12" s="136" t="s">
        <v>62</v>
      </c>
      <c r="UY12" s="137" t="s">
        <v>71</v>
      </c>
      <c r="UZ12" s="134" t="s">
        <v>66</v>
      </c>
      <c r="VA12" s="135" t="s">
        <v>9</v>
      </c>
      <c r="VB12" s="134" t="s">
        <v>66</v>
      </c>
      <c r="VC12" s="135" t="s">
        <v>10</v>
      </c>
      <c r="VD12" s="138" t="s">
        <v>66</v>
      </c>
      <c r="VE12" s="135" t="s">
        <v>11</v>
      </c>
      <c r="VF12" s="134" t="s">
        <v>66</v>
      </c>
      <c r="VG12" s="135" t="s">
        <v>12</v>
      </c>
      <c r="VH12" s="138" t="s">
        <v>66</v>
      </c>
      <c r="VL12" s="490"/>
      <c r="VM12" s="132" t="s">
        <v>63</v>
      </c>
      <c r="VN12" s="133"/>
      <c r="VO12" s="138" t="s">
        <v>64</v>
      </c>
      <c r="VP12" s="139" t="s">
        <v>70</v>
      </c>
      <c r="VQ12" s="136" t="s">
        <v>62</v>
      </c>
      <c r="VR12" s="137" t="s">
        <v>71</v>
      </c>
      <c r="VS12" s="134" t="s">
        <v>66</v>
      </c>
      <c r="VT12" s="135" t="s">
        <v>9</v>
      </c>
      <c r="VU12" s="134" t="s">
        <v>66</v>
      </c>
      <c r="VV12" s="135" t="s">
        <v>10</v>
      </c>
      <c r="VW12" s="138" t="s">
        <v>66</v>
      </c>
      <c r="VY12" s="317"/>
      <c r="VZ12" s="317"/>
      <c r="WA12" s="1557"/>
      <c r="WB12" s="132" t="s">
        <v>63</v>
      </c>
      <c r="WC12" s="133"/>
      <c r="WD12" s="138" t="s">
        <v>64</v>
      </c>
      <c r="WE12" s="139" t="s">
        <v>70</v>
      </c>
      <c r="WF12" s="136" t="s">
        <v>62</v>
      </c>
      <c r="WG12" s="137" t="s">
        <v>71</v>
      </c>
      <c r="WH12" s="134" t="s">
        <v>66</v>
      </c>
      <c r="WI12" s="135" t="s">
        <v>9</v>
      </c>
      <c r="WJ12" s="134" t="s">
        <v>66</v>
      </c>
      <c r="WK12" s="135" t="s">
        <v>10</v>
      </c>
      <c r="WL12" s="138" t="s">
        <v>66</v>
      </c>
      <c r="WN12" s="317"/>
      <c r="WO12" s="317"/>
      <c r="WP12" s="1557"/>
      <c r="WQ12" s="132" t="s">
        <v>63</v>
      </c>
      <c r="WR12" s="133"/>
      <c r="WS12" s="138" t="s">
        <v>64</v>
      </c>
      <c r="WT12" s="139" t="s">
        <v>70</v>
      </c>
      <c r="WU12" s="136" t="s">
        <v>62</v>
      </c>
      <c r="WV12" s="137" t="s">
        <v>71</v>
      </c>
      <c r="WW12" s="134" t="s">
        <v>66</v>
      </c>
      <c r="WX12" s="135" t="s">
        <v>9</v>
      </c>
      <c r="WY12" s="134" t="s">
        <v>66</v>
      </c>
      <c r="WZ12" s="135" t="s">
        <v>10</v>
      </c>
      <c r="XA12" s="138" t="s">
        <v>66</v>
      </c>
    </row>
    <row r="13" spans="1:625" x14ac:dyDescent="0.25">
      <c r="A13" s="493" t="s">
        <v>4</v>
      </c>
      <c r="C13" s="489"/>
      <c r="D13" s="132" t="s">
        <v>67</v>
      </c>
      <c r="E13" s="135" t="s">
        <v>68</v>
      </c>
      <c r="F13" s="138" t="s">
        <v>69</v>
      </c>
      <c r="G13" s="139" t="s">
        <v>182</v>
      </c>
      <c r="H13" s="136" t="s">
        <v>69</v>
      </c>
      <c r="I13" s="137" t="s">
        <v>183</v>
      </c>
      <c r="J13" s="134" t="s">
        <v>72</v>
      </c>
      <c r="K13" s="135" t="s">
        <v>183</v>
      </c>
      <c r="L13" s="134" t="s">
        <v>73</v>
      </c>
      <c r="M13" s="135" t="s">
        <v>183</v>
      </c>
      <c r="N13" s="138" t="s">
        <v>73</v>
      </c>
      <c r="O13" s="135" t="s">
        <v>183</v>
      </c>
      <c r="P13" s="134" t="s">
        <v>73</v>
      </c>
      <c r="Q13" s="135" t="s">
        <v>183</v>
      </c>
      <c r="R13" s="138" t="s">
        <v>73</v>
      </c>
      <c r="S13" s="493" t="s">
        <v>4</v>
      </c>
      <c r="U13" s="489"/>
      <c r="V13" s="132" t="s">
        <v>67</v>
      </c>
      <c r="W13" s="135" t="s">
        <v>68</v>
      </c>
      <c r="X13" s="138" t="s">
        <v>69</v>
      </c>
      <c r="Y13" s="139" t="s">
        <v>182</v>
      </c>
      <c r="Z13" s="136" t="s">
        <v>69</v>
      </c>
      <c r="AA13" s="137" t="s">
        <v>183</v>
      </c>
      <c r="AB13" s="134" t="s">
        <v>72</v>
      </c>
      <c r="AC13" s="135" t="s">
        <v>183</v>
      </c>
      <c r="AD13" s="134" t="s">
        <v>73</v>
      </c>
      <c r="AE13" s="135" t="s">
        <v>183</v>
      </c>
      <c r="AF13" s="138" t="s">
        <v>73</v>
      </c>
      <c r="AG13" s="135" t="s">
        <v>183</v>
      </c>
      <c r="AH13" s="134" t="s">
        <v>73</v>
      </c>
      <c r="AI13" s="135" t="s">
        <v>183</v>
      </c>
      <c r="AJ13" s="138" t="s">
        <v>73</v>
      </c>
      <c r="AK13" s="493" t="s">
        <v>4</v>
      </c>
      <c r="AL13" s="489"/>
      <c r="AM13" s="489"/>
      <c r="AN13" s="132" t="s">
        <v>67</v>
      </c>
      <c r="AO13" s="135" t="s">
        <v>68</v>
      </c>
      <c r="AP13" s="138" t="s">
        <v>69</v>
      </c>
      <c r="AQ13" s="139" t="s">
        <v>182</v>
      </c>
      <c r="AR13" s="136" t="s">
        <v>69</v>
      </c>
      <c r="AS13" s="137" t="s">
        <v>183</v>
      </c>
      <c r="AT13" s="134" t="s">
        <v>72</v>
      </c>
      <c r="AU13" s="135" t="s">
        <v>183</v>
      </c>
      <c r="AV13" s="134" t="s">
        <v>73</v>
      </c>
      <c r="AW13" s="135" t="s">
        <v>183</v>
      </c>
      <c r="AX13" s="138" t="s">
        <v>73</v>
      </c>
      <c r="AY13" s="135" t="s">
        <v>183</v>
      </c>
      <c r="AZ13" s="134" t="s">
        <v>73</v>
      </c>
      <c r="BA13" s="135" t="s">
        <v>183</v>
      </c>
      <c r="BB13" s="138" t="s">
        <v>73</v>
      </c>
      <c r="BC13" s="493" t="s">
        <v>4</v>
      </c>
      <c r="BE13" s="489"/>
      <c r="BF13" s="132" t="s">
        <v>67</v>
      </c>
      <c r="BG13" s="135" t="s">
        <v>68</v>
      </c>
      <c r="BH13" s="138" t="s">
        <v>69</v>
      </c>
      <c r="BI13" s="139" t="s">
        <v>182</v>
      </c>
      <c r="BJ13" s="136" t="s">
        <v>69</v>
      </c>
      <c r="BK13" s="137" t="s">
        <v>183</v>
      </c>
      <c r="BL13" s="134" t="s">
        <v>72</v>
      </c>
      <c r="BM13" s="135" t="s">
        <v>183</v>
      </c>
      <c r="BN13" s="134" t="s">
        <v>73</v>
      </c>
      <c r="BO13" s="135" t="s">
        <v>183</v>
      </c>
      <c r="BP13" s="138" t="s">
        <v>73</v>
      </c>
      <c r="BQ13" s="135" t="s">
        <v>183</v>
      </c>
      <c r="BR13" s="134" t="s">
        <v>73</v>
      </c>
      <c r="BS13" s="135" t="s">
        <v>183</v>
      </c>
      <c r="BT13" s="138" t="s">
        <v>73</v>
      </c>
      <c r="BU13" s="493" t="s">
        <v>4</v>
      </c>
      <c r="BV13" s="489"/>
      <c r="BW13" s="489"/>
      <c r="BX13" s="132" t="s">
        <v>67</v>
      </c>
      <c r="BY13" s="135" t="s">
        <v>68</v>
      </c>
      <c r="BZ13" s="138" t="s">
        <v>69</v>
      </c>
      <c r="CA13" s="139" t="s">
        <v>182</v>
      </c>
      <c r="CB13" s="136" t="s">
        <v>69</v>
      </c>
      <c r="CC13" s="137" t="s">
        <v>183</v>
      </c>
      <c r="CD13" s="134" t="s">
        <v>72</v>
      </c>
      <c r="CE13" s="135" t="s">
        <v>183</v>
      </c>
      <c r="CF13" s="134" t="s">
        <v>73</v>
      </c>
      <c r="CG13" s="135" t="s">
        <v>183</v>
      </c>
      <c r="CH13" s="138" t="s">
        <v>73</v>
      </c>
      <c r="CI13" s="135" t="s">
        <v>183</v>
      </c>
      <c r="CJ13" s="134" t="s">
        <v>73</v>
      </c>
      <c r="CK13" s="135" t="s">
        <v>183</v>
      </c>
      <c r="CL13" s="138" t="s">
        <v>73</v>
      </c>
      <c r="CM13" s="14" t="s">
        <v>4</v>
      </c>
      <c r="CN13" s="14"/>
      <c r="CO13" s="489"/>
      <c r="CP13" s="132" t="s">
        <v>67</v>
      </c>
      <c r="CQ13" s="135" t="s">
        <v>68</v>
      </c>
      <c r="CR13" s="138" t="s">
        <v>69</v>
      </c>
      <c r="CS13" s="139" t="s">
        <v>182</v>
      </c>
      <c r="CT13" s="136" t="s">
        <v>69</v>
      </c>
      <c r="CU13" s="137" t="s">
        <v>183</v>
      </c>
      <c r="CV13" s="134" t="s">
        <v>72</v>
      </c>
      <c r="CW13" s="135" t="s">
        <v>183</v>
      </c>
      <c r="CX13" s="134" t="s">
        <v>73</v>
      </c>
      <c r="CY13" s="135" t="s">
        <v>183</v>
      </c>
      <c r="CZ13" s="138" t="s">
        <v>73</v>
      </c>
      <c r="DA13" s="135" t="s">
        <v>183</v>
      </c>
      <c r="DB13" s="134" t="s">
        <v>73</v>
      </c>
      <c r="DC13" s="135" t="s">
        <v>183</v>
      </c>
      <c r="DD13" s="138" t="s">
        <v>73</v>
      </c>
      <c r="DE13" s="493" t="s">
        <v>4</v>
      </c>
      <c r="DF13" s="489"/>
      <c r="DG13" s="491"/>
      <c r="DH13" s="132" t="s">
        <v>67</v>
      </c>
      <c r="DI13" s="135" t="s">
        <v>68</v>
      </c>
      <c r="DJ13" s="138" t="s">
        <v>69</v>
      </c>
      <c r="DK13" s="139" t="s">
        <v>182</v>
      </c>
      <c r="DL13" s="136" t="s">
        <v>69</v>
      </c>
      <c r="DM13" s="137" t="s">
        <v>183</v>
      </c>
      <c r="DN13" s="134" t="s">
        <v>72</v>
      </c>
      <c r="DO13" s="135" t="s">
        <v>183</v>
      </c>
      <c r="DP13" s="134" t="s">
        <v>73</v>
      </c>
      <c r="DQ13" s="135" t="s">
        <v>183</v>
      </c>
      <c r="DR13" s="138" t="s">
        <v>73</v>
      </c>
      <c r="DS13" s="135" t="s">
        <v>183</v>
      </c>
      <c r="DT13" s="134" t="s">
        <v>73</v>
      </c>
      <c r="DU13" s="135" t="s">
        <v>183</v>
      </c>
      <c r="DV13" s="138" t="s">
        <v>73</v>
      </c>
      <c r="DW13" s="100" t="s">
        <v>4</v>
      </c>
      <c r="DX13" s="491"/>
      <c r="DY13" s="491"/>
      <c r="DZ13" s="132" t="s">
        <v>67</v>
      </c>
      <c r="EA13" s="135" t="s">
        <v>68</v>
      </c>
      <c r="EB13" s="138" t="s">
        <v>69</v>
      </c>
      <c r="EC13" s="139" t="s">
        <v>182</v>
      </c>
      <c r="ED13" s="136" t="s">
        <v>69</v>
      </c>
      <c r="EE13" s="137" t="s">
        <v>183</v>
      </c>
      <c r="EF13" s="134" t="s">
        <v>72</v>
      </c>
      <c r="EG13" s="135" t="s">
        <v>183</v>
      </c>
      <c r="EH13" s="134" t="s">
        <v>73</v>
      </c>
      <c r="EI13" s="135" t="s">
        <v>183</v>
      </c>
      <c r="EJ13" s="138" t="s">
        <v>73</v>
      </c>
      <c r="EK13" s="135" t="s">
        <v>183</v>
      </c>
      <c r="EL13" s="134" t="s">
        <v>73</v>
      </c>
      <c r="EM13" s="135" t="s">
        <v>183</v>
      </c>
      <c r="EN13" s="138" t="s">
        <v>73</v>
      </c>
      <c r="EO13" s="13" t="s">
        <v>4</v>
      </c>
      <c r="EP13" s="489"/>
      <c r="EQ13" s="489"/>
      <c r="ER13" s="132" t="s">
        <v>67</v>
      </c>
      <c r="ES13" s="135" t="s">
        <v>68</v>
      </c>
      <c r="ET13" s="138" t="s">
        <v>69</v>
      </c>
      <c r="EU13" s="139" t="s">
        <v>182</v>
      </c>
      <c r="EV13" s="136" t="s">
        <v>69</v>
      </c>
      <c r="EW13" s="137" t="s">
        <v>183</v>
      </c>
      <c r="EX13" s="134" t="s">
        <v>72</v>
      </c>
      <c r="EY13" s="135" t="s">
        <v>183</v>
      </c>
      <c r="EZ13" s="134" t="s">
        <v>73</v>
      </c>
      <c r="FA13" s="135" t="s">
        <v>183</v>
      </c>
      <c r="FB13" s="138" t="s">
        <v>73</v>
      </c>
      <c r="FC13" s="135" t="s">
        <v>183</v>
      </c>
      <c r="FD13" s="134" t="s">
        <v>73</v>
      </c>
      <c r="FE13" s="135" t="s">
        <v>183</v>
      </c>
      <c r="FF13" s="138" t="s">
        <v>73</v>
      </c>
      <c r="FG13" s="493" t="s">
        <v>4</v>
      </c>
      <c r="FH13" s="489"/>
      <c r="FI13" s="489"/>
      <c r="FJ13" s="132" t="s">
        <v>67</v>
      </c>
      <c r="FK13" s="135" t="s">
        <v>68</v>
      </c>
      <c r="FL13" s="138" t="s">
        <v>69</v>
      </c>
      <c r="FM13" s="139" t="s">
        <v>182</v>
      </c>
      <c r="FN13" s="136" t="s">
        <v>69</v>
      </c>
      <c r="FO13" s="137" t="s">
        <v>183</v>
      </c>
      <c r="FP13" s="134" t="s">
        <v>72</v>
      </c>
      <c r="FQ13" s="135" t="s">
        <v>183</v>
      </c>
      <c r="FR13" s="134" t="s">
        <v>73</v>
      </c>
      <c r="FS13" s="135" t="s">
        <v>183</v>
      </c>
      <c r="FT13" s="138" t="s">
        <v>73</v>
      </c>
      <c r="FU13" s="135" t="s">
        <v>183</v>
      </c>
      <c r="FV13" s="134" t="s">
        <v>73</v>
      </c>
      <c r="FW13" s="135" t="s">
        <v>183</v>
      </c>
      <c r="FX13" s="138" t="s">
        <v>73</v>
      </c>
      <c r="FY13" s="14" t="s">
        <v>4</v>
      </c>
      <c r="FZ13" s="14"/>
      <c r="GA13" s="491"/>
      <c r="GB13" s="132" t="s">
        <v>67</v>
      </c>
      <c r="GC13" s="135" t="s">
        <v>68</v>
      </c>
      <c r="GD13" s="138" t="s">
        <v>69</v>
      </c>
      <c r="GE13" s="139" t="s">
        <v>182</v>
      </c>
      <c r="GF13" s="136" t="s">
        <v>69</v>
      </c>
      <c r="GG13" s="137" t="s">
        <v>183</v>
      </c>
      <c r="GH13" s="134" t="s">
        <v>72</v>
      </c>
      <c r="GI13" s="135" t="s">
        <v>183</v>
      </c>
      <c r="GJ13" s="134" t="s">
        <v>73</v>
      </c>
      <c r="GK13" s="135" t="s">
        <v>183</v>
      </c>
      <c r="GL13" s="138" t="s">
        <v>73</v>
      </c>
      <c r="GM13" s="135" t="s">
        <v>183</v>
      </c>
      <c r="GN13" s="134" t="s">
        <v>73</v>
      </c>
      <c r="GO13" s="135" t="s">
        <v>183</v>
      </c>
      <c r="GP13" s="138" t="s">
        <v>73</v>
      </c>
      <c r="GQ13" s="14" t="s">
        <v>4</v>
      </c>
      <c r="GR13" s="7"/>
      <c r="GS13" s="491"/>
      <c r="GT13" s="132" t="s">
        <v>67</v>
      </c>
      <c r="GU13" s="135" t="s">
        <v>68</v>
      </c>
      <c r="GV13" s="138" t="s">
        <v>69</v>
      </c>
      <c r="GW13" s="139" t="s">
        <v>182</v>
      </c>
      <c r="GX13" s="136" t="s">
        <v>69</v>
      </c>
      <c r="GY13" s="137" t="s">
        <v>183</v>
      </c>
      <c r="GZ13" s="134" t="s">
        <v>72</v>
      </c>
      <c r="HA13" s="135" t="s">
        <v>183</v>
      </c>
      <c r="HB13" s="134" t="s">
        <v>73</v>
      </c>
      <c r="HC13" s="135" t="s">
        <v>183</v>
      </c>
      <c r="HD13" s="138" t="s">
        <v>73</v>
      </c>
      <c r="HE13" s="135" t="s">
        <v>183</v>
      </c>
      <c r="HF13" s="134" t="s">
        <v>73</v>
      </c>
      <c r="HG13" s="135" t="s">
        <v>183</v>
      </c>
      <c r="HH13" s="138" t="s">
        <v>73</v>
      </c>
      <c r="HI13" s="493" t="s">
        <v>4</v>
      </c>
      <c r="HJ13" s="494"/>
      <c r="HK13" s="491"/>
      <c r="HL13" s="132" t="s">
        <v>67</v>
      </c>
      <c r="HM13" s="135" t="s">
        <v>68</v>
      </c>
      <c r="HN13" s="138" t="s">
        <v>69</v>
      </c>
      <c r="HO13" s="139" t="s">
        <v>182</v>
      </c>
      <c r="HP13" s="136" t="s">
        <v>69</v>
      </c>
      <c r="HQ13" s="137" t="s">
        <v>183</v>
      </c>
      <c r="HR13" s="134" t="s">
        <v>72</v>
      </c>
      <c r="HS13" s="135" t="s">
        <v>183</v>
      </c>
      <c r="HT13" s="134" t="s">
        <v>73</v>
      </c>
      <c r="HU13" s="135" t="s">
        <v>183</v>
      </c>
      <c r="HV13" s="138" t="s">
        <v>73</v>
      </c>
      <c r="HW13" s="135" t="s">
        <v>183</v>
      </c>
      <c r="HX13" s="134" t="s">
        <v>73</v>
      </c>
      <c r="HY13" s="135" t="s">
        <v>183</v>
      </c>
      <c r="HZ13" s="138" t="s">
        <v>73</v>
      </c>
      <c r="IA13" s="495" t="s">
        <v>4</v>
      </c>
      <c r="IB13" s="496"/>
      <c r="IC13" s="491"/>
      <c r="ID13" s="132" t="s">
        <v>67</v>
      </c>
      <c r="IE13" s="135" t="s">
        <v>68</v>
      </c>
      <c r="IF13" s="138" t="s">
        <v>69</v>
      </c>
      <c r="IG13" s="139" t="s">
        <v>182</v>
      </c>
      <c r="IH13" s="136" t="s">
        <v>69</v>
      </c>
      <c r="II13" s="137" t="s">
        <v>183</v>
      </c>
      <c r="IJ13" s="134" t="s">
        <v>72</v>
      </c>
      <c r="IK13" s="135" t="s">
        <v>183</v>
      </c>
      <c r="IL13" s="134" t="s">
        <v>73</v>
      </c>
      <c r="IM13" s="135" t="s">
        <v>183</v>
      </c>
      <c r="IN13" s="138" t="s">
        <v>73</v>
      </c>
      <c r="IO13" s="135" t="s">
        <v>183</v>
      </c>
      <c r="IP13" s="134" t="s">
        <v>73</v>
      </c>
      <c r="IQ13" s="135" t="s">
        <v>183</v>
      </c>
      <c r="IR13" s="138" t="s">
        <v>73</v>
      </c>
      <c r="IS13" s="493" t="s">
        <v>4</v>
      </c>
      <c r="IT13" s="489"/>
      <c r="IU13" s="491"/>
      <c r="IV13" s="132" t="s">
        <v>67</v>
      </c>
      <c r="IW13" s="135" t="s">
        <v>68</v>
      </c>
      <c r="IX13" s="138" t="s">
        <v>69</v>
      </c>
      <c r="IY13" s="139" t="s">
        <v>182</v>
      </c>
      <c r="IZ13" s="136" t="s">
        <v>69</v>
      </c>
      <c r="JA13" s="137" t="s">
        <v>183</v>
      </c>
      <c r="JB13" s="134" t="s">
        <v>72</v>
      </c>
      <c r="JC13" s="135" t="s">
        <v>183</v>
      </c>
      <c r="JD13" s="134" t="s">
        <v>73</v>
      </c>
      <c r="JE13" s="135" t="s">
        <v>183</v>
      </c>
      <c r="JF13" s="138" t="s">
        <v>73</v>
      </c>
      <c r="JG13" s="135" t="s">
        <v>183</v>
      </c>
      <c r="JH13" s="134" t="s">
        <v>73</v>
      </c>
      <c r="JI13" s="135" t="s">
        <v>183</v>
      </c>
      <c r="JJ13" s="138" t="s">
        <v>73</v>
      </c>
      <c r="JK13" s="493" t="s">
        <v>4</v>
      </c>
      <c r="JM13" s="491"/>
      <c r="JN13" s="132" t="s">
        <v>67</v>
      </c>
      <c r="JO13" s="135" t="s">
        <v>68</v>
      </c>
      <c r="JP13" s="138" t="s">
        <v>69</v>
      </c>
      <c r="JQ13" s="139" t="s">
        <v>182</v>
      </c>
      <c r="JR13" s="136" t="s">
        <v>69</v>
      </c>
      <c r="JS13" s="137" t="s">
        <v>183</v>
      </c>
      <c r="JT13" s="134" t="s">
        <v>72</v>
      </c>
      <c r="JU13" s="135" t="s">
        <v>183</v>
      </c>
      <c r="JV13" s="134" t="s">
        <v>73</v>
      </c>
      <c r="JW13" s="135" t="s">
        <v>183</v>
      </c>
      <c r="JX13" s="138" t="s">
        <v>73</v>
      </c>
      <c r="JY13" s="135" t="s">
        <v>183</v>
      </c>
      <c r="JZ13" s="134" t="s">
        <v>73</v>
      </c>
      <c r="KA13" s="135" t="s">
        <v>183</v>
      </c>
      <c r="KB13" s="138" t="s">
        <v>73</v>
      </c>
      <c r="KC13" s="493" t="s">
        <v>4</v>
      </c>
      <c r="KD13" s="489"/>
      <c r="KE13" s="491"/>
      <c r="KF13" s="132" t="s">
        <v>67</v>
      </c>
      <c r="KG13" s="135" t="s">
        <v>68</v>
      </c>
      <c r="KH13" s="138" t="s">
        <v>69</v>
      </c>
      <c r="KI13" s="139" t="s">
        <v>182</v>
      </c>
      <c r="KJ13" s="136" t="s">
        <v>69</v>
      </c>
      <c r="KK13" s="137" t="s">
        <v>183</v>
      </c>
      <c r="KL13" s="134" t="s">
        <v>72</v>
      </c>
      <c r="KM13" s="135" t="s">
        <v>183</v>
      </c>
      <c r="KN13" s="134" t="s">
        <v>73</v>
      </c>
      <c r="KO13" s="135" t="s">
        <v>183</v>
      </c>
      <c r="KP13" s="138" t="s">
        <v>73</v>
      </c>
      <c r="KQ13" s="135" t="s">
        <v>183</v>
      </c>
      <c r="KR13" s="134" t="s">
        <v>73</v>
      </c>
      <c r="KS13" s="135" t="s">
        <v>183</v>
      </c>
      <c r="KT13" s="138" t="s">
        <v>73</v>
      </c>
      <c r="KU13" s="14" t="s">
        <v>4</v>
      </c>
      <c r="KV13" s="7"/>
      <c r="KW13" s="491"/>
      <c r="KX13" s="132" t="s">
        <v>67</v>
      </c>
      <c r="KY13" s="135" t="s">
        <v>68</v>
      </c>
      <c r="KZ13" s="138" t="s">
        <v>69</v>
      </c>
      <c r="LA13" s="139" t="s">
        <v>182</v>
      </c>
      <c r="LB13" s="136" t="s">
        <v>69</v>
      </c>
      <c r="LC13" s="137" t="s">
        <v>183</v>
      </c>
      <c r="LD13" s="134" t="s">
        <v>72</v>
      </c>
      <c r="LE13" s="135" t="s">
        <v>183</v>
      </c>
      <c r="LF13" s="134" t="s">
        <v>73</v>
      </c>
      <c r="LG13" s="135" t="s">
        <v>183</v>
      </c>
      <c r="LH13" s="138" t="s">
        <v>73</v>
      </c>
      <c r="LI13" s="135" t="s">
        <v>183</v>
      </c>
      <c r="LJ13" s="134" t="s">
        <v>73</v>
      </c>
      <c r="LK13" s="135" t="s">
        <v>183</v>
      </c>
      <c r="LL13" s="138" t="s">
        <v>73</v>
      </c>
      <c r="LM13" s="497" t="s">
        <v>4</v>
      </c>
      <c r="LN13" s="496"/>
      <c r="LO13" s="496"/>
      <c r="LP13" s="132" t="s">
        <v>67</v>
      </c>
      <c r="LQ13" s="135" t="s">
        <v>68</v>
      </c>
      <c r="LR13" s="138" t="s">
        <v>69</v>
      </c>
      <c r="LS13" s="139" t="s">
        <v>182</v>
      </c>
      <c r="LT13" s="136" t="s">
        <v>69</v>
      </c>
      <c r="LU13" s="137" t="s">
        <v>183</v>
      </c>
      <c r="LV13" s="134" t="s">
        <v>72</v>
      </c>
      <c r="LW13" s="135" t="s">
        <v>183</v>
      </c>
      <c r="LX13" s="134" t="s">
        <v>73</v>
      </c>
      <c r="LY13" s="135" t="s">
        <v>183</v>
      </c>
      <c r="LZ13" s="138" t="s">
        <v>73</v>
      </c>
      <c r="MA13" s="135" t="s">
        <v>183</v>
      </c>
      <c r="MB13" s="134" t="s">
        <v>73</v>
      </c>
      <c r="MC13" s="135" t="s">
        <v>183</v>
      </c>
      <c r="MD13" s="138" t="s">
        <v>73</v>
      </c>
      <c r="ME13" s="497" t="s">
        <v>4</v>
      </c>
      <c r="MG13" s="496"/>
      <c r="MH13" s="132" t="s">
        <v>67</v>
      </c>
      <c r="MI13" s="135" t="s">
        <v>68</v>
      </c>
      <c r="MJ13" s="138" t="s">
        <v>69</v>
      </c>
      <c r="MK13" s="139" t="s">
        <v>182</v>
      </c>
      <c r="ML13" s="136" t="s">
        <v>69</v>
      </c>
      <c r="MM13" s="137" t="s">
        <v>183</v>
      </c>
      <c r="MN13" s="134" t="s">
        <v>72</v>
      </c>
      <c r="MO13" s="135" t="s">
        <v>183</v>
      </c>
      <c r="MP13" s="134" t="s">
        <v>73</v>
      </c>
      <c r="MQ13" s="135" t="s">
        <v>183</v>
      </c>
      <c r="MR13" s="138" t="s">
        <v>73</v>
      </c>
      <c r="MS13" s="135" t="s">
        <v>183</v>
      </c>
      <c r="MT13" s="134" t="s">
        <v>73</v>
      </c>
      <c r="MU13" s="135" t="s">
        <v>183</v>
      </c>
      <c r="MV13" s="138" t="s">
        <v>73</v>
      </c>
      <c r="MW13" s="493" t="s">
        <v>4</v>
      </c>
      <c r="MX13" s="489"/>
      <c r="MY13" s="491"/>
      <c r="MZ13" s="132" t="s">
        <v>67</v>
      </c>
      <c r="NA13" s="135" t="s">
        <v>68</v>
      </c>
      <c r="NB13" s="138" t="s">
        <v>69</v>
      </c>
      <c r="NC13" s="139" t="s">
        <v>182</v>
      </c>
      <c r="ND13" s="136" t="s">
        <v>69</v>
      </c>
      <c r="NE13" s="137" t="s">
        <v>183</v>
      </c>
      <c r="NF13" s="134" t="s">
        <v>72</v>
      </c>
      <c r="NG13" s="135" t="s">
        <v>183</v>
      </c>
      <c r="NH13" s="134" t="s">
        <v>73</v>
      </c>
      <c r="NI13" s="135" t="s">
        <v>183</v>
      </c>
      <c r="NJ13" s="138" t="s">
        <v>73</v>
      </c>
      <c r="NK13" s="135" t="s">
        <v>183</v>
      </c>
      <c r="NL13" s="134" t="s">
        <v>73</v>
      </c>
      <c r="NM13" s="135" t="s">
        <v>183</v>
      </c>
      <c r="NN13" s="138" t="s">
        <v>73</v>
      </c>
      <c r="NO13" s="493" t="s">
        <v>4</v>
      </c>
      <c r="NP13" s="489"/>
      <c r="NQ13" s="491"/>
      <c r="NR13" s="132" t="s">
        <v>67</v>
      </c>
      <c r="NS13" s="135" t="s">
        <v>68</v>
      </c>
      <c r="NT13" s="138" t="s">
        <v>69</v>
      </c>
      <c r="NU13" s="139" t="s">
        <v>182</v>
      </c>
      <c r="NV13" s="136" t="s">
        <v>69</v>
      </c>
      <c r="NW13" s="137" t="s">
        <v>183</v>
      </c>
      <c r="NX13" s="134" t="s">
        <v>72</v>
      </c>
      <c r="NY13" s="135" t="s">
        <v>183</v>
      </c>
      <c r="NZ13" s="134" t="s">
        <v>73</v>
      </c>
      <c r="OA13" s="135" t="s">
        <v>183</v>
      </c>
      <c r="OB13" s="138" t="s">
        <v>73</v>
      </c>
      <c r="OC13" s="135" t="s">
        <v>183</v>
      </c>
      <c r="OD13" s="134" t="s">
        <v>73</v>
      </c>
      <c r="OE13" s="135" t="s">
        <v>183</v>
      </c>
      <c r="OF13" s="138" t="s">
        <v>73</v>
      </c>
      <c r="OG13" s="493" t="s">
        <v>4</v>
      </c>
      <c r="OH13" s="489"/>
      <c r="OI13" s="491"/>
      <c r="OJ13" s="132" t="s">
        <v>67</v>
      </c>
      <c r="OK13" s="135" t="s">
        <v>68</v>
      </c>
      <c r="OL13" s="138" t="s">
        <v>69</v>
      </c>
      <c r="OM13" s="139" t="s">
        <v>182</v>
      </c>
      <c r="ON13" s="136" t="s">
        <v>69</v>
      </c>
      <c r="OO13" s="137" t="s">
        <v>183</v>
      </c>
      <c r="OP13" s="134" t="s">
        <v>72</v>
      </c>
      <c r="OQ13" s="135" t="s">
        <v>183</v>
      </c>
      <c r="OR13" s="134" t="s">
        <v>73</v>
      </c>
      <c r="OS13" s="135" t="s">
        <v>183</v>
      </c>
      <c r="OT13" s="138" t="s">
        <v>73</v>
      </c>
      <c r="OU13" s="135" t="s">
        <v>183</v>
      </c>
      <c r="OV13" s="134" t="s">
        <v>73</v>
      </c>
      <c r="OW13" s="135" t="s">
        <v>183</v>
      </c>
      <c r="OX13" s="138" t="s">
        <v>73</v>
      </c>
      <c r="OY13" s="493" t="s">
        <v>4</v>
      </c>
      <c r="OZ13" s="489"/>
      <c r="PA13" s="491"/>
      <c r="PB13" s="132" t="s">
        <v>67</v>
      </c>
      <c r="PC13" s="135" t="s">
        <v>68</v>
      </c>
      <c r="PD13" s="138" t="s">
        <v>69</v>
      </c>
      <c r="PE13" s="139" t="s">
        <v>182</v>
      </c>
      <c r="PF13" s="136" t="s">
        <v>69</v>
      </c>
      <c r="PG13" s="137" t="s">
        <v>183</v>
      </c>
      <c r="PH13" s="134" t="s">
        <v>72</v>
      </c>
      <c r="PI13" s="135" t="s">
        <v>183</v>
      </c>
      <c r="PJ13" s="134" t="s">
        <v>73</v>
      </c>
      <c r="PK13" s="135" t="s">
        <v>183</v>
      </c>
      <c r="PL13" s="138" t="s">
        <v>73</v>
      </c>
      <c r="PM13" s="135" t="s">
        <v>183</v>
      </c>
      <c r="PN13" s="134" t="s">
        <v>73</v>
      </c>
      <c r="PO13" s="135" t="s">
        <v>183</v>
      </c>
      <c r="PP13" s="138" t="s">
        <v>73</v>
      </c>
      <c r="PQ13" s="493" t="s">
        <v>4</v>
      </c>
      <c r="PR13" s="489"/>
      <c r="PS13" s="491"/>
      <c r="PT13" s="132" t="s">
        <v>67</v>
      </c>
      <c r="PU13" s="135" t="s">
        <v>68</v>
      </c>
      <c r="PV13" s="138" t="s">
        <v>69</v>
      </c>
      <c r="PW13" s="139" t="s">
        <v>182</v>
      </c>
      <c r="PX13" s="136" t="s">
        <v>69</v>
      </c>
      <c r="PY13" s="137" t="s">
        <v>183</v>
      </c>
      <c r="PZ13" s="134" t="s">
        <v>72</v>
      </c>
      <c r="QA13" s="135" t="s">
        <v>183</v>
      </c>
      <c r="QB13" s="134" t="s">
        <v>73</v>
      </c>
      <c r="QC13" s="135" t="s">
        <v>183</v>
      </c>
      <c r="QD13" s="138" t="s">
        <v>73</v>
      </c>
      <c r="QE13" s="135" t="s">
        <v>183</v>
      </c>
      <c r="QF13" s="134" t="s">
        <v>73</v>
      </c>
      <c r="QG13" s="135" t="s">
        <v>183</v>
      </c>
      <c r="QH13" s="138" t="s">
        <v>73</v>
      </c>
      <c r="QJ13" s="1753" t="s">
        <v>4</v>
      </c>
      <c r="QK13" s="1752"/>
      <c r="QL13" s="1555"/>
      <c r="QM13" s="132" t="s">
        <v>67</v>
      </c>
      <c r="QN13" s="135" t="s">
        <v>68</v>
      </c>
      <c r="QO13" s="138" t="s">
        <v>69</v>
      </c>
      <c r="QP13" s="139" t="s">
        <v>182</v>
      </c>
      <c r="QQ13" s="136" t="s">
        <v>69</v>
      </c>
      <c r="QR13" s="137" t="s">
        <v>183</v>
      </c>
      <c r="QS13" s="134" t="s">
        <v>72</v>
      </c>
      <c r="QT13" s="135" t="s">
        <v>183</v>
      </c>
      <c r="QU13" s="134" t="s">
        <v>73</v>
      </c>
      <c r="QV13" s="135" t="s">
        <v>183</v>
      </c>
      <c r="QW13" s="138" t="s">
        <v>73</v>
      </c>
      <c r="QX13" s="135" t="s">
        <v>183</v>
      </c>
      <c r="QY13" s="134" t="s">
        <v>73</v>
      </c>
      <c r="QZ13" s="135" t="s">
        <v>183</v>
      </c>
      <c r="RA13" s="1755" t="s">
        <v>73</v>
      </c>
      <c r="RB13" s="1754" t="s">
        <v>4</v>
      </c>
      <c r="RC13"/>
      <c r="RD13" s="496"/>
      <c r="RE13" s="132" t="s">
        <v>67</v>
      </c>
      <c r="RF13" s="135" t="s">
        <v>68</v>
      </c>
      <c r="RG13" s="138" t="s">
        <v>69</v>
      </c>
      <c r="RH13" s="139" t="s">
        <v>182</v>
      </c>
      <c r="RI13" s="136" t="s">
        <v>69</v>
      </c>
      <c r="RJ13" s="137" t="s">
        <v>183</v>
      </c>
      <c r="RK13" s="134" t="s">
        <v>72</v>
      </c>
      <c r="RL13" s="135" t="s">
        <v>183</v>
      </c>
      <c r="RM13" s="134" t="s">
        <v>73</v>
      </c>
      <c r="RN13" s="135" t="s">
        <v>183</v>
      </c>
      <c r="RO13" s="138" t="s">
        <v>73</v>
      </c>
      <c r="RP13" s="135" t="s">
        <v>183</v>
      </c>
      <c r="RQ13" s="134" t="s">
        <v>73</v>
      </c>
      <c r="RR13" s="135" t="s">
        <v>183</v>
      </c>
      <c r="RS13" s="138" t="s">
        <v>73</v>
      </c>
      <c r="RT13" s="1753" t="s">
        <v>4</v>
      </c>
      <c r="RU13" s="1752"/>
      <c r="RV13" s="1555"/>
      <c r="RW13" s="132" t="s">
        <v>67</v>
      </c>
      <c r="RX13" s="135" t="s">
        <v>68</v>
      </c>
      <c r="RY13" s="138" t="s">
        <v>69</v>
      </c>
      <c r="RZ13" s="139" t="s">
        <v>182</v>
      </c>
      <c r="SA13" s="136" t="s">
        <v>69</v>
      </c>
      <c r="SB13" s="137" t="s">
        <v>183</v>
      </c>
      <c r="SC13" s="134" t="s">
        <v>72</v>
      </c>
      <c r="SD13" s="135" t="s">
        <v>183</v>
      </c>
      <c r="SE13" s="134" t="s">
        <v>73</v>
      </c>
      <c r="SF13" s="135" t="s">
        <v>183</v>
      </c>
      <c r="SG13" s="138" t="s">
        <v>73</v>
      </c>
      <c r="SH13" s="135" t="s">
        <v>183</v>
      </c>
      <c r="SI13" s="134" t="s">
        <v>73</v>
      </c>
      <c r="SJ13" s="135" t="s">
        <v>183</v>
      </c>
      <c r="SK13" s="138" t="s">
        <v>73</v>
      </c>
      <c r="SL13" s="1753" t="s">
        <v>4</v>
      </c>
      <c r="SM13" s="1752"/>
      <c r="SN13" s="1555"/>
      <c r="SO13" s="132" t="s">
        <v>67</v>
      </c>
      <c r="SP13" s="135" t="s">
        <v>68</v>
      </c>
      <c r="SQ13" s="138" t="s">
        <v>69</v>
      </c>
      <c r="SR13" s="139" t="s">
        <v>182</v>
      </c>
      <c r="SS13" s="136" t="s">
        <v>69</v>
      </c>
      <c r="ST13" s="137" t="s">
        <v>183</v>
      </c>
      <c r="SU13" s="134" t="s">
        <v>72</v>
      </c>
      <c r="SV13" s="135" t="s">
        <v>183</v>
      </c>
      <c r="SW13" s="134" t="s">
        <v>73</v>
      </c>
      <c r="SX13" s="135" t="s">
        <v>183</v>
      </c>
      <c r="SY13" s="138" t="s">
        <v>73</v>
      </c>
      <c r="SZ13" s="135" t="s">
        <v>183</v>
      </c>
      <c r="TA13" s="134" t="s">
        <v>73</v>
      </c>
      <c r="TB13" s="135" t="s">
        <v>183</v>
      </c>
      <c r="TC13" s="138" t="s">
        <v>73</v>
      </c>
      <c r="TD13" s="424"/>
      <c r="TE13" s="1753" t="s">
        <v>4</v>
      </c>
      <c r="TF13" s="1752"/>
      <c r="TG13" s="1555"/>
      <c r="TH13" s="132" t="s">
        <v>67</v>
      </c>
      <c r="TI13" s="135" t="s">
        <v>68</v>
      </c>
      <c r="TJ13" s="138" t="s">
        <v>69</v>
      </c>
      <c r="TK13" s="139" t="s">
        <v>182</v>
      </c>
      <c r="TL13" s="136" t="s">
        <v>69</v>
      </c>
      <c r="TM13" s="137" t="s">
        <v>183</v>
      </c>
      <c r="TN13" s="134" t="s">
        <v>72</v>
      </c>
      <c r="TO13" s="135" t="s">
        <v>183</v>
      </c>
      <c r="TP13" s="134" t="s">
        <v>73</v>
      </c>
      <c r="TQ13" s="135" t="s">
        <v>183</v>
      </c>
      <c r="TR13" s="138" t="s">
        <v>73</v>
      </c>
      <c r="TS13" s="135" t="s">
        <v>183</v>
      </c>
      <c r="TT13" s="134" t="s">
        <v>73</v>
      </c>
      <c r="TU13" s="135" t="s">
        <v>183</v>
      </c>
      <c r="TV13" s="138" t="s">
        <v>73</v>
      </c>
      <c r="TW13" s="424"/>
      <c r="TX13" s="1753" t="s">
        <v>4</v>
      </c>
      <c r="TY13" s="1752"/>
      <c r="TZ13" s="1555"/>
      <c r="UA13" s="132" t="s">
        <v>67</v>
      </c>
      <c r="UB13" s="135" t="s">
        <v>68</v>
      </c>
      <c r="UC13" s="138" t="s">
        <v>69</v>
      </c>
      <c r="UD13" s="139" t="s">
        <v>182</v>
      </c>
      <c r="UE13" s="136" t="s">
        <v>69</v>
      </c>
      <c r="UF13" s="137" t="s">
        <v>183</v>
      </c>
      <c r="UG13" s="134" t="s">
        <v>72</v>
      </c>
      <c r="UH13" s="135" t="s">
        <v>183</v>
      </c>
      <c r="UI13" s="134" t="s">
        <v>73</v>
      </c>
      <c r="UJ13" s="135" t="s">
        <v>183</v>
      </c>
      <c r="UK13" s="138" t="s">
        <v>73</v>
      </c>
      <c r="UL13" s="135" t="s">
        <v>183</v>
      </c>
      <c r="UM13" s="134" t="s">
        <v>73</v>
      </c>
      <c r="UN13" s="135" t="s">
        <v>183</v>
      </c>
      <c r="UO13" s="138" t="s">
        <v>73</v>
      </c>
      <c r="UQ13" s="1753" t="s">
        <v>4</v>
      </c>
      <c r="UR13" s="1752"/>
      <c r="US13" s="1555"/>
      <c r="UT13" s="132" t="s">
        <v>67</v>
      </c>
      <c r="UU13" s="135" t="s">
        <v>68</v>
      </c>
      <c r="UV13" s="138" t="s">
        <v>69</v>
      </c>
      <c r="UW13" s="139" t="s">
        <v>182</v>
      </c>
      <c r="UX13" s="136" t="s">
        <v>69</v>
      </c>
      <c r="UY13" s="137" t="s">
        <v>183</v>
      </c>
      <c r="UZ13" s="134" t="s">
        <v>72</v>
      </c>
      <c r="VA13" s="135" t="s">
        <v>183</v>
      </c>
      <c r="VB13" s="134" t="s">
        <v>73</v>
      </c>
      <c r="VC13" s="135" t="s">
        <v>183</v>
      </c>
      <c r="VD13" s="138" t="s">
        <v>73</v>
      </c>
      <c r="VE13" s="135" t="s">
        <v>183</v>
      </c>
      <c r="VF13" s="134" t="s">
        <v>73</v>
      </c>
      <c r="VG13" s="135" t="s">
        <v>183</v>
      </c>
      <c r="VH13" s="138" t="s">
        <v>73</v>
      </c>
      <c r="VJ13" s="493" t="s">
        <v>4</v>
      </c>
      <c r="VK13" s="489"/>
      <c r="VL13" s="491"/>
      <c r="VM13" s="132" t="s">
        <v>67</v>
      </c>
      <c r="VN13" s="135" t="s">
        <v>68</v>
      </c>
      <c r="VO13" s="138" t="s">
        <v>69</v>
      </c>
      <c r="VP13" s="139" t="s">
        <v>182</v>
      </c>
      <c r="VQ13" s="136" t="s">
        <v>69</v>
      </c>
      <c r="VR13" s="137" t="s">
        <v>183</v>
      </c>
      <c r="VS13" s="134" t="s">
        <v>72</v>
      </c>
      <c r="VT13" s="135" t="s">
        <v>183</v>
      </c>
      <c r="VU13" s="134" t="s">
        <v>73</v>
      </c>
      <c r="VV13" s="135" t="s">
        <v>183</v>
      </c>
      <c r="VW13" s="138" t="s">
        <v>73</v>
      </c>
      <c r="VY13" s="1753" t="s">
        <v>4</v>
      </c>
      <c r="VZ13" s="1752"/>
      <c r="WA13" s="1555"/>
      <c r="WB13" s="132" t="s">
        <v>67</v>
      </c>
      <c r="WC13" s="135" t="s">
        <v>68</v>
      </c>
      <c r="WD13" s="138" t="s">
        <v>69</v>
      </c>
      <c r="WE13" s="139" t="s">
        <v>182</v>
      </c>
      <c r="WF13" s="136" t="s">
        <v>69</v>
      </c>
      <c r="WG13" s="137" t="s">
        <v>183</v>
      </c>
      <c r="WH13" s="134" t="s">
        <v>72</v>
      </c>
      <c r="WI13" s="135" t="s">
        <v>183</v>
      </c>
      <c r="WJ13" s="134" t="s">
        <v>73</v>
      </c>
      <c r="WK13" s="135" t="s">
        <v>183</v>
      </c>
      <c r="WL13" s="138" t="s">
        <v>73</v>
      </c>
      <c r="WN13" s="1753" t="s">
        <v>4</v>
      </c>
      <c r="WO13" s="1752"/>
      <c r="WP13" s="1555"/>
      <c r="WQ13" s="132" t="s">
        <v>67</v>
      </c>
      <c r="WR13" s="135" t="s">
        <v>68</v>
      </c>
      <c r="WS13" s="138" t="s">
        <v>69</v>
      </c>
      <c r="WT13" s="139" t="s">
        <v>182</v>
      </c>
      <c r="WU13" s="136" t="s">
        <v>69</v>
      </c>
      <c r="WV13" s="137" t="s">
        <v>183</v>
      </c>
      <c r="WW13" s="134" t="s">
        <v>72</v>
      </c>
      <c r="WX13" s="135" t="s">
        <v>183</v>
      </c>
      <c r="WY13" s="134" t="s">
        <v>73</v>
      </c>
      <c r="WZ13" s="135" t="s">
        <v>183</v>
      </c>
      <c r="XA13" s="138" t="s">
        <v>73</v>
      </c>
    </row>
    <row r="14" spans="1:625" ht="15.75" thickBot="1" x14ac:dyDescent="0.3">
      <c r="A14" s="499" t="s">
        <v>7</v>
      </c>
      <c r="B14" s="16" t="s">
        <v>8</v>
      </c>
      <c r="C14" s="500" t="s">
        <v>184</v>
      </c>
      <c r="D14" s="146" t="s">
        <v>74</v>
      </c>
      <c r="E14" s="147" t="s">
        <v>75</v>
      </c>
      <c r="F14" s="151" t="s">
        <v>76</v>
      </c>
      <c r="G14" s="152" t="s">
        <v>75</v>
      </c>
      <c r="H14" s="149" t="s">
        <v>76</v>
      </c>
      <c r="I14" s="150" t="s">
        <v>75</v>
      </c>
      <c r="J14" s="148" t="s">
        <v>9</v>
      </c>
      <c r="K14" s="147" t="s">
        <v>75</v>
      </c>
      <c r="L14" s="148" t="s">
        <v>9</v>
      </c>
      <c r="M14" s="147" t="s">
        <v>75</v>
      </c>
      <c r="N14" s="151" t="s">
        <v>10</v>
      </c>
      <c r="O14" s="147" t="s">
        <v>75</v>
      </c>
      <c r="P14" s="148" t="s">
        <v>9</v>
      </c>
      <c r="Q14" s="147" t="s">
        <v>75</v>
      </c>
      <c r="R14" s="151" t="s">
        <v>10</v>
      </c>
      <c r="S14" s="499" t="s">
        <v>7</v>
      </c>
      <c r="T14" s="501" t="s">
        <v>8</v>
      </c>
      <c r="U14" s="500" t="s">
        <v>184</v>
      </c>
      <c r="V14" s="146" t="s">
        <v>74</v>
      </c>
      <c r="W14" s="147" t="s">
        <v>75</v>
      </c>
      <c r="X14" s="151" t="s">
        <v>76</v>
      </c>
      <c r="Y14" s="152" t="s">
        <v>75</v>
      </c>
      <c r="Z14" s="149" t="s">
        <v>76</v>
      </c>
      <c r="AA14" s="150" t="s">
        <v>75</v>
      </c>
      <c r="AB14" s="148" t="s">
        <v>9</v>
      </c>
      <c r="AC14" s="147" t="s">
        <v>75</v>
      </c>
      <c r="AD14" s="148" t="s">
        <v>9</v>
      </c>
      <c r="AE14" s="147" t="s">
        <v>75</v>
      </c>
      <c r="AF14" s="151" t="s">
        <v>10</v>
      </c>
      <c r="AG14" s="147" t="s">
        <v>75</v>
      </c>
      <c r="AH14" s="148" t="s">
        <v>9</v>
      </c>
      <c r="AI14" s="147" t="s">
        <v>75</v>
      </c>
      <c r="AJ14" s="151" t="s">
        <v>10</v>
      </c>
      <c r="AK14" s="15" t="s">
        <v>7</v>
      </c>
      <c r="AL14" s="16" t="s">
        <v>8</v>
      </c>
      <c r="AM14" s="500" t="s">
        <v>184</v>
      </c>
      <c r="AN14" s="146" t="s">
        <v>74</v>
      </c>
      <c r="AO14" s="147" t="s">
        <v>75</v>
      </c>
      <c r="AP14" s="151" t="s">
        <v>76</v>
      </c>
      <c r="AQ14" s="152" t="s">
        <v>75</v>
      </c>
      <c r="AR14" s="149" t="s">
        <v>76</v>
      </c>
      <c r="AS14" s="150" t="s">
        <v>75</v>
      </c>
      <c r="AT14" s="148" t="s">
        <v>9</v>
      </c>
      <c r="AU14" s="147" t="s">
        <v>75</v>
      </c>
      <c r="AV14" s="148" t="s">
        <v>9</v>
      </c>
      <c r="AW14" s="147" t="s">
        <v>75</v>
      </c>
      <c r="AX14" s="151" t="s">
        <v>10</v>
      </c>
      <c r="AY14" s="147" t="s">
        <v>75</v>
      </c>
      <c r="AZ14" s="148" t="s">
        <v>9</v>
      </c>
      <c r="BA14" s="147" t="s">
        <v>75</v>
      </c>
      <c r="BB14" s="151" t="s">
        <v>10</v>
      </c>
      <c r="BC14" s="499" t="s">
        <v>7</v>
      </c>
      <c r="BD14" s="16" t="s">
        <v>8</v>
      </c>
      <c r="BE14" s="500" t="s">
        <v>184</v>
      </c>
      <c r="BF14" s="146" t="s">
        <v>74</v>
      </c>
      <c r="BG14" s="147" t="s">
        <v>75</v>
      </c>
      <c r="BH14" s="151" t="s">
        <v>76</v>
      </c>
      <c r="BI14" s="152" t="s">
        <v>75</v>
      </c>
      <c r="BJ14" s="149" t="s">
        <v>76</v>
      </c>
      <c r="BK14" s="150" t="s">
        <v>75</v>
      </c>
      <c r="BL14" s="148" t="s">
        <v>9</v>
      </c>
      <c r="BM14" s="147" t="s">
        <v>75</v>
      </c>
      <c r="BN14" s="148" t="s">
        <v>9</v>
      </c>
      <c r="BO14" s="147" t="s">
        <v>75</v>
      </c>
      <c r="BP14" s="151" t="s">
        <v>10</v>
      </c>
      <c r="BQ14" s="147" t="s">
        <v>75</v>
      </c>
      <c r="BR14" s="148" t="s">
        <v>9</v>
      </c>
      <c r="BS14" s="147" t="s">
        <v>75</v>
      </c>
      <c r="BT14" s="151" t="s">
        <v>10</v>
      </c>
      <c r="BU14" s="15" t="s">
        <v>7</v>
      </c>
      <c r="BV14" s="16" t="s">
        <v>8</v>
      </c>
      <c r="BW14" s="500" t="s">
        <v>184</v>
      </c>
      <c r="BX14" s="146" t="s">
        <v>74</v>
      </c>
      <c r="BY14" s="147" t="s">
        <v>75</v>
      </c>
      <c r="BZ14" s="151" t="s">
        <v>76</v>
      </c>
      <c r="CA14" s="152" t="s">
        <v>75</v>
      </c>
      <c r="CB14" s="149" t="s">
        <v>76</v>
      </c>
      <c r="CC14" s="150" t="s">
        <v>75</v>
      </c>
      <c r="CD14" s="148" t="s">
        <v>9</v>
      </c>
      <c r="CE14" s="147" t="s">
        <v>75</v>
      </c>
      <c r="CF14" s="148" t="s">
        <v>9</v>
      </c>
      <c r="CG14" s="147" t="s">
        <v>75</v>
      </c>
      <c r="CH14" s="151" t="s">
        <v>10</v>
      </c>
      <c r="CI14" s="147" t="s">
        <v>75</v>
      </c>
      <c r="CJ14" s="148" t="s">
        <v>9</v>
      </c>
      <c r="CK14" s="147" t="s">
        <v>75</v>
      </c>
      <c r="CL14" s="151" t="s">
        <v>10</v>
      </c>
      <c r="CM14" s="16" t="s">
        <v>7</v>
      </c>
      <c r="CN14" s="16" t="s">
        <v>8</v>
      </c>
      <c r="CO14" s="500" t="s">
        <v>184</v>
      </c>
      <c r="CP14" s="146" t="s">
        <v>74</v>
      </c>
      <c r="CQ14" s="147" t="s">
        <v>75</v>
      </c>
      <c r="CR14" s="151" t="s">
        <v>76</v>
      </c>
      <c r="CS14" s="152" t="s">
        <v>75</v>
      </c>
      <c r="CT14" s="149" t="s">
        <v>76</v>
      </c>
      <c r="CU14" s="150" t="s">
        <v>75</v>
      </c>
      <c r="CV14" s="148" t="s">
        <v>9</v>
      </c>
      <c r="CW14" s="147" t="s">
        <v>75</v>
      </c>
      <c r="CX14" s="148" t="s">
        <v>9</v>
      </c>
      <c r="CY14" s="147" t="s">
        <v>75</v>
      </c>
      <c r="CZ14" s="151" t="s">
        <v>10</v>
      </c>
      <c r="DA14" s="147" t="s">
        <v>75</v>
      </c>
      <c r="DB14" s="148" t="s">
        <v>9</v>
      </c>
      <c r="DC14" s="147" t="s">
        <v>75</v>
      </c>
      <c r="DD14" s="151" t="s">
        <v>10</v>
      </c>
      <c r="DE14" s="15" t="s">
        <v>7</v>
      </c>
      <c r="DF14" s="502" t="s">
        <v>8</v>
      </c>
      <c r="DG14" s="503" t="s">
        <v>184</v>
      </c>
      <c r="DH14" s="146" t="s">
        <v>74</v>
      </c>
      <c r="DI14" s="147" t="s">
        <v>75</v>
      </c>
      <c r="DJ14" s="151" t="s">
        <v>76</v>
      </c>
      <c r="DK14" s="152" t="s">
        <v>75</v>
      </c>
      <c r="DL14" s="149" t="s">
        <v>76</v>
      </c>
      <c r="DM14" s="150" t="s">
        <v>75</v>
      </c>
      <c r="DN14" s="148" t="s">
        <v>9</v>
      </c>
      <c r="DO14" s="147" t="s">
        <v>75</v>
      </c>
      <c r="DP14" s="148" t="s">
        <v>9</v>
      </c>
      <c r="DQ14" s="147" t="s">
        <v>75</v>
      </c>
      <c r="DR14" s="151" t="s">
        <v>10</v>
      </c>
      <c r="DS14" s="147" t="s">
        <v>75</v>
      </c>
      <c r="DT14" s="148" t="s">
        <v>9</v>
      </c>
      <c r="DU14" s="147" t="s">
        <v>75</v>
      </c>
      <c r="DV14" s="151" t="s">
        <v>10</v>
      </c>
      <c r="DW14" s="16" t="s">
        <v>7</v>
      </c>
      <c r="DX14" s="504" t="s">
        <v>8</v>
      </c>
      <c r="DY14" s="503" t="s">
        <v>184</v>
      </c>
      <c r="DZ14" s="146" t="s">
        <v>74</v>
      </c>
      <c r="EA14" s="147" t="s">
        <v>75</v>
      </c>
      <c r="EB14" s="151" t="s">
        <v>76</v>
      </c>
      <c r="EC14" s="152" t="s">
        <v>75</v>
      </c>
      <c r="ED14" s="149" t="s">
        <v>76</v>
      </c>
      <c r="EE14" s="150" t="s">
        <v>75</v>
      </c>
      <c r="EF14" s="148" t="s">
        <v>9</v>
      </c>
      <c r="EG14" s="147" t="s">
        <v>75</v>
      </c>
      <c r="EH14" s="148" t="s">
        <v>9</v>
      </c>
      <c r="EI14" s="147" t="s">
        <v>75</v>
      </c>
      <c r="EJ14" s="151" t="s">
        <v>10</v>
      </c>
      <c r="EK14" s="147" t="s">
        <v>75</v>
      </c>
      <c r="EL14" s="148" t="s">
        <v>9</v>
      </c>
      <c r="EM14" s="147" t="s">
        <v>75</v>
      </c>
      <c r="EN14" s="151" t="s">
        <v>10</v>
      </c>
      <c r="EO14" s="15" t="s">
        <v>7</v>
      </c>
      <c r="EP14" s="16" t="s">
        <v>8</v>
      </c>
      <c r="EQ14" s="16"/>
      <c r="ER14" s="146" t="s">
        <v>74</v>
      </c>
      <c r="ES14" s="147" t="s">
        <v>75</v>
      </c>
      <c r="ET14" s="151" t="s">
        <v>76</v>
      </c>
      <c r="EU14" s="152" t="s">
        <v>75</v>
      </c>
      <c r="EV14" s="149" t="s">
        <v>76</v>
      </c>
      <c r="EW14" s="150" t="s">
        <v>75</v>
      </c>
      <c r="EX14" s="148" t="s">
        <v>9</v>
      </c>
      <c r="EY14" s="147" t="s">
        <v>75</v>
      </c>
      <c r="EZ14" s="148" t="s">
        <v>9</v>
      </c>
      <c r="FA14" s="147" t="s">
        <v>75</v>
      </c>
      <c r="FB14" s="151" t="s">
        <v>10</v>
      </c>
      <c r="FC14" s="147" t="s">
        <v>75</v>
      </c>
      <c r="FD14" s="148" t="s">
        <v>9</v>
      </c>
      <c r="FE14" s="147" t="s">
        <v>75</v>
      </c>
      <c r="FF14" s="151" t="s">
        <v>10</v>
      </c>
      <c r="FG14" s="15" t="s">
        <v>7</v>
      </c>
      <c r="FH14" s="505" t="s">
        <v>8</v>
      </c>
      <c r="FI14" s="500" t="s">
        <v>184</v>
      </c>
      <c r="FJ14" s="146" t="s">
        <v>74</v>
      </c>
      <c r="FK14" s="147" t="s">
        <v>75</v>
      </c>
      <c r="FL14" s="151" t="s">
        <v>76</v>
      </c>
      <c r="FM14" s="152" t="s">
        <v>75</v>
      </c>
      <c r="FN14" s="149" t="s">
        <v>76</v>
      </c>
      <c r="FO14" s="150" t="s">
        <v>75</v>
      </c>
      <c r="FP14" s="148" t="s">
        <v>9</v>
      </c>
      <c r="FQ14" s="147" t="s">
        <v>75</v>
      </c>
      <c r="FR14" s="148" t="s">
        <v>9</v>
      </c>
      <c r="FS14" s="147" t="s">
        <v>75</v>
      </c>
      <c r="FT14" s="151" t="s">
        <v>10</v>
      </c>
      <c r="FU14" s="147" t="s">
        <v>75</v>
      </c>
      <c r="FV14" s="148" t="s">
        <v>9</v>
      </c>
      <c r="FW14" s="147" t="s">
        <v>75</v>
      </c>
      <c r="FX14" s="151" t="s">
        <v>10</v>
      </c>
      <c r="FY14" s="16" t="s">
        <v>7</v>
      </c>
      <c r="FZ14" s="16" t="s">
        <v>8</v>
      </c>
      <c r="GA14" s="503" t="s">
        <v>184</v>
      </c>
      <c r="GB14" s="146" t="s">
        <v>74</v>
      </c>
      <c r="GC14" s="147" t="s">
        <v>75</v>
      </c>
      <c r="GD14" s="151" t="s">
        <v>76</v>
      </c>
      <c r="GE14" s="152" t="s">
        <v>75</v>
      </c>
      <c r="GF14" s="149" t="s">
        <v>76</v>
      </c>
      <c r="GG14" s="150" t="s">
        <v>75</v>
      </c>
      <c r="GH14" s="148" t="s">
        <v>9</v>
      </c>
      <c r="GI14" s="147" t="s">
        <v>75</v>
      </c>
      <c r="GJ14" s="148" t="s">
        <v>9</v>
      </c>
      <c r="GK14" s="147" t="s">
        <v>75</v>
      </c>
      <c r="GL14" s="151" t="s">
        <v>10</v>
      </c>
      <c r="GM14" s="147" t="s">
        <v>75</v>
      </c>
      <c r="GN14" s="148" t="s">
        <v>9</v>
      </c>
      <c r="GO14" s="147" t="s">
        <v>75</v>
      </c>
      <c r="GP14" s="151" t="s">
        <v>10</v>
      </c>
      <c r="GQ14" s="16" t="s">
        <v>7</v>
      </c>
      <c r="GR14" s="506" t="s">
        <v>8</v>
      </c>
      <c r="GS14" s="503" t="s">
        <v>184</v>
      </c>
      <c r="GT14" s="146" t="s">
        <v>74</v>
      </c>
      <c r="GU14" s="147" t="s">
        <v>75</v>
      </c>
      <c r="GV14" s="151" t="s">
        <v>76</v>
      </c>
      <c r="GW14" s="152" t="s">
        <v>75</v>
      </c>
      <c r="GX14" s="149" t="s">
        <v>76</v>
      </c>
      <c r="GY14" s="150" t="s">
        <v>75</v>
      </c>
      <c r="GZ14" s="148" t="s">
        <v>9</v>
      </c>
      <c r="HA14" s="147" t="s">
        <v>75</v>
      </c>
      <c r="HB14" s="148" t="s">
        <v>9</v>
      </c>
      <c r="HC14" s="147" t="s">
        <v>75</v>
      </c>
      <c r="HD14" s="151" t="s">
        <v>10</v>
      </c>
      <c r="HE14" s="147" t="s">
        <v>75</v>
      </c>
      <c r="HF14" s="148" t="s">
        <v>9</v>
      </c>
      <c r="HG14" s="147" t="s">
        <v>75</v>
      </c>
      <c r="HH14" s="151" t="s">
        <v>10</v>
      </c>
      <c r="HI14" s="499" t="s">
        <v>7</v>
      </c>
      <c r="HJ14" s="502" t="s">
        <v>8</v>
      </c>
      <c r="HK14" s="503" t="s">
        <v>184</v>
      </c>
      <c r="HL14" s="146" t="s">
        <v>74</v>
      </c>
      <c r="HM14" s="147" t="s">
        <v>75</v>
      </c>
      <c r="HN14" s="151" t="s">
        <v>76</v>
      </c>
      <c r="HO14" s="152" t="s">
        <v>75</v>
      </c>
      <c r="HP14" s="149" t="s">
        <v>76</v>
      </c>
      <c r="HQ14" s="150" t="s">
        <v>75</v>
      </c>
      <c r="HR14" s="148" t="s">
        <v>9</v>
      </c>
      <c r="HS14" s="147" t="s">
        <v>75</v>
      </c>
      <c r="HT14" s="148" t="s">
        <v>9</v>
      </c>
      <c r="HU14" s="147" t="s">
        <v>75</v>
      </c>
      <c r="HV14" s="151" t="s">
        <v>10</v>
      </c>
      <c r="HW14" s="147" t="s">
        <v>75</v>
      </c>
      <c r="HX14" s="148" t="s">
        <v>9</v>
      </c>
      <c r="HY14" s="147" t="s">
        <v>75</v>
      </c>
      <c r="HZ14" s="151" t="s">
        <v>10</v>
      </c>
      <c r="IA14" s="16" t="s">
        <v>7</v>
      </c>
      <c r="IB14" s="16" t="s">
        <v>8</v>
      </c>
      <c r="IC14" s="503" t="s">
        <v>184</v>
      </c>
      <c r="ID14" s="146" t="s">
        <v>74</v>
      </c>
      <c r="IE14" s="147" t="s">
        <v>75</v>
      </c>
      <c r="IF14" s="151" t="s">
        <v>76</v>
      </c>
      <c r="IG14" s="152" t="s">
        <v>75</v>
      </c>
      <c r="IH14" s="149" t="s">
        <v>76</v>
      </c>
      <c r="II14" s="150" t="s">
        <v>75</v>
      </c>
      <c r="IJ14" s="148" t="s">
        <v>9</v>
      </c>
      <c r="IK14" s="147" t="s">
        <v>75</v>
      </c>
      <c r="IL14" s="148" t="s">
        <v>9</v>
      </c>
      <c r="IM14" s="147" t="s">
        <v>75</v>
      </c>
      <c r="IN14" s="151" t="s">
        <v>10</v>
      </c>
      <c r="IO14" s="147" t="s">
        <v>75</v>
      </c>
      <c r="IP14" s="148" t="s">
        <v>9</v>
      </c>
      <c r="IQ14" s="147" t="s">
        <v>75</v>
      </c>
      <c r="IR14" s="151" t="s">
        <v>10</v>
      </c>
      <c r="IS14" s="15" t="s">
        <v>7</v>
      </c>
      <c r="IT14" s="16" t="s">
        <v>8</v>
      </c>
      <c r="IU14" s="503" t="s">
        <v>184</v>
      </c>
      <c r="IV14" s="146" t="s">
        <v>74</v>
      </c>
      <c r="IW14" s="147" t="s">
        <v>75</v>
      </c>
      <c r="IX14" s="151" t="s">
        <v>76</v>
      </c>
      <c r="IY14" s="152" t="s">
        <v>75</v>
      </c>
      <c r="IZ14" s="149" t="s">
        <v>76</v>
      </c>
      <c r="JA14" s="150" t="s">
        <v>75</v>
      </c>
      <c r="JB14" s="148" t="s">
        <v>9</v>
      </c>
      <c r="JC14" s="147" t="s">
        <v>75</v>
      </c>
      <c r="JD14" s="148" t="s">
        <v>9</v>
      </c>
      <c r="JE14" s="147" t="s">
        <v>75</v>
      </c>
      <c r="JF14" s="151" t="s">
        <v>10</v>
      </c>
      <c r="JG14" s="147" t="s">
        <v>75</v>
      </c>
      <c r="JH14" s="148" t="s">
        <v>9</v>
      </c>
      <c r="JI14" s="147" t="s">
        <v>75</v>
      </c>
      <c r="JJ14" s="151" t="s">
        <v>10</v>
      </c>
      <c r="JK14" s="15" t="s">
        <v>7</v>
      </c>
      <c r="JL14" s="507" t="s">
        <v>8</v>
      </c>
      <c r="JM14" s="503" t="s">
        <v>184</v>
      </c>
      <c r="JN14" s="146" t="s">
        <v>74</v>
      </c>
      <c r="JO14" s="147" t="s">
        <v>75</v>
      </c>
      <c r="JP14" s="151" t="s">
        <v>76</v>
      </c>
      <c r="JQ14" s="152" t="s">
        <v>75</v>
      </c>
      <c r="JR14" s="149" t="s">
        <v>76</v>
      </c>
      <c r="JS14" s="150" t="s">
        <v>75</v>
      </c>
      <c r="JT14" s="148" t="s">
        <v>9</v>
      </c>
      <c r="JU14" s="147" t="s">
        <v>75</v>
      </c>
      <c r="JV14" s="148" t="s">
        <v>9</v>
      </c>
      <c r="JW14" s="147" t="s">
        <v>75</v>
      </c>
      <c r="JX14" s="151" t="s">
        <v>10</v>
      </c>
      <c r="JY14" s="147" t="s">
        <v>75</v>
      </c>
      <c r="JZ14" s="148" t="s">
        <v>9</v>
      </c>
      <c r="KA14" s="147" t="s">
        <v>75</v>
      </c>
      <c r="KB14" s="151" t="s">
        <v>10</v>
      </c>
      <c r="KC14" s="15" t="s">
        <v>7</v>
      </c>
      <c r="KD14" s="16" t="s">
        <v>8</v>
      </c>
      <c r="KE14" s="503" t="s">
        <v>184</v>
      </c>
      <c r="KF14" s="146" t="s">
        <v>74</v>
      </c>
      <c r="KG14" s="147" t="s">
        <v>75</v>
      </c>
      <c r="KH14" s="151" t="s">
        <v>76</v>
      </c>
      <c r="KI14" s="152" t="s">
        <v>75</v>
      </c>
      <c r="KJ14" s="149" t="s">
        <v>76</v>
      </c>
      <c r="KK14" s="150" t="s">
        <v>75</v>
      </c>
      <c r="KL14" s="148" t="s">
        <v>9</v>
      </c>
      <c r="KM14" s="147" t="s">
        <v>75</v>
      </c>
      <c r="KN14" s="148" t="s">
        <v>9</v>
      </c>
      <c r="KO14" s="147" t="s">
        <v>75</v>
      </c>
      <c r="KP14" s="151" t="s">
        <v>10</v>
      </c>
      <c r="KQ14" s="147" t="s">
        <v>75</v>
      </c>
      <c r="KR14" s="148" t="s">
        <v>9</v>
      </c>
      <c r="KS14" s="147" t="s">
        <v>75</v>
      </c>
      <c r="KT14" s="151" t="s">
        <v>10</v>
      </c>
      <c r="KU14" s="16" t="s">
        <v>7</v>
      </c>
      <c r="KV14" s="506" t="s">
        <v>8</v>
      </c>
      <c r="KW14" s="503" t="s">
        <v>184</v>
      </c>
      <c r="KX14" s="146" t="s">
        <v>74</v>
      </c>
      <c r="KY14" s="147" t="s">
        <v>75</v>
      </c>
      <c r="KZ14" s="151" t="s">
        <v>76</v>
      </c>
      <c r="LA14" s="152" t="s">
        <v>75</v>
      </c>
      <c r="LB14" s="149" t="s">
        <v>76</v>
      </c>
      <c r="LC14" s="150" t="s">
        <v>75</v>
      </c>
      <c r="LD14" s="148" t="s">
        <v>9</v>
      </c>
      <c r="LE14" s="147" t="s">
        <v>75</v>
      </c>
      <c r="LF14" s="148" t="s">
        <v>9</v>
      </c>
      <c r="LG14" s="147" t="s">
        <v>75</v>
      </c>
      <c r="LH14" s="151" t="s">
        <v>10</v>
      </c>
      <c r="LI14" s="147" t="s">
        <v>75</v>
      </c>
      <c r="LJ14" s="148" t="s">
        <v>9</v>
      </c>
      <c r="LK14" s="147" t="s">
        <v>75</v>
      </c>
      <c r="LL14" s="151" t="s">
        <v>10</v>
      </c>
      <c r="LM14" s="499" t="s">
        <v>7</v>
      </c>
      <c r="LN14" s="16" t="s">
        <v>8</v>
      </c>
      <c r="LO14" s="506"/>
      <c r="LP14" s="146" t="s">
        <v>74</v>
      </c>
      <c r="LQ14" s="147" t="s">
        <v>75</v>
      </c>
      <c r="LR14" s="151" t="s">
        <v>76</v>
      </c>
      <c r="LS14" s="152" t="s">
        <v>75</v>
      </c>
      <c r="LT14" s="149" t="s">
        <v>76</v>
      </c>
      <c r="LU14" s="150" t="s">
        <v>75</v>
      </c>
      <c r="LV14" s="148" t="s">
        <v>9</v>
      </c>
      <c r="LW14" s="147" t="s">
        <v>75</v>
      </c>
      <c r="LX14" s="148" t="s">
        <v>9</v>
      </c>
      <c r="LY14" s="147" t="s">
        <v>75</v>
      </c>
      <c r="LZ14" s="151" t="s">
        <v>10</v>
      </c>
      <c r="MA14" s="147" t="s">
        <v>75</v>
      </c>
      <c r="MB14" s="148" t="s">
        <v>9</v>
      </c>
      <c r="MC14" s="147" t="s">
        <v>75</v>
      </c>
      <c r="MD14" s="151" t="s">
        <v>10</v>
      </c>
      <c r="ME14" s="499" t="s">
        <v>7</v>
      </c>
      <c r="MF14" s="16" t="s">
        <v>8</v>
      </c>
      <c r="MG14" s="17"/>
      <c r="MH14" s="146" t="s">
        <v>74</v>
      </c>
      <c r="MI14" s="147" t="s">
        <v>75</v>
      </c>
      <c r="MJ14" s="151" t="s">
        <v>76</v>
      </c>
      <c r="MK14" s="152" t="s">
        <v>75</v>
      </c>
      <c r="ML14" s="149" t="s">
        <v>76</v>
      </c>
      <c r="MM14" s="150" t="s">
        <v>75</v>
      </c>
      <c r="MN14" s="148" t="s">
        <v>9</v>
      </c>
      <c r="MO14" s="147" t="s">
        <v>75</v>
      </c>
      <c r="MP14" s="148" t="s">
        <v>9</v>
      </c>
      <c r="MQ14" s="147" t="s">
        <v>75</v>
      </c>
      <c r="MR14" s="151" t="s">
        <v>10</v>
      </c>
      <c r="MS14" s="147" t="s">
        <v>75</v>
      </c>
      <c r="MT14" s="148" t="s">
        <v>9</v>
      </c>
      <c r="MU14" s="147" t="s">
        <v>75</v>
      </c>
      <c r="MV14" s="151" t="s">
        <v>10</v>
      </c>
      <c r="MW14" s="15" t="s">
        <v>7</v>
      </c>
      <c r="MX14" s="502" t="s">
        <v>8</v>
      </c>
      <c r="MY14" s="503" t="s">
        <v>184</v>
      </c>
      <c r="MZ14" s="146" t="s">
        <v>74</v>
      </c>
      <c r="NA14" s="147" t="s">
        <v>75</v>
      </c>
      <c r="NB14" s="151" t="s">
        <v>76</v>
      </c>
      <c r="NC14" s="152" t="s">
        <v>75</v>
      </c>
      <c r="ND14" s="149" t="s">
        <v>76</v>
      </c>
      <c r="NE14" s="150" t="s">
        <v>75</v>
      </c>
      <c r="NF14" s="148" t="s">
        <v>9</v>
      </c>
      <c r="NG14" s="147" t="s">
        <v>75</v>
      </c>
      <c r="NH14" s="148" t="s">
        <v>9</v>
      </c>
      <c r="NI14" s="147" t="s">
        <v>75</v>
      </c>
      <c r="NJ14" s="151" t="s">
        <v>10</v>
      </c>
      <c r="NK14" s="147" t="s">
        <v>75</v>
      </c>
      <c r="NL14" s="148" t="s">
        <v>9</v>
      </c>
      <c r="NM14" s="147" t="s">
        <v>75</v>
      </c>
      <c r="NN14" s="151" t="s">
        <v>10</v>
      </c>
      <c r="NO14" s="15" t="s">
        <v>7</v>
      </c>
      <c r="NP14" s="502" t="s">
        <v>8</v>
      </c>
      <c r="NQ14" s="503" t="s">
        <v>184</v>
      </c>
      <c r="NR14" s="146" t="s">
        <v>74</v>
      </c>
      <c r="NS14" s="147" t="s">
        <v>75</v>
      </c>
      <c r="NT14" s="151" t="s">
        <v>76</v>
      </c>
      <c r="NU14" s="152" t="s">
        <v>75</v>
      </c>
      <c r="NV14" s="149" t="s">
        <v>76</v>
      </c>
      <c r="NW14" s="150" t="s">
        <v>75</v>
      </c>
      <c r="NX14" s="148" t="s">
        <v>9</v>
      </c>
      <c r="NY14" s="147" t="s">
        <v>75</v>
      </c>
      <c r="NZ14" s="148" t="s">
        <v>9</v>
      </c>
      <c r="OA14" s="147" t="s">
        <v>75</v>
      </c>
      <c r="OB14" s="151" t="s">
        <v>10</v>
      </c>
      <c r="OC14" s="147" t="s">
        <v>75</v>
      </c>
      <c r="OD14" s="148" t="s">
        <v>9</v>
      </c>
      <c r="OE14" s="147" t="s">
        <v>75</v>
      </c>
      <c r="OF14" s="151" t="s">
        <v>10</v>
      </c>
      <c r="OG14" s="15" t="s">
        <v>7</v>
      </c>
      <c r="OH14" s="502" t="s">
        <v>8</v>
      </c>
      <c r="OI14" s="503" t="s">
        <v>184</v>
      </c>
      <c r="OJ14" s="146" t="s">
        <v>74</v>
      </c>
      <c r="OK14" s="147" t="s">
        <v>75</v>
      </c>
      <c r="OL14" s="151" t="s">
        <v>76</v>
      </c>
      <c r="OM14" s="152" t="s">
        <v>75</v>
      </c>
      <c r="ON14" s="149" t="s">
        <v>76</v>
      </c>
      <c r="OO14" s="150" t="s">
        <v>75</v>
      </c>
      <c r="OP14" s="148" t="s">
        <v>9</v>
      </c>
      <c r="OQ14" s="147" t="s">
        <v>75</v>
      </c>
      <c r="OR14" s="148" t="s">
        <v>9</v>
      </c>
      <c r="OS14" s="147" t="s">
        <v>75</v>
      </c>
      <c r="OT14" s="151" t="s">
        <v>10</v>
      </c>
      <c r="OU14" s="147" t="s">
        <v>75</v>
      </c>
      <c r="OV14" s="148" t="s">
        <v>9</v>
      </c>
      <c r="OW14" s="147" t="s">
        <v>75</v>
      </c>
      <c r="OX14" s="151" t="s">
        <v>10</v>
      </c>
      <c r="OY14" s="15" t="s">
        <v>7</v>
      </c>
      <c r="OZ14" s="502" t="s">
        <v>8</v>
      </c>
      <c r="PA14" s="503" t="s">
        <v>184</v>
      </c>
      <c r="PB14" s="146" t="s">
        <v>74</v>
      </c>
      <c r="PC14" s="147" t="s">
        <v>75</v>
      </c>
      <c r="PD14" s="151" t="s">
        <v>76</v>
      </c>
      <c r="PE14" s="152" t="s">
        <v>75</v>
      </c>
      <c r="PF14" s="149" t="s">
        <v>76</v>
      </c>
      <c r="PG14" s="150" t="s">
        <v>75</v>
      </c>
      <c r="PH14" s="148" t="s">
        <v>9</v>
      </c>
      <c r="PI14" s="147" t="s">
        <v>75</v>
      </c>
      <c r="PJ14" s="148" t="s">
        <v>9</v>
      </c>
      <c r="PK14" s="147" t="s">
        <v>75</v>
      </c>
      <c r="PL14" s="151" t="s">
        <v>10</v>
      </c>
      <c r="PM14" s="147" t="s">
        <v>75</v>
      </c>
      <c r="PN14" s="148" t="s">
        <v>9</v>
      </c>
      <c r="PO14" s="147" t="s">
        <v>75</v>
      </c>
      <c r="PP14" s="151" t="s">
        <v>10</v>
      </c>
      <c r="PQ14" s="15" t="s">
        <v>7</v>
      </c>
      <c r="PR14" s="502" t="s">
        <v>8</v>
      </c>
      <c r="PS14" s="503" t="s">
        <v>184</v>
      </c>
      <c r="PT14" s="146" t="s">
        <v>74</v>
      </c>
      <c r="PU14" s="147" t="s">
        <v>75</v>
      </c>
      <c r="PV14" s="151" t="s">
        <v>76</v>
      </c>
      <c r="PW14" s="152" t="s">
        <v>75</v>
      </c>
      <c r="PX14" s="149" t="s">
        <v>76</v>
      </c>
      <c r="PY14" s="150" t="s">
        <v>75</v>
      </c>
      <c r="PZ14" s="148" t="s">
        <v>9</v>
      </c>
      <c r="QA14" s="147" t="s">
        <v>75</v>
      </c>
      <c r="QB14" s="148" t="s">
        <v>9</v>
      </c>
      <c r="QC14" s="147" t="s">
        <v>75</v>
      </c>
      <c r="QD14" s="151" t="s">
        <v>10</v>
      </c>
      <c r="QE14" s="147" t="s">
        <v>75</v>
      </c>
      <c r="QF14" s="148" t="s">
        <v>9</v>
      </c>
      <c r="QG14" s="147" t="s">
        <v>75</v>
      </c>
      <c r="QH14" s="151" t="s">
        <v>10</v>
      </c>
      <c r="QJ14" s="1751" t="s">
        <v>7</v>
      </c>
      <c r="QK14" s="1750" t="s">
        <v>8</v>
      </c>
      <c r="QL14" s="1749" t="s">
        <v>184</v>
      </c>
      <c r="QM14" s="146" t="s">
        <v>74</v>
      </c>
      <c r="QN14" s="147" t="s">
        <v>75</v>
      </c>
      <c r="QO14" s="151" t="s">
        <v>76</v>
      </c>
      <c r="QP14" s="152" t="s">
        <v>75</v>
      </c>
      <c r="QQ14" s="149" t="s">
        <v>76</v>
      </c>
      <c r="QR14" s="150" t="s">
        <v>75</v>
      </c>
      <c r="QS14" s="148" t="s">
        <v>9</v>
      </c>
      <c r="QT14" s="147" t="s">
        <v>75</v>
      </c>
      <c r="QU14" s="148" t="s">
        <v>9</v>
      </c>
      <c r="QV14" s="147" t="s">
        <v>75</v>
      </c>
      <c r="QW14" s="151" t="s">
        <v>10</v>
      </c>
      <c r="QX14" s="147" t="s">
        <v>75</v>
      </c>
      <c r="QY14" s="148" t="s">
        <v>9</v>
      </c>
      <c r="QZ14" s="147" t="s">
        <v>75</v>
      </c>
      <c r="RA14" s="151" t="s">
        <v>10</v>
      </c>
      <c r="RB14" s="499" t="s">
        <v>7</v>
      </c>
      <c r="RC14" s="16" t="s">
        <v>8</v>
      </c>
      <c r="RD14" s="17"/>
      <c r="RE14" s="146" t="s">
        <v>74</v>
      </c>
      <c r="RF14" s="147" t="s">
        <v>75</v>
      </c>
      <c r="RG14" s="151" t="s">
        <v>76</v>
      </c>
      <c r="RH14" s="152" t="s">
        <v>75</v>
      </c>
      <c r="RI14" s="149" t="s">
        <v>76</v>
      </c>
      <c r="RJ14" s="150" t="s">
        <v>75</v>
      </c>
      <c r="RK14" s="148" t="s">
        <v>9</v>
      </c>
      <c r="RL14" s="147" t="s">
        <v>75</v>
      </c>
      <c r="RM14" s="148" t="s">
        <v>9</v>
      </c>
      <c r="RN14" s="147" t="s">
        <v>75</v>
      </c>
      <c r="RO14" s="151" t="s">
        <v>10</v>
      </c>
      <c r="RP14" s="147" t="s">
        <v>75</v>
      </c>
      <c r="RQ14" s="148" t="s">
        <v>9</v>
      </c>
      <c r="RR14" s="147" t="s">
        <v>75</v>
      </c>
      <c r="RS14" s="151" t="s">
        <v>10</v>
      </c>
      <c r="RT14" s="1751" t="s">
        <v>7</v>
      </c>
      <c r="RU14" s="1750" t="s">
        <v>8</v>
      </c>
      <c r="RV14" s="1749" t="s">
        <v>184</v>
      </c>
      <c r="RW14" s="146" t="s">
        <v>74</v>
      </c>
      <c r="RX14" s="147" t="s">
        <v>75</v>
      </c>
      <c r="RY14" s="151" t="s">
        <v>76</v>
      </c>
      <c r="RZ14" s="152" t="s">
        <v>75</v>
      </c>
      <c r="SA14" s="149" t="s">
        <v>76</v>
      </c>
      <c r="SB14" s="150" t="s">
        <v>75</v>
      </c>
      <c r="SC14" s="148" t="s">
        <v>9</v>
      </c>
      <c r="SD14" s="147" t="s">
        <v>75</v>
      </c>
      <c r="SE14" s="148" t="s">
        <v>9</v>
      </c>
      <c r="SF14" s="147" t="s">
        <v>75</v>
      </c>
      <c r="SG14" s="151" t="s">
        <v>10</v>
      </c>
      <c r="SH14" s="147" t="s">
        <v>75</v>
      </c>
      <c r="SI14" s="148" t="s">
        <v>9</v>
      </c>
      <c r="SJ14" s="147" t="s">
        <v>75</v>
      </c>
      <c r="SK14" s="151" t="s">
        <v>10</v>
      </c>
      <c r="SL14" s="1751" t="s">
        <v>7</v>
      </c>
      <c r="SM14" s="1750" t="s">
        <v>8</v>
      </c>
      <c r="SN14" s="1749" t="s">
        <v>184</v>
      </c>
      <c r="SO14" s="146" t="s">
        <v>74</v>
      </c>
      <c r="SP14" s="147" t="s">
        <v>75</v>
      </c>
      <c r="SQ14" s="151" t="s">
        <v>76</v>
      </c>
      <c r="SR14" s="152" t="s">
        <v>75</v>
      </c>
      <c r="SS14" s="149" t="s">
        <v>76</v>
      </c>
      <c r="ST14" s="150" t="s">
        <v>75</v>
      </c>
      <c r="SU14" s="148" t="s">
        <v>9</v>
      </c>
      <c r="SV14" s="147" t="s">
        <v>75</v>
      </c>
      <c r="SW14" s="148" t="s">
        <v>9</v>
      </c>
      <c r="SX14" s="147" t="s">
        <v>75</v>
      </c>
      <c r="SY14" s="151" t="s">
        <v>10</v>
      </c>
      <c r="SZ14" s="147" t="s">
        <v>75</v>
      </c>
      <c r="TA14" s="148" t="s">
        <v>9</v>
      </c>
      <c r="TB14" s="147" t="s">
        <v>75</v>
      </c>
      <c r="TC14" s="151" t="s">
        <v>10</v>
      </c>
      <c r="TD14" s="424"/>
      <c r="TE14" s="1751" t="s">
        <v>7</v>
      </c>
      <c r="TF14" s="1750" t="s">
        <v>8</v>
      </c>
      <c r="TG14" s="1749" t="s">
        <v>184</v>
      </c>
      <c r="TH14" s="146" t="s">
        <v>74</v>
      </c>
      <c r="TI14" s="147" t="s">
        <v>75</v>
      </c>
      <c r="TJ14" s="151" t="s">
        <v>76</v>
      </c>
      <c r="TK14" s="152" t="s">
        <v>75</v>
      </c>
      <c r="TL14" s="149" t="s">
        <v>76</v>
      </c>
      <c r="TM14" s="150" t="s">
        <v>75</v>
      </c>
      <c r="TN14" s="148" t="s">
        <v>9</v>
      </c>
      <c r="TO14" s="147" t="s">
        <v>75</v>
      </c>
      <c r="TP14" s="148" t="s">
        <v>9</v>
      </c>
      <c r="TQ14" s="147" t="s">
        <v>75</v>
      </c>
      <c r="TR14" s="151" t="s">
        <v>10</v>
      </c>
      <c r="TS14" s="147" t="s">
        <v>75</v>
      </c>
      <c r="TT14" s="148" t="s">
        <v>9</v>
      </c>
      <c r="TU14" s="147" t="s">
        <v>75</v>
      </c>
      <c r="TV14" s="151" t="s">
        <v>10</v>
      </c>
      <c r="TW14" s="424"/>
      <c r="TX14" s="1751" t="s">
        <v>7</v>
      </c>
      <c r="TY14" s="1750" t="s">
        <v>8</v>
      </c>
      <c r="TZ14" s="1749" t="s">
        <v>184</v>
      </c>
      <c r="UA14" s="146" t="s">
        <v>74</v>
      </c>
      <c r="UB14" s="147" t="s">
        <v>75</v>
      </c>
      <c r="UC14" s="151" t="s">
        <v>76</v>
      </c>
      <c r="UD14" s="152" t="s">
        <v>75</v>
      </c>
      <c r="UE14" s="149" t="s">
        <v>76</v>
      </c>
      <c r="UF14" s="150" t="s">
        <v>75</v>
      </c>
      <c r="UG14" s="148" t="s">
        <v>9</v>
      </c>
      <c r="UH14" s="147" t="s">
        <v>75</v>
      </c>
      <c r="UI14" s="148" t="s">
        <v>9</v>
      </c>
      <c r="UJ14" s="147" t="s">
        <v>75</v>
      </c>
      <c r="UK14" s="151" t="s">
        <v>10</v>
      </c>
      <c r="UL14" s="147" t="s">
        <v>75</v>
      </c>
      <c r="UM14" s="148" t="s">
        <v>9</v>
      </c>
      <c r="UN14" s="147" t="s">
        <v>75</v>
      </c>
      <c r="UO14" s="151" t="s">
        <v>10</v>
      </c>
      <c r="UQ14" s="1751" t="s">
        <v>7</v>
      </c>
      <c r="UR14" s="1750" t="s">
        <v>8</v>
      </c>
      <c r="US14" s="1749" t="s">
        <v>184</v>
      </c>
      <c r="UT14" s="146" t="s">
        <v>74</v>
      </c>
      <c r="UU14" s="147" t="s">
        <v>75</v>
      </c>
      <c r="UV14" s="151" t="s">
        <v>76</v>
      </c>
      <c r="UW14" s="152" t="s">
        <v>75</v>
      </c>
      <c r="UX14" s="149" t="s">
        <v>76</v>
      </c>
      <c r="UY14" s="150" t="s">
        <v>75</v>
      </c>
      <c r="UZ14" s="148" t="s">
        <v>9</v>
      </c>
      <c r="VA14" s="147" t="s">
        <v>75</v>
      </c>
      <c r="VB14" s="148" t="s">
        <v>9</v>
      </c>
      <c r="VC14" s="147" t="s">
        <v>75</v>
      </c>
      <c r="VD14" s="151" t="s">
        <v>10</v>
      </c>
      <c r="VE14" s="147" t="s">
        <v>75</v>
      </c>
      <c r="VF14" s="148" t="s">
        <v>9</v>
      </c>
      <c r="VG14" s="147" t="s">
        <v>75</v>
      </c>
      <c r="VH14" s="151" t="s">
        <v>10</v>
      </c>
      <c r="VJ14" s="15" t="s">
        <v>7</v>
      </c>
      <c r="VK14" s="502" t="s">
        <v>8</v>
      </c>
      <c r="VL14" s="503" t="s">
        <v>184</v>
      </c>
      <c r="VM14" s="146" t="s">
        <v>74</v>
      </c>
      <c r="VN14" s="147" t="s">
        <v>75</v>
      </c>
      <c r="VO14" s="151" t="s">
        <v>76</v>
      </c>
      <c r="VP14" s="152" t="s">
        <v>75</v>
      </c>
      <c r="VQ14" s="149" t="s">
        <v>76</v>
      </c>
      <c r="VR14" s="150" t="s">
        <v>75</v>
      </c>
      <c r="VS14" s="148" t="s">
        <v>9</v>
      </c>
      <c r="VT14" s="147" t="s">
        <v>75</v>
      </c>
      <c r="VU14" s="148" t="s">
        <v>9</v>
      </c>
      <c r="VV14" s="147" t="s">
        <v>75</v>
      </c>
      <c r="VW14" s="151" t="s">
        <v>10</v>
      </c>
      <c r="VY14" s="1751" t="s">
        <v>7</v>
      </c>
      <c r="VZ14" s="1750" t="s">
        <v>8</v>
      </c>
      <c r="WA14" s="1749" t="s">
        <v>184</v>
      </c>
      <c r="WB14" s="146" t="s">
        <v>74</v>
      </c>
      <c r="WC14" s="147" t="s">
        <v>75</v>
      </c>
      <c r="WD14" s="151" t="s">
        <v>76</v>
      </c>
      <c r="WE14" s="152" t="s">
        <v>75</v>
      </c>
      <c r="WF14" s="149" t="s">
        <v>76</v>
      </c>
      <c r="WG14" s="150" t="s">
        <v>75</v>
      </c>
      <c r="WH14" s="148" t="s">
        <v>9</v>
      </c>
      <c r="WI14" s="147" t="s">
        <v>75</v>
      </c>
      <c r="WJ14" s="148" t="s">
        <v>9</v>
      </c>
      <c r="WK14" s="147" t="s">
        <v>75</v>
      </c>
      <c r="WL14" s="151" t="s">
        <v>10</v>
      </c>
      <c r="WN14" s="1751" t="s">
        <v>7</v>
      </c>
      <c r="WO14" s="1750" t="s">
        <v>8</v>
      </c>
      <c r="WP14" s="1749" t="s">
        <v>184</v>
      </c>
      <c r="WQ14" s="146" t="s">
        <v>74</v>
      </c>
      <c r="WR14" s="147" t="s">
        <v>75</v>
      </c>
      <c r="WS14" s="151" t="s">
        <v>76</v>
      </c>
      <c r="WT14" s="152" t="s">
        <v>75</v>
      </c>
      <c r="WU14" s="149" t="s">
        <v>76</v>
      </c>
      <c r="WV14" s="150" t="s">
        <v>75</v>
      </c>
      <c r="WW14" s="148" t="s">
        <v>9</v>
      </c>
      <c r="WX14" s="147" t="s">
        <v>75</v>
      </c>
      <c r="WY14" s="148" t="s">
        <v>9</v>
      </c>
      <c r="WZ14" s="147" t="s">
        <v>75</v>
      </c>
      <c r="XA14" s="151" t="s">
        <v>10</v>
      </c>
    </row>
    <row r="15" spans="1:625" x14ac:dyDescent="0.25">
      <c r="A15" s="22">
        <f>ROW()</f>
        <v>15</v>
      </c>
      <c r="B15" s="1552" t="s">
        <v>82</v>
      </c>
      <c r="AK15" s="22">
        <f>ROW()</f>
        <v>15</v>
      </c>
      <c r="AN15" s="1746" t="s">
        <v>979</v>
      </c>
      <c r="AO15" s="1748"/>
      <c r="AP15" s="1747"/>
      <c r="AQ15" s="1746" t="s">
        <v>873</v>
      </c>
      <c r="AR15" s="1745"/>
      <c r="BU15" s="511"/>
      <c r="BV15" s="512"/>
      <c r="CM15" s="100"/>
      <c r="CN15" s="100"/>
      <c r="CO15" s="100"/>
      <c r="CP15" s="1"/>
      <c r="CQ15" s="1"/>
      <c r="CR15" s="1"/>
      <c r="CS15" s="1"/>
      <c r="CT15" s="1"/>
      <c r="CW15" s="1"/>
      <c r="CX15" s="1"/>
      <c r="CY15" s="1"/>
      <c r="CZ15" s="1"/>
      <c r="DA15" s="1"/>
      <c r="DB15" s="1"/>
      <c r="DC15" s="1"/>
      <c r="DD15" s="1"/>
      <c r="DE15" s="100"/>
      <c r="DF15" s="100"/>
      <c r="DG15" s="100"/>
      <c r="DH15" s="100"/>
      <c r="DI15" s="100"/>
      <c r="DJ15" s="100"/>
      <c r="DK15" s="100"/>
      <c r="DL15" s="100"/>
      <c r="DW15" s="513"/>
      <c r="DX15" s="513"/>
      <c r="DY15" s="513"/>
      <c r="DZ15" s="1"/>
      <c r="EA15" s="1"/>
      <c r="EB15" s="1"/>
      <c r="EC15" s="1"/>
      <c r="ED15" s="1"/>
      <c r="EO15" s="23"/>
      <c r="EP15" s="23"/>
      <c r="EQ15" s="23"/>
      <c r="ER15" s="23"/>
      <c r="ES15" s="23"/>
      <c r="ET15" s="1"/>
      <c r="EU15" s="1"/>
      <c r="EV15" s="1"/>
      <c r="FG15" s="514"/>
      <c r="FH15" s="515"/>
      <c r="FI15" s="515"/>
      <c r="FJ15" s="1"/>
      <c r="FK15" s="1"/>
      <c r="FL15" s="1"/>
      <c r="FM15" s="1"/>
      <c r="FN15" s="1"/>
      <c r="FY15" s="100"/>
      <c r="FZ15" s="100"/>
      <c r="GA15" s="100"/>
      <c r="GQ15" s="480"/>
      <c r="GR15" s="480"/>
      <c r="GS15" s="480"/>
      <c r="GT15" s="1744"/>
      <c r="GU15" s="1744"/>
      <c r="GV15" s="1744"/>
      <c r="GW15" s="1744"/>
      <c r="GX15" s="1744"/>
      <c r="IA15" s="516"/>
      <c r="IB15" s="516"/>
      <c r="IC15" s="23"/>
      <c r="KC15" s="23"/>
      <c r="KD15" s="23"/>
      <c r="KE15" s="23"/>
      <c r="LM15" s="23"/>
      <c r="LN15" s="517" t="s">
        <v>146</v>
      </c>
      <c r="ME15" s="23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22">
        <f>ROW()</f>
        <v>15</v>
      </c>
      <c r="NP15" s="599" t="s">
        <v>224</v>
      </c>
      <c r="NQ15" s="23"/>
      <c r="NR15" s="550"/>
      <c r="NS15" s="550"/>
      <c r="NT15" s="550"/>
      <c r="NU15" s="550"/>
      <c r="NV15" s="550"/>
      <c r="NW15" s="550"/>
      <c r="NX15" s="550"/>
      <c r="NY15" s="550"/>
      <c r="NZ15" s="550"/>
      <c r="OA15" s="550"/>
      <c r="OB15" s="550"/>
      <c r="OC15" s="550"/>
      <c r="OD15" s="550"/>
      <c r="OE15" s="550"/>
      <c r="OF15" s="550"/>
      <c r="OJ15" s="518" t="s">
        <v>185</v>
      </c>
      <c r="QJ15" s="1662"/>
      <c r="QK15" s="616"/>
      <c r="QL15" s="616"/>
      <c r="QM15" s="616"/>
      <c r="QN15" s="616"/>
      <c r="QO15" s="1743"/>
      <c r="QP15" s="1743"/>
      <c r="QQ15" s="1743"/>
      <c r="QR15" s="1480"/>
      <c r="QS15" s="1480"/>
      <c r="QT15" s="1480"/>
      <c r="QU15" s="1480"/>
      <c r="QV15" s="1480"/>
      <c r="QW15" s="1480"/>
      <c r="QX15" s="1480"/>
      <c r="QY15" s="1480"/>
      <c r="QZ15" s="1480"/>
      <c r="RA15" s="1480"/>
      <c r="RT15" s="521">
        <f>ROW()</f>
        <v>15</v>
      </c>
      <c r="RU15" s="612"/>
      <c r="RV15" s="519"/>
      <c r="RW15" s="519"/>
      <c r="RX15" s="519"/>
      <c r="RY15" s="519"/>
      <c r="RZ15" s="519"/>
      <c r="SA15" s="519"/>
      <c r="SB15" s="520"/>
      <c r="SC15" s="520"/>
      <c r="SD15" s="520"/>
      <c r="SE15" s="520"/>
      <c r="SF15" s="520"/>
      <c r="SG15" s="520"/>
      <c r="SH15" s="520"/>
      <c r="SI15" s="520"/>
      <c r="SJ15" s="520"/>
      <c r="SK15" s="520"/>
      <c r="SL15" s="82">
        <f>ROW()</f>
        <v>15</v>
      </c>
      <c r="SM15" s="461" t="s">
        <v>978</v>
      </c>
      <c r="SN15" s="317"/>
      <c r="SO15" s="317"/>
      <c r="SP15" s="317"/>
      <c r="SQ15" s="317"/>
      <c r="SR15" s="317"/>
      <c r="SS15" s="317"/>
      <c r="ST15" s="317"/>
      <c r="SU15" s="317"/>
      <c r="SV15" s="317"/>
      <c r="SW15" s="317"/>
      <c r="SX15" s="317"/>
      <c r="SY15" s="317"/>
      <c r="SZ15" s="317"/>
      <c r="TA15" s="317"/>
      <c r="TD15" s="424"/>
      <c r="TE15" s="82">
        <f>ROW()</f>
        <v>15</v>
      </c>
      <c r="TF15" s="317"/>
      <c r="TG15" s="317"/>
      <c r="TH15" s="317"/>
      <c r="TI15" s="317"/>
      <c r="TJ15" s="317"/>
      <c r="TK15" s="317"/>
      <c r="TL15" s="317"/>
      <c r="TM15" s="317"/>
      <c r="TN15" s="317"/>
      <c r="TO15" s="317"/>
      <c r="TP15" s="317"/>
      <c r="TQ15" s="317"/>
      <c r="TR15" s="317"/>
      <c r="TS15" s="317"/>
      <c r="TT15" s="317"/>
      <c r="TU15" s="317"/>
      <c r="TV15" s="317"/>
      <c r="TW15" s="424"/>
      <c r="TX15" s="82">
        <f>ROW()</f>
        <v>15</v>
      </c>
      <c r="UQ15" s="521">
        <f>ROW()</f>
        <v>15</v>
      </c>
      <c r="VJ15" s="521">
        <f>ROW()</f>
        <v>15</v>
      </c>
      <c r="VY15" s="521">
        <f>ROW()</f>
        <v>15</v>
      </c>
      <c r="WN15" s="521">
        <f>ROW()</f>
        <v>15</v>
      </c>
    </row>
    <row r="16" spans="1:625" x14ac:dyDescent="0.25">
      <c r="A16" s="22">
        <f>ROW()</f>
        <v>16</v>
      </c>
      <c r="B16" s="73"/>
      <c r="C16" s="23"/>
      <c r="D16" s="880"/>
      <c r="E16" s="582"/>
      <c r="F16" s="880"/>
      <c r="G16" s="582"/>
      <c r="H16" s="880"/>
      <c r="I16" s="1412"/>
      <c r="J16" s="1412"/>
      <c r="K16" s="1412"/>
      <c r="L16" s="1412"/>
      <c r="M16" s="1412"/>
      <c r="N16" s="526"/>
      <c r="O16" s="526"/>
      <c r="P16" s="526"/>
      <c r="Q16" s="526"/>
      <c r="R16" s="526"/>
      <c r="S16" s="22">
        <f>ROW()</f>
        <v>16</v>
      </c>
      <c r="T16" s="530" t="s">
        <v>187</v>
      </c>
      <c r="U16" s="1432"/>
      <c r="V16" s="1432"/>
      <c r="AA16" s="526"/>
      <c r="AB16" s="526"/>
      <c r="AC16" s="526"/>
      <c r="AD16" s="526"/>
      <c r="AE16" s="526"/>
      <c r="AF16" s="526"/>
      <c r="AG16" s="526"/>
      <c r="AH16" s="526"/>
      <c r="AI16" s="526"/>
      <c r="AJ16" s="526"/>
      <c r="AK16" s="22">
        <f>ROW()</f>
        <v>16</v>
      </c>
      <c r="AL16" s="1715" t="s">
        <v>977</v>
      </c>
      <c r="AM16" s="22"/>
      <c r="AN16" s="533">
        <v>245288096.45868722</v>
      </c>
      <c r="AO16" s="533">
        <f>AP16-AN16</f>
        <v>-2920640.8722486794</v>
      </c>
      <c r="AP16" s="533">
        <v>242367455.58643854</v>
      </c>
      <c r="AQ16" s="1742">
        <v>-54372013.907062724</v>
      </c>
      <c r="AR16" s="533">
        <f>AQ16+AP16</f>
        <v>187995441.67937583</v>
      </c>
      <c r="AS16" s="533"/>
      <c r="AT16" s="533"/>
      <c r="AU16" s="533"/>
      <c r="AV16" s="533"/>
      <c r="AW16" s="533"/>
      <c r="AX16" s="533"/>
      <c r="AY16" s="533"/>
      <c r="AZ16" s="533"/>
      <c r="BA16" s="533"/>
      <c r="BB16" s="533"/>
      <c r="BC16" s="22">
        <f>ROW()</f>
        <v>16</v>
      </c>
      <c r="BD16" s="28" t="s">
        <v>189</v>
      </c>
      <c r="BE16" s="535"/>
      <c r="BF16" s="537">
        <v>45229648.609999999</v>
      </c>
      <c r="BG16" s="537">
        <v>1966089.9118269086</v>
      </c>
      <c r="BH16" s="537">
        <f>SUM(BF16:BG16)</f>
        <v>47195738.521826908</v>
      </c>
      <c r="BI16" s="537">
        <v>0</v>
      </c>
      <c r="BJ16" s="537">
        <f>SUM(BH16:BI16)</f>
        <v>47195738.521826908</v>
      </c>
      <c r="BK16" s="537">
        <v>0</v>
      </c>
      <c r="BL16" s="537">
        <f>SUM(BJ16:BK16)</f>
        <v>47195738.521826908</v>
      </c>
      <c r="BM16" s="537">
        <v>0</v>
      </c>
      <c r="BN16" s="537">
        <f>SUM(BL16:BM16)</f>
        <v>47195738.521826908</v>
      </c>
      <c r="BO16" s="537">
        <v>0</v>
      </c>
      <c r="BP16" s="537">
        <f>SUM(BN16:BO16)</f>
        <v>47195738.521826908</v>
      </c>
      <c r="BQ16" s="537"/>
      <c r="BR16" s="537"/>
      <c r="BS16" s="537"/>
      <c r="BT16" s="537"/>
      <c r="BU16" s="22">
        <f>ROW()</f>
        <v>16</v>
      </c>
      <c r="BV16" s="512" t="s">
        <v>145</v>
      </c>
      <c r="BX16" s="538">
        <v>0</v>
      </c>
      <c r="BY16" s="1741">
        <f>'SEF-34 pg 1'!E58</f>
        <v>2910473035.7707138</v>
      </c>
      <c r="BZ16" s="1741">
        <f>SUM(BX16:BY16)</f>
        <v>2910473035.7707138</v>
      </c>
      <c r="CA16" s="1741">
        <f>'SEF-34 pg 1'!F58</f>
        <v>-108023658.60120685</v>
      </c>
      <c r="CB16" s="1741">
        <f>SUM(BZ16:CA16)</f>
        <v>2802449377.169507</v>
      </c>
      <c r="CC16" s="1741">
        <f>'SEF-34 pg 1'!H58</f>
        <v>98340847.552093089</v>
      </c>
      <c r="CD16" s="1741">
        <f>SUM(CB16:CC16)</f>
        <v>2900790224.7216001</v>
      </c>
      <c r="CE16" s="1741">
        <f>'SEF-34 pg 1'!J58</f>
        <v>-34286231.771925993</v>
      </c>
      <c r="CF16" s="1741">
        <f>SUM(CD16:CE16)</f>
        <v>2866503992.9496741</v>
      </c>
      <c r="CG16" s="1741">
        <f>'SEF-34 pg 1'!L58</f>
        <v>-3375696.7478605136</v>
      </c>
      <c r="CH16" s="1741">
        <f>SUM(CF16:CG16)</f>
        <v>2863128296.2018137</v>
      </c>
      <c r="CI16" s="1741"/>
      <c r="CJ16" s="1741"/>
      <c r="CK16" s="1741"/>
      <c r="CL16" s="1741"/>
      <c r="CM16" s="22">
        <f>ROW()</f>
        <v>16</v>
      </c>
      <c r="CN16" s="482"/>
      <c r="CO16" s="482"/>
      <c r="CP16" s="539"/>
      <c r="CQ16" s="21"/>
      <c r="CR16" s="21"/>
      <c r="CS16" s="21"/>
      <c r="CT16" s="21"/>
      <c r="CW16" s="21"/>
      <c r="CX16" s="21"/>
      <c r="CY16" s="21"/>
      <c r="CZ16" s="21"/>
      <c r="DA16" s="21"/>
      <c r="DB16" s="21"/>
      <c r="DC16" s="21"/>
      <c r="DD16" s="21"/>
      <c r="DE16" s="22">
        <f>ROW()</f>
        <v>16</v>
      </c>
      <c r="DF16" s="540" t="s">
        <v>190</v>
      </c>
      <c r="DG16" s="540"/>
      <c r="DH16" s="539"/>
      <c r="DI16" s="21"/>
      <c r="DJ16" s="21"/>
      <c r="DK16" s="21"/>
      <c r="DL16" s="21"/>
      <c r="DW16" s="22">
        <f>ROW()</f>
        <v>16</v>
      </c>
      <c r="DX16" s="541" t="s">
        <v>191</v>
      </c>
      <c r="DY16" s="541"/>
      <c r="DZ16" s="543">
        <v>51494328.660999998</v>
      </c>
      <c r="EA16" s="543">
        <v>858.74887999892235</v>
      </c>
      <c r="EB16" s="543">
        <f>DZ16+EA16</f>
        <v>51495187.409879997</v>
      </c>
      <c r="EC16" s="543"/>
      <c r="ED16" s="543">
        <f>EB16+EC16</f>
        <v>51495187.409879997</v>
      </c>
      <c r="EE16" s="543">
        <v>0</v>
      </c>
      <c r="EF16" s="543">
        <f>ED16+EE16</f>
        <v>51495187.409879997</v>
      </c>
      <c r="EG16" s="543">
        <v>0</v>
      </c>
      <c r="EH16" s="543">
        <f>EF16+EG16</f>
        <v>51495187.409879997</v>
      </c>
      <c r="EI16" s="543">
        <v>0</v>
      </c>
      <c r="EJ16" s="543">
        <f>EH16+EI16</f>
        <v>51495187.409879997</v>
      </c>
      <c r="EK16" s="543"/>
      <c r="EL16" s="543"/>
      <c r="EM16" s="543"/>
      <c r="EN16" s="543"/>
      <c r="EO16" s="22">
        <f>ROW()</f>
        <v>16</v>
      </c>
      <c r="EP16" s="544" t="s">
        <v>192</v>
      </c>
      <c r="EQ16" s="545"/>
      <c r="ER16" s="545"/>
      <c r="ES16" s="545"/>
      <c r="ET16" s="1"/>
      <c r="EU16" s="1"/>
      <c r="EV16" s="1"/>
      <c r="FG16" s="22">
        <f>ROW()</f>
        <v>16</v>
      </c>
      <c r="FH16" s="23" t="s">
        <v>193</v>
      </c>
      <c r="FI16" s="21"/>
      <c r="FJ16" s="21">
        <v>-5000</v>
      </c>
      <c r="FK16" s="21">
        <v>-16666.666666666668</v>
      </c>
      <c r="FL16" s="21">
        <f>FJ16+FK16</f>
        <v>-21666.666666666668</v>
      </c>
      <c r="FM16" s="51"/>
      <c r="FN16" s="21">
        <f>FL16+FM16</f>
        <v>-21666.666666666668</v>
      </c>
      <c r="FO16" s="51"/>
      <c r="FP16" s="21">
        <f>FN16+FO16</f>
        <v>-21666.666666666668</v>
      </c>
      <c r="FQ16" s="51"/>
      <c r="FR16" s="21">
        <f>FP16+FQ16</f>
        <v>-21666.666666666668</v>
      </c>
      <c r="FS16" s="51"/>
      <c r="FT16" s="21">
        <f>FR16+FS16</f>
        <v>-21666.666666666668</v>
      </c>
      <c r="FU16" s="21"/>
      <c r="FV16" s="21"/>
      <c r="FW16" s="51"/>
      <c r="FX16" s="21"/>
      <c r="FY16" s="22">
        <f>ROW()</f>
        <v>16</v>
      </c>
      <c r="FZ16" s="20" t="s">
        <v>194</v>
      </c>
      <c r="GQ16" s="22">
        <f>ROW()</f>
        <v>16</v>
      </c>
      <c r="GR16" s="594" t="s">
        <v>218</v>
      </c>
      <c r="GT16" s="51"/>
      <c r="GU16" s="51"/>
      <c r="GV16" s="553"/>
      <c r="GW16" s="51"/>
      <c r="GX16" s="51"/>
      <c r="HI16" s="22">
        <f>ROW()</f>
        <v>16</v>
      </c>
      <c r="HJ16" s="547" t="s">
        <v>195</v>
      </c>
      <c r="HK16" s="547"/>
      <c r="HL16" s="51">
        <v>0</v>
      </c>
      <c r="HM16" s="51">
        <v>30503.742766919091</v>
      </c>
      <c r="HN16" s="51">
        <f>SUM(HL16:HM16)</f>
        <v>30503.742766919091</v>
      </c>
      <c r="HO16" s="51"/>
      <c r="HP16" s="51">
        <f>SUM(HN16:HO16)</f>
        <v>30503.742766919091</v>
      </c>
      <c r="HQ16" s="51"/>
      <c r="HR16" s="51">
        <f>SUM(HP16:HQ16)</f>
        <v>30503.742766919091</v>
      </c>
      <c r="HS16" s="51"/>
      <c r="HT16" s="51">
        <f>SUM(HR16:HS16)</f>
        <v>30503.742766919091</v>
      </c>
      <c r="HU16" s="51"/>
      <c r="HV16" s="51">
        <f>SUM(HT16:HU16)</f>
        <v>30503.742766919091</v>
      </c>
      <c r="HW16" s="51"/>
      <c r="HX16" s="51"/>
      <c r="HY16" s="51"/>
      <c r="HZ16" s="51"/>
      <c r="IA16" s="22">
        <f>ROW()</f>
        <v>16</v>
      </c>
      <c r="IB16" s="23" t="s">
        <v>196</v>
      </c>
      <c r="IC16" s="549"/>
      <c r="ID16" s="800">
        <v>353500.83126999997</v>
      </c>
      <c r="IE16" s="800">
        <v>170575.62719000003</v>
      </c>
      <c r="IF16" s="550">
        <f>SUM(ID16:IE16)</f>
        <v>524076.45845999999</v>
      </c>
      <c r="IG16" s="800">
        <v>0</v>
      </c>
      <c r="IH16" s="550">
        <f>SUM(IF16:IG16)</f>
        <v>524076.45845999999</v>
      </c>
      <c r="II16" s="550"/>
      <c r="IJ16" s="550">
        <f>SUM(IH16:II16)</f>
        <v>524076.45845999999</v>
      </c>
      <c r="IK16" s="550"/>
      <c r="IL16" s="550">
        <f>SUM(IJ16:IK16)</f>
        <v>524076.45845999999</v>
      </c>
      <c r="IM16" s="550"/>
      <c r="IN16" s="550">
        <f>SUM(IL16:IM16)</f>
        <v>524076.45845999999</v>
      </c>
      <c r="IO16" s="550"/>
      <c r="IP16" s="550"/>
      <c r="IQ16" s="550"/>
      <c r="IR16" s="550"/>
      <c r="IS16" s="22">
        <f>ROW()</f>
        <v>16</v>
      </c>
      <c r="IT16" s="1" t="s">
        <v>976</v>
      </c>
      <c r="IV16" s="51"/>
      <c r="IW16" s="51"/>
      <c r="IX16" s="51"/>
      <c r="IY16" s="51"/>
      <c r="IZ16" s="51"/>
      <c r="JK16" s="22">
        <f>ROW()</f>
        <v>16</v>
      </c>
      <c r="JL16" s="480" t="s">
        <v>198</v>
      </c>
      <c r="JM16" s="28"/>
      <c r="JN16" s="552">
        <v>100836.95771756492</v>
      </c>
      <c r="JO16" s="552">
        <v>-16580.372792206952</v>
      </c>
      <c r="JP16" s="552">
        <f>SUM(JN16:JO16)</f>
        <v>84256.584925357965</v>
      </c>
      <c r="JQ16" s="552"/>
      <c r="JR16" s="552">
        <f>SUM(JP16:JQ16)</f>
        <v>84256.584925357965</v>
      </c>
      <c r="JS16" s="552"/>
      <c r="JT16" s="552">
        <f>SUM(JR16:JS16)</f>
        <v>84256.584925357965</v>
      </c>
      <c r="JU16" s="552"/>
      <c r="JV16" s="552">
        <f>SUM(JT16:JU16)</f>
        <v>84256.584925357965</v>
      </c>
      <c r="JW16" s="552"/>
      <c r="JX16" s="552">
        <f>SUM(JV16:JW16)</f>
        <v>84256.584925357965</v>
      </c>
      <c r="JY16" s="552"/>
      <c r="JZ16" s="552"/>
      <c r="KA16" s="552"/>
      <c r="KB16" s="552"/>
      <c r="KC16" s="22">
        <f>ROW()</f>
        <v>16</v>
      </c>
      <c r="KD16" s="23" t="s">
        <v>199</v>
      </c>
      <c r="KE16" s="23"/>
      <c r="KF16" s="51">
        <v>896431.4272056577</v>
      </c>
      <c r="KG16" s="51">
        <v>1414165.1287299758</v>
      </c>
      <c r="KH16" s="51">
        <f>KF16+KG16</f>
        <v>2310596.5559356334</v>
      </c>
      <c r="KI16" s="51"/>
      <c r="KJ16" s="51">
        <f>KH16+KI16</f>
        <v>2310596.5559356334</v>
      </c>
      <c r="KK16" s="51"/>
      <c r="KL16" s="51">
        <f>KJ16+KK16</f>
        <v>2310596.5559356334</v>
      </c>
      <c r="KM16" s="51"/>
      <c r="KN16" s="51">
        <f>KL16+KM16</f>
        <v>2310596.5559356334</v>
      </c>
      <c r="KO16" s="51"/>
      <c r="KP16" s="51">
        <f>KN16+KO16</f>
        <v>2310596.5559356334</v>
      </c>
      <c r="KQ16" s="51"/>
      <c r="KR16" s="51"/>
      <c r="KS16" s="51"/>
      <c r="KT16" s="51"/>
      <c r="KU16" s="22">
        <f>ROW()</f>
        <v>16</v>
      </c>
      <c r="KV16" s="1740" t="s">
        <v>200</v>
      </c>
      <c r="KW16" s="957"/>
      <c r="KX16" s="51"/>
      <c r="KY16" s="51"/>
      <c r="KZ16" s="553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22">
        <f>ROW()</f>
        <v>16</v>
      </c>
      <c r="LN16" s="555" t="s">
        <v>112</v>
      </c>
      <c r="LP16" s="553">
        <v>5489997433.7842302</v>
      </c>
      <c r="LQ16" s="553">
        <v>89690639.215544701</v>
      </c>
      <c r="LR16" s="553">
        <f t="shared" ref="LR16:LR21" si="0">SUM(LP16:LQ16)</f>
        <v>5579688072.9997749</v>
      </c>
      <c r="LS16" s="553"/>
      <c r="LT16" s="553">
        <f t="shared" ref="LT16:LT21" si="1">SUM(LR16:LS16)</f>
        <v>5579688072.9997749</v>
      </c>
      <c r="LU16" s="553"/>
      <c r="LV16" s="553">
        <f t="shared" ref="LV16:LV21" si="2">SUM(LT16:LU16)</f>
        <v>5579688072.9997749</v>
      </c>
      <c r="LW16" s="553"/>
      <c r="LX16" s="553">
        <f t="shared" ref="LX16:LX21" si="3">SUM(LV16:LW16)</f>
        <v>5579688072.9997749</v>
      </c>
      <c r="LY16" s="553"/>
      <c r="LZ16" s="553">
        <f t="shared" ref="LZ16:LZ21" si="4">SUM(LX16:LY16)</f>
        <v>5579688072.9997749</v>
      </c>
      <c r="MA16" s="553"/>
      <c r="MB16" s="553"/>
      <c r="MC16" s="553"/>
      <c r="MD16" s="553">
        <f t="shared" ref="MD16:MD21" si="5">SUM(MB16:MC16)</f>
        <v>0</v>
      </c>
      <c r="ME16" s="22">
        <f>ROW()</f>
        <v>16</v>
      </c>
      <c r="MF16" s="555" t="s">
        <v>201</v>
      </c>
      <c r="MH16" s="549">
        <v>154403365.68999988</v>
      </c>
      <c r="MI16" s="549">
        <v>13716015.766056538</v>
      </c>
      <c r="MJ16" s="549">
        <f>MH16+MI16</f>
        <v>168119381.45605642</v>
      </c>
      <c r="MK16" s="549">
        <v>0</v>
      </c>
      <c r="ML16" s="549">
        <f>MJ16+MK16</f>
        <v>168119381.45605642</v>
      </c>
      <c r="MM16" s="549"/>
      <c r="MN16" s="549">
        <f>ML16+MM16</f>
        <v>168119381.45605642</v>
      </c>
      <c r="MO16" s="549"/>
      <c r="MP16" s="549">
        <f>MN16+MO16</f>
        <v>168119381.45605642</v>
      </c>
      <c r="MQ16" s="549"/>
      <c r="MR16" s="549">
        <f>MP16+MQ16</f>
        <v>168119381.45605642</v>
      </c>
      <c r="MS16" s="549"/>
      <c r="MT16" s="549"/>
      <c r="MU16" s="549"/>
      <c r="MV16" s="549"/>
      <c r="MW16" s="22">
        <f>ROW()</f>
        <v>16</v>
      </c>
      <c r="NO16" s="22">
        <f>ROW()</f>
        <v>16</v>
      </c>
      <c r="NP16" s="639" t="s">
        <v>94</v>
      </c>
      <c r="NR16" s="619"/>
      <c r="NS16" s="619"/>
      <c r="NT16" s="619"/>
      <c r="NU16" s="619"/>
      <c r="NV16" s="619"/>
      <c r="NW16" s="619"/>
      <c r="NX16" s="619">
        <f>'SEF-34 pg 1'!I30</f>
        <v>7876060.1918395003</v>
      </c>
      <c r="NY16" s="640">
        <v>358964.49331030715</v>
      </c>
      <c r="NZ16" s="619">
        <f t="shared" ref="NZ16:NZ22" si="6">NY16+NX16</f>
        <v>8235024.6851498075</v>
      </c>
      <c r="OA16" s="640">
        <v>720957.01860331092</v>
      </c>
      <c r="OB16" s="619">
        <f t="shared" ref="OB16:OB22" si="7">OA16+NZ16</f>
        <v>8955981.7037531175</v>
      </c>
      <c r="OC16" s="1686"/>
      <c r="OD16" s="1686"/>
      <c r="OE16" s="1686"/>
      <c r="OF16" s="1686"/>
      <c r="OG16" s="482">
        <f>ROW()</f>
        <v>16</v>
      </c>
      <c r="OH16" s="549" t="s">
        <v>203</v>
      </c>
      <c r="OI16" s="549"/>
      <c r="OJ16" s="561"/>
      <c r="OK16" s="561"/>
      <c r="OL16" s="561"/>
      <c r="OM16" s="561"/>
      <c r="ON16" s="561"/>
      <c r="OO16" s="549"/>
      <c r="OP16" s="549"/>
      <c r="OQ16" s="549"/>
      <c r="OR16" s="549"/>
      <c r="OS16" s="549"/>
      <c r="OT16" s="549"/>
      <c r="OU16" s="549"/>
      <c r="OV16" s="549"/>
      <c r="OW16" s="549"/>
      <c r="OX16" s="549"/>
      <c r="OY16" s="22">
        <f>ROW()</f>
        <v>16</v>
      </c>
      <c r="OZ16" s="562" t="s">
        <v>203</v>
      </c>
      <c r="PA16" s="562"/>
      <c r="PB16" s="1739" t="s">
        <v>204</v>
      </c>
      <c r="PC16" s="561"/>
      <c r="PD16" s="561"/>
      <c r="PE16" s="561"/>
      <c r="PF16" s="561"/>
      <c r="PG16" s="549"/>
      <c r="PH16" s="549"/>
      <c r="PI16" s="1738"/>
      <c r="PJ16" s="1738"/>
      <c r="PK16" s="1738"/>
      <c r="PL16" s="1738"/>
      <c r="PM16" s="1738"/>
      <c r="PN16" s="1738"/>
      <c r="PO16" s="549"/>
      <c r="PP16" s="549"/>
      <c r="PQ16" s="22">
        <f>ROW()</f>
        <v>16</v>
      </c>
      <c r="PR16" s="1737" t="s">
        <v>190</v>
      </c>
      <c r="PS16" s="562"/>
      <c r="PT16" s="561"/>
      <c r="PU16" s="561"/>
      <c r="PV16" s="561"/>
      <c r="PW16" s="561"/>
      <c r="PX16" s="561"/>
      <c r="PY16" s="549"/>
      <c r="PZ16" s="549"/>
      <c r="QA16" s="549"/>
      <c r="QB16" s="549"/>
      <c r="QC16" s="549"/>
      <c r="QD16" s="549"/>
      <c r="QE16" s="549"/>
      <c r="QF16" s="549"/>
      <c r="QG16" s="549"/>
      <c r="QH16" s="549"/>
      <c r="QJ16" s="1662">
        <f>ROW()</f>
        <v>16</v>
      </c>
      <c r="QK16" s="520" t="s">
        <v>248</v>
      </c>
      <c r="QL16" s="616"/>
      <c r="QM16" s="1490"/>
      <c r="QN16" s="1490"/>
      <c r="QO16" s="1490"/>
      <c r="QP16" s="1587"/>
      <c r="QQ16" s="1587"/>
      <c r="QR16" s="1587"/>
      <c r="QS16" s="1587"/>
      <c r="QT16" s="1587"/>
      <c r="QU16" s="1587"/>
      <c r="QV16" s="1587"/>
      <c r="QW16" s="1587"/>
      <c r="QX16" s="1587"/>
      <c r="QY16" s="1587"/>
      <c r="QZ16" s="1587"/>
      <c r="RA16" s="1587"/>
      <c r="RB16" s="394">
        <f>ROW()</f>
        <v>16</v>
      </c>
      <c r="RC16" s="616"/>
      <c r="RD16" s="616"/>
      <c r="RE16" s="616"/>
      <c r="RF16" s="616"/>
      <c r="RG16" s="616"/>
      <c r="RH16" s="616"/>
      <c r="RI16" s="616"/>
      <c r="RJ16" s="616"/>
      <c r="RK16" s="616"/>
      <c r="RL16" s="616"/>
      <c r="RM16" s="616"/>
      <c r="RN16" s="616"/>
      <c r="RO16" s="616"/>
      <c r="RP16" s="616"/>
      <c r="RQ16" s="616"/>
      <c r="RR16" s="616"/>
      <c r="RS16" s="616"/>
      <c r="RT16" s="521">
        <f>ROW()</f>
        <v>16</v>
      </c>
      <c r="RU16" s="1480" t="s">
        <v>866</v>
      </c>
      <c r="RV16" s="520"/>
      <c r="RW16" s="570"/>
      <c r="RX16" s="570"/>
      <c r="RY16" s="570"/>
      <c r="RZ16" s="653">
        <v>-42632.08</v>
      </c>
      <c r="SA16" s="653">
        <f>RZ16+RY16</f>
        <v>-42632.08</v>
      </c>
      <c r="SB16" s="653">
        <v>-254648.25999999995</v>
      </c>
      <c r="SC16" s="653">
        <f>SB16+SA16</f>
        <v>-297280.33999999997</v>
      </c>
      <c r="SD16" s="653">
        <v>-629245.79000000108</v>
      </c>
      <c r="SE16" s="653">
        <f>SD16+SC16</f>
        <v>-926526.13000000105</v>
      </c>
      <c r="SF16" s="653">
        <v>-629245.79000000108</v>
      </c>
      <c r="SG16" s="653">
        <f>SF16+SE16</f>
        <v>-1555771.9200000023</v>
      </c>
      <c r="SH16" s="653"/>
      <c r="SI16" s="653"/>
      <c r="SJ16" s="653"/>
      <c r="SK16" s="653"/>
      <c r="SL16" s="82">
        <f>ROW()</f>
        <v>16</v>
      </c>
      <c r="SM16" s="616" t="s">
        <v>866</v>
      </c>
      <c r="SN16" s="616"/>
      <c r="SO16" s="653"/>
      <c r="SP16" s="653"/>
      <c r="SQ16" s="653"/>
      <c r="SR16" s="653">
        <v>373113.37</v>
      </c>
      <c r="SS16" s="1475">
        <f>SR16</f>
        <v>373113.37</v>
      </c>
      <c r="ST16" s="653">
        <v>3280867.8499999996</v>
      </c>
      <c r="SU16" s="1475">
        <f>ST16+SS16</f>
        <v>3653981.2199999997</v>
      </c>
      <c r="SV16" s="1475">
        <v>7670683.3799999999</v>
      </c>
      <c r="SW16" s="1475">
        <f>SV16+SU16</f>
        <v>11324664.6</v>
      </c>
      <c r="SX16" s="1475">
        <v>6362082.7800000031</v>
      </c>
      <c r="SY16" s="1475">
        <f>SX16+SW16</f>
        <v>17686747.380000003</v>
      </c>
      <c r="SZ16" s="1475"/>
      <c r="TA16" s="1475"/>
      <c r="TB16" s="1474"/>
      <c r="TC16" s="1474"/>
      <c r="TD16" s="424"/>
      <c r="TE16" s="82">
        <f>ROW()</f>
        <v>16</v>
      </c>
      <c r="TK16"/>
      <c r="TL16"/>
      <c r="TM16"/>
      <c r="TN16"/>
      <c r="TO16"/>
      <c r="TP16"/>
      <c r="TQ16"/>
      <c r="TR16"/>
      <c r="TS16"/>
      <c r="TT16"/>
      <c r="TU16"/>
      <c r="TV16"/>
      <c r="TW16" s="424"/>
      <c r="TX16" s="82">
        <f>ROW()</f>
        <v>16</v>
      </c>
      <c r="TY16" s="477" t="s">
        <v>205</v>
      </c>
      <c r="UQ16" s="521">
        <f>ROW()</f>
        <v>16</v>
      </c>
      <c r="UR16" s="1706"/>
      <c r="US16" s="1706"/>
      <c r="UT16" s="1706"/>
      <c r="UU16" s="1706"/>
      <c r="UV16" s="1706"/>
      <c r="UW16" s="1706"/>
      <c r="UX16" s="1706"/>
      <c r="UY16" s="1706"/>
      <c r="UZ16" s="1706"/>
      <c r="VA16" s="1706"/>
      <c r="VB16" s="1706"/>
      <c r="VC16" s="1706"/>
      <c r="VD16" s="1706"/>
      <c r="VJ16" s="521">
        <f>ROW()</f>
        <v>16</v>
      </c>
      <c r="VK16" s="522"/>
      <c r="VL16" s="102"/>
      <c r="VM16" s="102"/>
      <c r="VN16" s="102"/>
      <c r="VO16" s="102"/>
      <c r="VP16" s="102"/>
      <c r="VQ16" s="102"/>
      <c r="VR16" s="102"/>
      <c r="VS16" s="102"/>
      <c r="VT16" s="102"/>
      <c r="VU16" s="102"/>
      <c r="VV16" s="102"/>
      <c r="VW16" s="102"/>
      <c r="VY16" s="521">
        <f>ROW()</f>
        <v>16</v>
      </c>
      <c r="VZ16" s="480" t="s">
        <v>975</v>
      </c>
      <c r="WB16" s="17"/>
      <c r="WC16" s="17"/>
      <c r="WD16" s="17"/>
      <c r="WE16" s="17"/>
      <c r="WF16" s="17"/>
      <c r="WG16" s="17"/>
      <c r="WH16" s="17"/>
      <c r="WI16" s="1736">
        <f>WJ16-WH16</f>
        <v>403758.88800190948</v>
      </c>
      <c r="WJ16" s="1736">
        <v>403758.88800190948</v>
      </c>
      <c r="WK16" s="1736">
        <f>WL16-WJ16</f>
        <v>14131.56108006672</v>
      </c>
      <c r="WL16" s="1736">
        <v>417890.4490819762</v>
      </c>
      <c r="WN16" s="521">
        <f>ROW()</f>
        <v>16</v>
      </c>
      <c r="WO16" s="480" t="s">
        <v>208</v>
      </c>
      <c r="WQ16" s="17"/>
      <c r="WR16" s="17"/>
      <c r="WS16" s="17"/>
      <c r="WT16" s="17"/>
      <c r="WU16" s="17"/>
      <c r="WV16" s="17"/>
      <c r="WW16" s="17"/>
      <c r="WX16" s="1735">
        <v>598854.31389000011</v>
      </c>
      <c r="WY16" s="1735">
        <f>WW16+WX16</f>
        <v>598854.31389000011</v>
      </c>
      <c r="WZ16" s="1735">
        <v>655030.41650999989</v>
      </c>
      <c r="XA16" s="1735">
        <f>WY16+WZ16</f>
        <v>1253884.7304</v>
      </c>
    </row>
    <row r="17" spans="1:625" ht="15.75" x14ac:dyDescent="0.25">
      <c r="A17" s="22">
        <f>ROW()</f>
        <v>17</v>
      </c>
      <c r="B17" t="s">
        <v>974</v>
      </c>
      <c r="C17" s="1550" t="s">
        <v>876</v>
      </c>
      <c r="D17" s="880"/>
      <c r="E17" s="880">
        <v>-1572845.0222729845</v>
      </c>
      <c r="F17" s="880"/>
      <c r="G17" s="1052"/>
      <c r="H17" s="880"/>
      <c r="I17" s="1052"/>
      <c r="J17" s="1052"/>
      <c r="K17" s="1052"/>
      <c r="L17" s="1052"/>
      <c r="M17" s="1052"/>
      <c r="N17" s="984"/>
      <c r="O17" s="984"/>
      <c r="P17" s="984"/>
      <c r="Q17" s="984"/>
      <c r="R17" s="984"/>
      <c r="S17" s="22">
        <f>ROW()</f>
        <v>17</v>
      </c>
      <c r="T17" s="603" t="s">
        <v>284</v>
      </c>
      <c r="U17" s="1431"/>
      <c r="V17" s="850">
        <f t="shared" ref="V17:V29" si="8">-W17</f>
        <v>2838227.4896594137</v>
      </c>
      <c r="W17" s="51">
        <v>-2838227.4896594137</v>
      </c>
      <c r="X17" s="51"/>
      <c r="Y17" s="51"/>
      <c r="Z17" s="51">
        <f t="shared" ref="Z17:Z29" si="9">SUM(X17:Y17)</f>
        <v>0</v>
      </c>
      <c r="AA17" s="51"/>
      <c r="AB17" s="51">
        <f t="shared" ref="AB17:AB29" si="10">SUM(Z17:AA17)</f>
        <v>0</v>
      </c>
      <c r="AC17" s="51"/>
      <c r="AD17" s="51">
        <f t="shared" ref="AD17:AD29" si="11">SUM(AB17:AC17)</f>
        <v>0</v>
      </c>
      <c r="AE17" s="51"/>
      <c r="AF17" s="51">
        <f t="shared" ref="AF17:AF29" si="12">SUM(AD17:AE17)</f>
        <v>0</v>
      </c>
      <c r="AG17" s="51"/>
      <c r="AH17" s="51"/>
      <c r="AI17" s="51"/>
      <c r="AJ17" s="51"/>
      <c r="AK17" s="22">
        <f>ROW()</f>
        <v>17</v>
      </c>
      <c r="AL17" s="1734"/>
      <c r="AM17" s="584"/>
      <c r="AN17" s="584"/>
      <c r="AO17" s="584"/>
      <c r="AP17" s="584"/>
      <c r="AQ17" s="584"/>
      <c r="AR17" s="584"/>
      <c r="AS17" s="584"/>
      <c r="AT17" s="584"/>
      <c r="AU17" s="584"/>
      <c r="AV17" s="584"/>
      <c r="AW17" s="584"/>
      <c r="AX17" s="584"/>
      <c r="AY17" s="584"/>
      <c r="AZ17" s="584"/>
      <c r="BA17" s="584"/>
      <c r="BB17" s="584"/>
      <c r="BC17" s="22">
        <f>ROW()</f>
        <v>17</v>
      </c>
      <c r="BD17" s="28" t="s">
        <v>211</v>
      </c>
      <c r="BF17" s="586">
        <v>-7579228.4499999881</v>
      </c>
      <c r="BG17" s="586">
        <v>7222499.4184199888</v>
      </c>
      <c r="BH17" s="586">
        <f>SUM(BF17:BG17)</f>
        <v>-356729.03157999925</v>
      </c>
      <c r="BI17" s="586">
        <v>0</v>
      </c>
      <c r="BJ17" s="586">
        <f>SUM(BH17:BI17)</f>
        <v>-356729.03157999925</v>
      </c>
      <c r="BK17" s="586">
        <v>0</v>
      </c>
      <c r="BL17" s="586">
        <f>SUM(BJ17:BK17)</f>
        <v>-356729.03157999925</v>
      </c>
      <c r="BM17" s="586">
        <v>0</v>
      </c>
      <c r="BN17" s="586">
        <f>SUM(BL17:BM17)</f>
        <v>-356729.03157999925</v>
      </c>
      <c r="BO17" s="586">
        <v>0</v>
      </c>
      <c r="BP17" s="586">
        <f>SUM(BN17:BO17)</f>
        <v>-356729.03157999925</v>
      </c>
      <c r="BQ17" s="586"/>
      <c r="BR17" s="586"/>
      <c r="BS17" s="586"/>
      <c r="BT17" s="586"/>
      <c r="BU17" s="22">
        <f>ROW()</f>
        <v>17</v>
      </c>
      <c r="BV17" s="512" t="s">
        <v>212</v>
      </c>
      <c r="BX17" s="1238"/>
      <c r="BY17" s="1238"/>
      <c r="BZ17" s="20"/>
      <c r="CA17" s="1238"/>
      <c r="CB17" s="20"/>
      <c r="CC17" s="1238"/>
      <c r="CD17" s="20"/>
      <c r="CE17" s="1238"/>
      <c r="CF17" s="20"/>
      <c r="CG17" s="1238"/>
      <c r="CH17" s="20"/>
      <c r="CI17" s="20"/>
      <c r="CJ17" s="20"/>
      <c r="CK17" s="1238"/>
      <c r="CL17" s="20"/>
      <c r="CM17" s="22">
        <f>ROW()</f>
        <v>17</v>
      </c>
      <c r="CN17" s="480" t="s">
        <v>973</v>
      </c>
      <c r="CP17" s="573">
        <v>4086558.0641600001</v>
      </c>
      <c r="CQ17" s="573">
        <v>-269672.36803698959</v>
      </c>
      <c r="CR17" s="573">
        <f>SUM(CP17:CQ17)</f>
        <v>3816885.6961230105</v>
      </c>
      <c r="CS17" s="21"/>
      <c r="CT17" s="573">
        <f>SUM(CR17:CS17)</f>
        <v>3816885.6961230105</v>
      </c>
      <c r="CU17" s="21"/>
      <c r="CV17" s="573">
        <f>SUM(CT17:CU17)</f>
        <v>3816885.6961230105</v>
      </c>
      <c r="CW17" s="21"/>
      <c r="CX17" s="21">
        <f>SUM(CV17:CW17)</f>
        <v>3816885.6961230105</v>
      </c>
      <c r="CY17" s="21"/>
      <c r="CZ17" s="21">
        <f>SUM(CX17:CY17)</f>
        <v>3816885.6961230105</v>
      </c>
      <c r="DA17" s="21"/>
      <c r="DB17" s="21"/>
      <c r="DC17" s="21"/>
      <c r="DD17" s="21"/>
      <c r="DE17" s="22">
        <f>ROW()</f>
        <v>17</v>
      </c>
      <c r="DF17" s="589" t="s">
        <v>214</v>
      </c>
      <c r="DG17" s="589"/>
      <c r="DH17" s="42"/>
      <c r="DI17" s="42"/>
      <c r="DJ17" s="42"/>
      <c r="DK17" s="42"/>
      <c r="DL17" s="42"/>
      <c r="DW17" s="22">
        <f>ROW()</f>
        <v>17</v>
      </c>
      <c r="DX17" s="541" t="s">
        <v>235</v>
      </c>
      <c r="DY17" s="541"/>
      <c r="DZ17" s="629">
        <f t="shared" ref="DZ17:EJ17" si="13">SUM(DZ16)</f>
        <v>51494328.660999998</v>
      </c>
      <c r="EA17" s="629">
        <f t="shared" si="13"/>
        <v>858.74887999892235</v>
      </c>
      <c r="EB17" s="629">
        <f t="shared" si="13"/>
        <v>51495187.409879997</v>
      </c>
      <c r="EC17" s="629">
        <f t="shared" si="13"/>
        <v>0</v>
      </c>
      <c r="ED17" s="629">
        <f t="shared" si="13"/>
        <v>51495187.409879997</v>
      </c>
      <c r="EE17" s="629">
        <f t="shared" si="13"/>
        <v>0</v>
      </c>
      <c r="EF17" s="629">
        <f t="shared" si="13"/>
        <v>51495187.409879997</v>
      </c>
      <c r="EG17" s="629">
        <f t="shared" si="13"/>
        <v>0</v>
      </c>
      <c r="EH17" s="629">
        <f t="shared" si="13"/>
        <v>51495187.409879997</v>
      </c>
      <c r="EI17" s="629">
        <f t="shared" si="13"/>
        <v>0</v>
      </c>
      <c r="EJ17" s="629">
        <f t="shared" si="13"/>
        <v>51495187.409879997</v>
      </c>
      <c r="EK17" s="629"/>
      <c r="EL17" s="629"/>
      <c r="EM17" s="629"/>
      <c r="EN17" s="629"/>
      <c r="EO17" s="22">
        <f>ROW()</f>
        <v>17</v>
      </c>
      <c r="EP17" s="480" t="s">
        <v>215</v>
      </c>
      <c r="EQ17" s="28"/>
      <c r="ER17" s="553">
        <v>9129728.9190494381</v>
      </c>
      <c r="ES17" s="553">
        <f>ET17-ER17</f>
        <v>-15395.465999677777</v>
      </c>
      <c r="ET17" s="553">
        <v>9114333.4530497603</v>
      </c>
      <c r="EU17" s="553">
        <f>EV17-ET17</f>
        <v>373375.72277824022</v>
      </c>
      <c r="EV17" s="553">
        <v>9487709.1758280005</v>
      </c>
      <c r="EW17" s="553"/>
      <c r="EX17" s="553">
        <f>SUM(EV17:EW17)</f>
        <v>9487709.1758280005</v>
      </c>
      <c r="EY17" s="553"/>
      <c r="EZ17" s="553">
        <f>SUM(EX17:EY17)</f>
        <v>9487709.1758280005</v>
      </c>
      <c r="FA17" s="553"/>
      <c r="FB17" s="553">
        <f>SUM(EZ17:FA17)</f>
        <v>9487709.1758280005</v>
      </c>
      <c r="FC17" s="553"/>
      <c r="FD17" s="553"/>
      <c r="FE17" s="553"/>
      <c r="FF17" s="553"/>
      <c r="FG17" s="22">
        <f>ROW()</f>
        <v>17</v>
      </c>
      <c r="FH17" s="23" t="s">
        <v>216</v>
      </c>
      <c r="FI17" s="21"/>
      <c r="FJ17" s="590">
        <v>450050.02114780352</v>
      </c>
      <c r="FK17" s="590">
        <v>-7375.9337625919143</v>
      </c>
      <c r="FL17" s="590">
        <f>FJ17+FK17</f>
        <v>442674.08738521161</v>
      </c>
      <c r="FM17" s="50"/>
      <c r="FN17" s="651">
        <f>FL17+FM17</f>
        <v>442674.08738521161</v>
      </c>
      <c r="FO17" s="50"/>
      <c r="FP17" s="651">
        <f>FN17+FO17</f>
        <v>442674.08738521161</v>
      </c>
      <c r="FQ17" s="50"/>
      <c r="FR17" s="651">
        <f>FP17+FQ17</f>
        <v>442674.08738521161</v>
      </c>
      <c r="FS17" s="50"/>
      <c r="FT17" s="651">
        <f>FR17+FS17</f>
        <v>442674.08738521161</v>
      </c>
      <c r="FU17" s="78"/>
      <c r="FV17" s="78"/>
      <c r="FW17" s="50"/>
      <c r="FX17" s="651"/>
      <c r="FY17" s="22">
        <f>ROW()</f>
        <v>17</v>
      </c>
      <c r="FZ17" s="1217" t="s">
        <v>970</v>
      </c>
      <c r="GB17" s="543">
        <v>7024.9238169602959</v>
      </c>
      <c r="GC17" s="543">
        <v>-2379.8392482455183</v>
      </c>
      <c r="GD17" s="543">
        <f t="shared" ref="GD17:GD25" si="14">SUM(GB17:GC17)</f>
        <v>4645.0845687147776</v>
      </c>
      <c r="GE17" s="543">
        <v>364.69205552281073</v>
      </c>
      <c r="GF17" s="543">
        <f t="shared" ref="GF17:GF25" si="15">SUM(GD17:GE17)</f>
        <v>5009.7766242375883</v>
      </c>
      <c r="GG17" s="543">
        <v>159.9196766590394</v>
      </c>
      <c r="GH17" s="543">
        <f t="shared" ref="GH17:GH25" si="16">SUM(GF17:GG17)</f>
        <v>5169.6963008966277</v>
      </c>
      <c r="GI17" s="543">
        <v>37.935473219233245</v>
      </c>
      <c r="GJ17" s="543">
        <f t="shared" ref="GJ17:GJ25" si="17">SUM(GH17:GI17)</f>
        <v>5207.6317741158609</v>
      </c>
      <c r="GK17" s="543">
        <v>3.0013635929371958</v>
      </c>
      <c r="GL17" s="543">
        <f t="shared" ref="GL17:GL25" si="18">SUM(GJ17:GK17)</f>
        <v>5210.6331377087981</v>
      </c>
      <c r="GM17" s="543"/>
      <c r="GN17" s="543"/>
      <c r="GO17" s="543"/>
      <c r="GP17" s="543"/>
      <c r="GQ17" s="22">
        <f>ROW()</f>
        <v>17</v>
      </c>
      <c r="GR17" s="4" t="s">
        <v>239</v>
      </c>
      <c r="GS17" s="482"/>
      <c r="GT17" s="634">
        <v>5446331.6856000004</v>
      </c>
      <c r="GU17" s="634">
        <v>379064.68531776033</v>
      </c>
      <c r="GV17" s="1733">
        <f>SUM(GT17:GU17)</f>
        <v>5825396.3709177608</v>
      </c>
      <c r="GW17" s="634">
        <v>0</v>
      </c>
      <c r="GX17" s="1733">
        <f>SUM(GV17:GW17)</f>
        <v>5825396.3709177608</v>
      </c>
      <c r="GY17" s="634">
        <v>0</v>
      </c>
      <c r="GZ17" s="1733">
        <f>SUM(GX17:GY17)</f>
        <v>5825396.3709177608</v>
      </c>
      <c r="HA17" s="634">
        <v>0</v>
      </c>
      <c r="HB17" s="1733">
        <f>SUM(GZ17:HA17)</f>
        <v>5825396.3709177608</v>
      </c>
      <c r="HC17" s="634">
        <v>0</v>
      </c>
      <c r="HD17" s="1733">
        <f>SUM(HB17:HC17)</f>
        <v>5825396.3709177608</v>
      </c>
      <c r="HE17" s="634"/>
      <c r="HF17" s="1733"/>
      <c r="HG17" s="634"/>
      <c r="HH17" s="1733"/>
      <c r="HI17" s="22">
        <f>ROW()</f>
        <v>17</v>
      </c>
      <c r="HJ17" s="23"/>
      <c r="HK17" s="23"/>
      <c r="HL17" s="23"/>
      <c r="HM17" s="23"/>
      <c r="HN17" s="23"/>
      <c r="IA17" s="22">
        <f>ROW()</f>
        <v>17</v>
      </c>
      <c r="IB17" s="23" t="s">
        <v>972</v>
      </c>
      <c r="IC17" s="984"/>
      <c r="ID17" s="1547">
        <v>3485252.3336075996</v>
      </c>
      <c r="IE17" s="1547">
        <v>380063.69219240034</v>
      </c>
      <c r="IF17" s="1547">
        <f>SUM(ID17:IE17)</f>
        <v>3865316.0257999999</v>
      </c>
      <c r="IG17" s="1547">
        <v>0</v>
      </c>
      <c r="IH17" s="1547">
        <f>SUM(IF17:IG17)</f>
        <v>3865316.0257999999</v>
      </c>
      <c r="II17" s="1732"/>
      <c r="IJ17" s="1547">
        <f>SUM(IH17:II17)</f>
        <v>3865316.0257999999</v>
      </c>
      <c r="IK17" s="1732"/>
      <c r="IL17" s="1547">
        <f>SUM(IJ17:IK17)</f>
        <v>3865316.0257999999</v>
      </c>
      <c r="IM17" s="1732"/>
      <c r="IN17" s="1547">
        <f>SUM(IL17:IM17)</f>
        <v>3865316.0257999999</v>
      </c>
      <c r="IO17" s="1547"/>
      <c r="IP17" s="1547"/>
      <c r="IQ17" s="1732"/>
      <c r="IR17" s="1547"/>
      <c r="IS17" s="22">
        <f>ROW()</f>
        <v>17</v>
      </c>
      <c r="IT17" s="1" t="s">
        <v>971</v>
      </c>
      <c r="IV17" s="21"/>
      <c r="IW17" s="21"/>
      <c r="IX17" s="21">
        <f>SUM(IV17:IW17)</f>
        <v>0</v>
      </c>
      <c r="IY17" s="21"/>
      <c r="IZ17" s="21">
        <f>SUM(IX17:IY17)</f>
        <v>0</v>
      </c>
      <c r="JA17" s="21"/>
      <c r="JB17" s="21">
        <f>SUM(IZ17:JA17)</f>
        <v>0</v>
      </c>
      <c r="JC17" s="21"/>
      <c r="JD17" s="21">
        <f>SUM(JB17:JC17)</f>
        <v>0</v>
      </c>
      <c r="JE17" s="21"/>
      <c r="JF17" s="21">
        <f>SUM(JD17:JE17)</f>
        <v>0</v>
      </c>
      <c r="JG17" s="21"/>
      <c r="JH17" s="21"/>
      <c r="JI17" s="21"/>
      <c r="JJ17" s="21"/>
      <c r="JK17" s="22">
        <f>ROW()</f>
        <v>17</v>
      </c>
      <c r="JL17" s="480"/>
      <c r="JM17" s="28"/>
      <c r="JN17" s="595"/>
      <c r="JO17" s="595"/>
      <c r="JP17" s="596"/>
      <c r="JQ17" s="596"/>
      <c r="JR17" s="596"/>
      <c r="JS17" s="26"/>
      <c r="JT17" s="596"/>
      <c r="JU17" s="26"/>
      <c r="JV17" s="596"/>
      <c r="JW17" s="26"/>
      <c r="JX17" s="596"/>
      <c r="JY17" s="596"/>
      <c r="JZ17" s="596"/>
      <c r="KA17" s="26"/>
      <c r="KB17" s="596"/>
      <c r="KC17" s="22">
        <f>ROW()</f>
        <v>17</v>
      </c>
      <c r="KD17" s="28" t="s">
        <v>221</v>
      </c>
      <c r="KE17" s="28"/>
      <c r="KF17" s="597">
        <f>SUM(KF16:KF16)</f>
        <v>896431.4272056577</v>
      </c>
      <c r="KG17" s="597">
        <f>SUM(KG16:KG16)</f>
        <v>1414165.1287299758</v>
      </c>
      <c r="KH17" s="597">
        <f>SUM(KH16:KH16)</f>
        <v>2310596.5559356334</v>
      </c>
      <c r="KI17" s="597">
        <f t="shared" ref="KI17:KP17" si="19">SUM(KI16)</f>
        <v>0</v>
      </c>
      <c r="KJ17" s="597">
        <f t="shared" si="19"/>
        <v>2310596.5559356334</v>
      </c>
      <c r="KK17" s="597">
        <f t="shared" si="19"/>
        <v>0</v>
      </c>
      <c r="KL17" s="597">
        <f t="shared" si="19"/>
        <v>2310596.5559356334</v>
      </c>
      <c r="KM17" s="597">
        <f t="shared" si="19"/>
        <v>0</v>
      </c>
      <c r="KN17" s="597">
        <f t="shared" si="19"/>
        <v>2310596.5559356334</v>
      </c>
      <c r="KO17" s="597">
        <f t="shared" si="19"/>
        <v>0</v>
      </c>
      <c r="KP17" s="597">
        <f t="shared" si="19"/>
        <v>2310596.5559356334</v>
      </c>
      <c r="KQ17" s="597"/>
      <c r="KR17" s="597"/>
      <c r="KS17" s="597"/>
      <c r="KT17" s="597"/>
      <c r="KU17" s="22">
        <f>ROW()</f>
        <v>17</v>
      </c>
      <c r="KV17" s="73" t="s">
        <v>970</v>
      </c>
      <c r="KW17" s="957"/>
      <c r="KX17" s="51">
        <v>101541.92214979997</v>
      </c>
      <c r="KY17" s="51">
        <v>3085.7129100409511</v>
      </c>
      <c r="KZ17" s="553">
        <f t="shared" ref="KZ17:KZ25" si="20">SUM(KX17:KY17)</f>
        <v>104627.63505984092</v>
      </c>
      <c r="LA17" s="51">
        <v>0</v>
      </c>
      <c r="LB17" s="553">
        <f t="shared" ref="LB17:LB25" si="21">SUM(KZ17:LA17)</f>
        <v>104627.63505984092</v>
      </c>
      <c r="LC17" s="51">
        <v>0</v>
      </c>
      <c r="LD17" s="553">
        <f t="shared" ref="LD17:LD25" si="22">SUM(LB17:LC17)</f>
        <v>104627.63505984092</v>
      </c>
      <c r="LE17" s="51">
        <v>0</v>
      </c>
      <c r="LF17" s="553">
        <f t="shared" ref="LF17:LF25" si="23">SUM(LD17:LE17)</f>
        <v>104627.63505984092</v>
      </c>
      <c r="LG17" s="51">
        <v>0</v>
      </c>
      <c r="LH17" s="553">
        <f t="shared" ref="LH17:LH25" si="24">SUM(LF17:LG17)</f>
        <v>104627.63505984092</v>
      </c>
      <c r="LI17" s="51">
        <v>0</v>
      </c>
      <c r="LJ17" s="553"/>
      <c r="LK17" s="51">
        <v>0</v>
      </c>
      <c r="LL17" s="553">
        <f t="shared" ref="LL17:LL25" si="25">SUM(LJ17:LK17)</f>
        <v>0</v>
      </c>
      <c r="LM17" s="22">
        <f>ROW()</f>
        <v>17</v>
      </c>
      <c r="LN17" s="555" t="s">
        <v>113</v>
      </c>
      <c r="LP17" s="1712">
        <v>-2082138429.1273692</v>
      </c>
      <c r="LQ17" s="1712">
        <v>-37040806.652540684</v>
      </c>
      <c r="LR17" s="78">
        <f t="shared" si="0"/>
        <v>-2119179235.7799098</v>
      </c>
      <c r="LS17" s="50"/>
      <c r="LT17" s="78">
        <f t="shared" si="1"/>
        <v>-2119179235.7799098</v>
      </c>
      <c r="LU17" s="50"/>
      <c r="LV17" s="78">
        <f t="shared" si="2"/>
        <v>-2119179235.7799098</v>
      </c>
      <c r="LW17" s="50"/>
      <c r="LX17" s="78">
        <f t="shared" si="3"/>
        <v>-2119179235.7799098</v>
      </c>
      <c r="LY17" s="50"/>
      <c r="LZ17" s="78">
        <f t="shared" si="4"/>
        <v>-2119179235.7799098</v>
      </c>
      <c r="MA17" s="78"/>
      <c r="MB17" s="78"/>
      <c r="MC17" s="50"/>
      <c r="MD17" s="78">
        <f t="shared" si="5"/>
        <v>0</v>
      </c>
      <c r="ME17" s="22">
        <f>ROW()</f>
        <v>17</v>
      </c>
      <c r="MF17" s="555" t="s">
        <v>222</v>
      </c>
      <c r="MH17" s="78">
        <v>10061700.168105001</v>
      </c>
      <c r="MI17" s="78">
        <v>-660479.469045192</v>
      </c>
      <c r="MJ17" s="78">
        <f>MH17+MI17</f>
        <v>9401220.6990598086</v>
      </c>
      <c r="MK17" s="78">
        <v>0</v>
      </c>
      <c r="ML17" s="78">
        <f>MJ17+MK17</f>
        <v>9401220.6990598086</v>
      </c>
      <c r="MM17" s="78"/>
      <c r="MN17" s="78">
        <f>ML17+MM17</f>
        <v>9401220.6990598086</v>
      </c>
      <c r="MO17" s="78"/>
      <c r="MP17" s="78">
        <f>MN17+MO17</f>
        <v>9401220.6990598086</v>
      </c>
      <c r="MQ17" s="78"/>
      <c r="MR17" s="78">
        <f>MP17+MQ17</f>
        <v>9401220.6990598086</v>
      </c>
      <c r="MS17" s="78"/>
      <c r="MT17" s="78"/>
      <c r="MU17" s="78"/>
      <c r="MV17" s="78"/>
      <c r="MW17" s="22">
        <f>ROW()</f>
        <v>17</v>
      </c>
      <c r="MX17" s="1569" t="s">
        <v>202</v>
      </c>
      <c r="MZ17" s="714">
        <v>5299162.91</v>
      </c>
      <c r="NA17" s="1711">
        <v>1301961.3655500002</v>
      </c>
      <c r="NB17" s="1711">
        <v>6601124.2755500004</v>
      </c>
      <c r="NC17" s="1731"/>
      <c r="ND17" s="557">
        <f>SUM(NB17:NC17)</f>
        <v>6601124.2755500004</v>
      </c>
      <c r="NE17" s="1731"/>
      <c r="NF17" s="557">
        <f>SUM(ND17:NE17)</f>
        <v>6601124.2755500004</v>
      </c>
      <c r="NG17" s="1731"/>
      <c r="NH17" s="557">
        <f>SUM(NF17:NG17)</f>
        <v>6601124.2755500004</v>
      </c>
      <c r="NI17" s="1731"/>
      <c r="NJ17" s="557">
        <f>SUM(NH17:NI17)</f>
        <v>6601124.2755500004</v>
      </c>
      <c r="NK17" s="1731"/>
      <c r="NL17" s="558"/>
      <c r="NM17" s="1731"/>
      <c r="NN17" s="558">
        <f>SUM(NL17:NM17)</f>
        <v>0</v>
      </c>
      <c r="NO17" s="22">
        <f>ROW()</f>
        <v>17</v>
      </c>
      <c r="NP17" s="28" t="s">
        <v>95</v>
      </c>
      <c r="NR17" s="619"/>
      <c r="NS17" s="619"/>
      <c r="NT17" s="619"/>
      <c r="NU17" s="619"/>
      <c r="NV17" s="619"/>
      <c r="NW17" s="619"/>
      <c r="NX17" s="619">
        <f>'SEF-34 pg 1'!I31</f>
        <v>0</v>
      </c>
      <c r="NY17" s="640">
        <v>0</v>
      </c>
      <c r="NZ17" s="619">
        <f t="shared" si="6"/>
        <v>0</v>
      </c>
      <c r="OA17" s="640">
        <v>0</v>
      </c>
      <c r="OB17" s="619">
        <f t="shared" si="7"/>
        <v>0</v>
      </c>
      <c r="OC17" s="1686"/>
      <c r="OD17" s="1686"/>
      <c r="OE17" s="1686"/>
      <c r="OF17" s="1686"/>
      <c r="OG17" s="482">
        <f>ROW()</f>
        <v>17</v>
      </c>
      <c r="OH17" s="78" t="s">
        <v>225</v>
      </c>
      <c r="OI17" s="78"/>
      <c r="OJ17" s="600"/>
      <c r="OK17" s="600"/>
      <c r="OL17" s="600"/>
      <c r="OM17" s="600"/>
      <c r="ON17" s="600"/>
      <c r="OO17" s="601"/>
      <c r="OP17" s="601"/>
      <c r="OQ17" s="601"/>
      <c r="OR17" s="601"/>
      <c r="OS17" s="601"/>
      <c r="OT17" s="601"/>
      <c r="OU17" s="601"/>
      <c r="OV17" s="601"/>
      <c r="OW17" s="601"/>
      <c r="OX17" s="601"/>
      <c r="OY17" s="22">
        <f>ROW()</f>
        <v>17</v>
      </c>
      <c r="OZ17" s="480" t="s">
        <v>225</v>
      </c>
      <c r="PA17" s="562"/>
      <c r="PB17" s="1730"/>
      <c r="PC17" s="561"/>
      <c r="PD17" s="561"/>
      <c r="PE17" s="561"/>
      <c r="PF17" s="561"/>
      <c r="PG17" s="78"/>
      <c r="PH17" s="78"/>
      <c r="PI17" s="1456"/>
      <c r="PJ17" s="1456"/>
      <c r="PK17" s="1456"/>
      <c r="PL17" s="1456"/>
      <c r="PM17" s="1456"/>
      <c r="PN17" s="1456"/>
      <c r="PO17" s="78"/>
      <c r="PP17" s="78"/>
      <c r="PQ17" s="22">
        <f>ROW()</f>
        <v>17</v>
      </c>
      <c r="PR17" s="1729" t="s">
        <v>969</v>
      </c>
      <c r="PS17" s="562"/>
      <c r="PT17" s="1728">
        <v>5387522.0899999971</v>
      </c>
      <c r="PU17" s="1728">
        <f>PV17-PT17</f>
        <v>338867.23404892068</v>
      </c>
      <c r="PV17" s="1728">
        <v>5726389.3240489177</v>
      </c>
      <c r="PW17" s="1728">
        <f>PX17-PV17</f>
        <v>-10589.577548920177</v>
      </c>
      <c r="PX17" s="1728">
        <v>5715799.7464999976</v>
      </c>
      <c r="PY17" s="651">
        <f>PZ17-PX17</f>
        <v>10589.591500000097</v>
      </c>
      <c r="PZ17" s="651">
        <v>5726389.3379999977</v>
      </c>
      <c r="QA17" s="651">
        <f>QB17-PZ17</f>
        <v>-1729712.4673011312</v>
      </c>
      <c r="QB17" s="651">
        <v>3996676.8706988664</v>
      </c>
      <c r="QC17" s="651">
        <f>QD17-QB17</f>
        <v>-1789107.5335728293</v>
      </c>
      <c r="QD17" s="651">
        <v>2207569.3371260371</v>
      </c>
      <c r="QE17" s="651"/>
      <c r="QF17" s="651"/>
      <c r="QG17" s="651"/>
      <c r="QH17" s="651"/>
      <c r="QJ17" s="1662">
        <f>ROW()</f>
        <v>17</v>
      </c>
      <c r="QK17" s="102" t="s">
        <v>264</v>
      </c>
      <c r="QL17" s="616"/>
      <c r="QM17" s="1050"/>
      <c r="QN17" s="1050"/>
      <c r="QO17" s="607">
        <f>QM17+QN17</f>
        <v>0</v>
      </c>
      <c r="QP17" s="607">
        <v>-4692533.0386116672</v>
      </c>
      <c r="QQ17" s="607">
        <f>QO17+QP17</f>
        <v>-4692533.0386116672</v>
      </c>
      <c r="QR17" s="607">
        <v>-24880223.598138332</v>
      </c>
      <c r="QS17" s="607">
        <f>QQ17+QR17</f>
        <v>-29572756.636749998</v>
      </c>
      <c r="QT17" s="607">
        <v>-7243194.7537397146</v>
      </c>
      <c r="QU17" s="607">
        <f>QS17+QT17</f>
        <v>-36815951.390489712</v>
      </c>
      <c r="QV17" s="607">
        <v>-132706230.10262708</v>
      </c>
      <c r="QW17" s="607">
        <f>QU17+QV17</f>
        <v>-169522181.4931168</v>
      </c>
      <c r="QX17" s="607"/>
      <c r="QY17" s="607"/>
      <c r="QZ17" s="607"/>
      <c r="RA17" s="607"/>
      <c r="RB17" s="394">
        <f>ROW()</f>
        <v>17</v>
      </c>
      <c r="RC17" s="616" t="s">
        <v>866</v>
      </c>
      <c r="RD17" s="616"/>
      <c r="RE17" s="1475"/>
      <c r="RF17" s="1475"/>
      <c r="RG17" s="1475">
        <v>168485125.80511621</v>
      </c>
      <c r="RH17" s="1475">
        <f>RI17-RG17</f>
        <v>609100.87321215868</v>
      </c>
      <c r="RI17" s="653">
        <v>169094226.67832837</v>
      </c>
      <c r="RJ17" s="1475">
        <f>RK17-RI17</f>
        <v>284689.21257165074</v>
      </c>
      <c r="RK17" s="653">
        <v>169378915.89090002</v>
      </c>
      <c r="RL17" s="1475">
        <f>RM17-RK17</f>
        <v>70461019.660000026</v>
      </c>
      <c r="RM17" s="653">
        <v>239839935.55090004</v>
      </c>
      <c r="RN17" s="1475">
        <f>RO17-RM17</f>
        <v>-4411272.8182750046</v>
      </c>
      <c r="RO17" s="653">
        <v>235428662.73262504</v>
      </c>
      <c r="RP17" s="653"/>
      <c r="RQ17" s="653"/>
      <c r="RR17" s="1475"/>
      <c r="RS17" s="653"/>
      <c r="RT17" s="521">
        <f>ROW()</f>
        <v>17</v>
      </c>
      <c r="RU17" s="1480" t="s">
        <v>865</v>
      </c>
      <c r="RV17" s="520"/>
      <c r="RW17" s="606"/>
      <c r="RX17" s="606"/>
      <c r="RY17" s="606"/>
      <c r="RZ17" s="674">
        <v>0</v>
      </c>
      <c r="SA17" s="674">
        <f>RZ17+RY17</f>
        <v>0</v>
      </c>
      <c r="SB17" s="674">
        <v>0</v>
      </c>
      <c r="SC17" s="674">
        <f>SB17+SA17</f>
        <v>0</v>
      </c>
      <c r="SD17" s="674">
        <v>0</v>
      </c>
      <c r="SE17" s="674">
        <f>SD17+SC17</f>
        <v>0</v>
      </c>
      <c r="SF17" s="674">
        <v>0</v>
      </c>
      <c r="SG17" s="674">
        <f>SF17+SE17</f>
        <v>0</v>
      </c>
      <c r="SH17" s="674"/>
      <c r="SI17" s="674"/>
      <c r="SJ17" s="674"/>
      <c r="SK17" s="674"/>
      <c r="SL17" s="82">
        <f>ROW()</f>
        <v>17</v>
      </c>
      <c r="SM17" s="616" t="s">
        <v>865</v>
      </c>
      <c r="SN17" s="1484"/>
      <c r="SO17" s="674"/>
      <c r="SP17" s="674"/>
      <c r="SQ17" s="674"/>
      <c r="SR17" s="674">
        <v>52291.459549999992</v>
      </c>
      <c r="SS17" s="1471">
        <f>SR17</f>
        <v>52291.459549999992</v>
      </c>
      <c r="ST17" s="674">
        <v>1207637.237095</v>
      </c>
      <c r="SU17" s="1471">
        <f>ST17+SS17</f>
        <v>1259928.696645</v>
      </c>
      <c r="SV17" s="1471">
        <v>534246.59817499993</v>
      </c>
      <c r="SW17" s="1471">
        <f>SV17+SU17</f>
        <v>1794175.29482</v>
      </c>
      <c r="SX17" s="1471">
        <v>539806.42563500023</v>
      </c>
      <c r="SY17" s="1471">
        <f>SX17+SW17</f>
        <v>2333981.7204550002</v>
      </c>
      <c r="SZ17" s="1471"/>
      <c r="TA17" s="1471"/>
      <c r="TB17" s="1470"/>
      <c r="TC17" s="1470"/>
      <c r="TD17" s="424"/>
      <c r="TE17" s="82">
        <f>ROW()</f>
        <v>17</v>
      </c>
      <c r="TF17" s="612" t="s">
        <v>229</v>
      </c>
      <c r="TG17" s="613"/>
      <c r="TH17" s="614"/>
      <c r="TI17" s="615"/>
      <c r="TJ17" s="616"/>
      <c r="TK17" s="616"/>
      <c r="TL17" s="616"/>
      <c r="TM17" s="616"/>
      <c r="TN17" s="616"/>
      <c r="TO17" s="616"/>
      <c r="TP17" s="616"/>
      <c r="TQ17" s="616"/>
      <c r="TR17" s="616"/>
      <c r="TS17"/>
      <c r="TT17"/>
      <c r="TU17"/>
      <c r="TV17"/>
      <c r="TW17" s="424"/>
      <c r="TX17" s="82">
        <f>ROW()</f>
        <v>17</v>
      </c>
      <c r="TY17" s="20"/>
      <c r="TZ17" s="20"/>
      <c r="UA17" s="611"/>
      <c r="UB17" s="611"/>
      <c r="UC17" s="611"/>
      <c r="UD17" s="611"/>
      <c r="UE17" s="611"/>
      <c r="UF17" s="611"/>
      <c r="UG17" s="611"/>
      <c r="UH17" s="611"/>
      <c r="UI17" s="611"/>
      <c r="UJ17" s="611"/>
      <c r="UK17" s="611"/>
      <c r="UL17" s="611"/>
      <c r="UM17" s="611"/>
      <c r="UN17" s="611"/>
      <c r="UO17" s="611"/>
      <c r="UQ17" s="521">
        <f>ROW()</f>
        <v>17</v>
      </c>
      <c r="UR17" s="1706"/>
      <c r="US17" s="1706"/>
      <c r="UT17" s="1706"/>
      <c r="UU17" s="1706"/>
      <c r="UV17" s="1706"/>
      <c r="UW17" s="1706"/>
      <c r="UX17" s="1706"/>
      <c r="UY17" s="1706"/>
      <c r="UZ17" s="1706"/>
      <c r="VA17" s="1706"/>
      <c r="VB17" s="1706"/>
      <c r="VC17" s="1706"/>
      <c r="VD17" s="1706"/>
      <c r="VJ17" s="521">
        <f>ROW()</f>
        <v>17</v>
      </c>
      <c r="VK17" s="102"/>
      <c r="VL17" s="102"/>
      <c r="VM17" s="571"/>
      <c r="VN17" s="571"/>
      <c r="VO17" s="1727"/>
      <c r="VP17" s="102"/>
      <c r="VQ17" s="102"/>
      <c r="VR17" s="102"/>
      <c r="VS17" s="102"/>
      <c r="VT17" s="102"/>
      <c r="VU17" s="102"/>
      <c r="VV17" s="102"/>
      <c r="VW17" s="102"/>
      <c r="VY17" s="521">
        <f>ROW()</f>
        <v>17</v>
      </c>
      <c r="VZ17" s="102"/>
      <c r="WN17" s="521">
        <f>ROW()</f>
        <v>17</v>
      </c>
      <c r="WO17" s="102"/>
      <c r="WX17" s="88"/>
      <c r="WY17" s="88"/>
      <c r="WZ17" s="88"/>
      <c r="XA17" s="88"/>
    </row>
    <row r="18" spans="1:625" ht="16.5" thickBot="1" x14ac:dyDescent="0.3">
      <c r="A18" s="22">
        <f>ROW()</f>
        <v>18</v>
      </c>
      <c r="B18" t="s">
        <v>968</v>
      </c>
      <c r="C18" s="1550" t="s">
        <v>876</v>
      </c>
      <c r="D18" s="1392"/>
      <c r="E18" s="1392">
        <v>2964723.5896382895</v>
      </c>
      <c r="F18" s="880"/>
      <c r="G18" s="641"/>
      <c r="H18" s="880"/>
      <c r="I18" s="641"/>
      <c r="J18" s="1052"/>
      <c r="K18" s="641"/>
      <c r="L18" s="641"/>
      <c r="M18" s="641"/>
      <c r="N18" s="619"/>
      <c r="O18" s="619"/>
      <c r="P18" s="619"/>
      <c r="Q18" s="619"/>
      <c r="R18" s="619"/>
      <c r="S18" s="22">
        <f>ROW()</f>
        <v>18</v>
      </c>
      <c r="T18" s="603" t="s">
        <v>967</v>
      </c>
      <c r="U18" s="1627"/>
      <c r="V18" s="668">
        <f t="shared" si="8"/>
        <v>23465708.625276089</v>
      </c>
      <c r="W18" s="74">
        <v>-23465708.625276089</v>
      </c>
      <c r="X18" s="74"/>
      <c r="Y18" s="74"/>
      <c r="Z18" s="74">
        <f t="shared" si="9"/>
        <v>0</v>
      </c>
      <c r="AA18" s="74"/>
      <c r="AB18" s="74">
        <f t="shared" si="10"/>
        <v>0</v>
      </c>
      <c r="AC18" s="74"/>
      <c r="AD18" s="74">
        <f t="shared" si="11"/>
        <v>0</v>
      </c>
      <c r="AE18" s="74"/>
      <c r="AF18" s="74">
        <f t="shared" si="12"/>
        <v>0</v>
      </c>
      <c r="AG18" s="74"/>
      <c r="AH18" s="74"/>
      <c r="AI18" s="74"/>
      <c r="AJ18" s="74"/>
      <c r="AK18" s="22">
        <f>ROW()</f>
        <v>18</v>
      </c>
      <c r="AL18" s="1715" t="s">
        <v>966</v>
      </c>
      <c r="AM18" s="621"/>
      <c r="AN18" s="623">
        <f>AO18</f>
        <v>0.16445568838249408</v>
      </c>
      <c r="AO18" s="623">
        <f>AO20/AO16</f>
        <v>0.16445568838249408</v>
      </c>
      <c r="AP18" s="623">
        <f>AO18</f>
        <v>0.16445568838249408</v>
      </c>
      <c r="AQ18" s="623">
        <f>AQ20/AQ16</f>
        <v>0.43139575372241284</v>
      </c>
      <c r="AR18" s="623">
        <f>AQ18</f>
        <v>0.43139575372241284</v>
      </c>
      <c r="AS18" s="623"/>
      <c r="AT18" s="623"/>
      <c r="AU18" s="623"/>
      <c r="AV18" s="623"/>
      <c r="AW18" s="623"/>
      <c r="AX18" s="623"/>
      <c r="AY18" s="623"/>
      <c r="AZ18" s="623"/>
      <c r="BA18" s="623"/>
      <c r="BB18" s="623"/>
      <c r="BC18" s="22">
        <f>ROW()</f>
        <v>18</v>
      </c>
      <c r="BD18" s="28" t="s">
        <v>269</v>
      </c>
      <c r="BF18" s="1721"/>
      <c r="BG18" s="586">
        <v>-7676440.0734100007</v>
      </c>
      <c r="BH18" s="586">
        <f>SUM(BF18:BG18)</f>
        <v>-7676440.0734100007</v>
      </c>
      <c r="BI18" s="586">
        <v>41986.914588788524</v>
      </c>
      <c r="BJ18" s="586">
        <f>SUM(BH18:BI18)</f>
        <v>-7634453.1588212121</v>
      </c>
      <c r="BK18" s="586">
        <v>339743.54992180225</v>
      </c>
      <c r="BL18" s="586">
        <f>SUM(BJ18:BK18)</f>
        <v>-7294709.6088994099</v>
      </c>
      <c r="BM18" s="586">
        <v>-4189435.3342978889</v>
      </c>
      <c r="BN18" s="586">
        <f>SUM(BL18:BM18)</f>
        <v>-11484144.943197299</v>
      </c>
      <c r="BO18" s="586">
        <v>-133408.29450231604</v>
      </c>
      <c r="BP18" s="586">
        <f>SUM(BN18:BO18)</f>
        <v>-11617553.237699615</v>
      </c>
      <c r="BQ18" s="586"/>
      <c r="BR18" s="586"/>
      <c r="BS18" s="586"/>
      <c r="BT18" s="586"/>
      <c r="BU18" s="22">
        <f>ROW()</f>
        <v>18</v>
      </c>
      <c r="BV18" s="516" t="s">
        <v>550</v>
      </c>
      <c r="BX18" s="624"/>
      <c r="BY18" s="624"/>
      <c r="BZ18" s="624"/>
      <c r="CA18" s="624"/>
      <c r="CB18" s="624"/>
      <c r="CC18" s="624"/>
      <c r="CD18" s="624"/>
      <c r="CE18" s="624"/>
      <c r="CF18" s="624"/>
      <c r="CG18" s="624"/>
      <c r="CH18" s="624"/>
      <c r="CI18" s="624"/>
      <c r="CJ18" s="624"/>
      <c r="CK18" s="624"/>
      <c r="CL18" s="624"/>
      <c r="CM18" s="22">
        <f>ROW()</f>
        <v>18</v>
      </c>
      <c r="CN18" s="482"/>
      <c r="CO18" s="482"/>
      <c r="CP18" s="625"/>
      <c r="CQ18" s="626"/>
      <c r="CR18" s="626"/>
      <c r="CS18" s="626"/>
      <c r="CT18" s="626"/>
      <c r="CU18" s="626"/>
      <c r="CV18" s="626"/>
      <c r="CW18" s="626"/>
      <c r="CX18" s="626"/>
      <c r="CY18" s="626"/>
      <c r="CZ18" s="626"/>
      <c r="DA18" s="626"/>
      <c r="DB18" s="626"/>
      <c r="DC18" s="626"/>
      <c r="DD18" s="626"/>
      <c r="DE18" s="22">
        <f>ROW()</f>
        <v>18</v>
      </c>
      <c r="DF18" s="28" t="s">
        <v>234</v>
      </c>
      <c r="DG18" s="28"/>
      <c r="DH18" s="1726">
        <v>1096830.98857</v>
      </c>
      <c r="DI18" s="1726">
        <v>232169.01142999995</v>
      </c>
      <c r="DJ18" s="1726">
        <f>DH18+DI18</f>
        <v>1329000</v>
      </c>
      <c r="DK18" s="1726"/>
      <c r="DL18" s="1726">
        <f>SUM(DJ18:DK18)</f>
        <v>1329000</v>
      </c>
      <c r="DM18" s="1726"/>
      <c r="DN18" s="1726">
        <f>SUM(DL18:DM18)</f>
        <v>1329000</v>
      </c>
      <c r="DO18" s="1726">
        <v>0</v>
      </c>
      <c r="DP18" s="1726">
        <f>SUM(DN18:DO18)</f>
        <v>1329000</v>
      </c>
      <c r="DQ18" s="1726"/>
      <c r="DR18" s="1726">
        <f>SUM(DP18:DQ18)</f>
        <v>1329000</v>
      </c>
      <c r="DS18" s="1726"/>
      <c r="DT18" s="1726"/>
      <c r="DU18" s="1726"/>
      <c r="DV18" s="1726"/>
      <c r="DW18" s="22">
        <f>ROW()</f>
        <v>18</v>
      </c>
      <c r="DX18" s="541"/>
      <c r="DY18" s="541"/>
      <c r="DZ18" s="78"/>
      <c r="EA18" s="42"/>
      <c r="EB18" s="42"/>
      <c r="EC18" s="42"/>
      <c r="ED18" s="1"/>
      <c r="EE18" s="42"/>
      <c r="EF18" s="1"/>
      <c r="EG18" s="42"/>
      <c r="EH18" s="1"/>
      <c r="EI18" s="42"/>
      <c r="EJ18" s="1"/>
      <c r="EK18" s="1"/>
      <c r="EL18" s="1"/>
      <c r="EM18" s="42"/>
      <c r="EN18" s="1"/>
      <c r="EO18" s="22">
        <f>ROW()</f>
        <v>18</v>
      </c>
      <c r="EP18" s="603" t="s">
        <v>236</v>
      </c>
      <c r="EQ18" s="28"/>
      <c r="ER18" s="630">
        <v>4017464.5898025599</v>
      </c>
      <c r="ES18" s="630">
        <f>ET18-ER18</f>
        <v>-21724.014892320149</v>
      </c>
      <c r="ET18" s="553">
        <v>3995740.5749102398</v>
      </c>
      <c r="EU18" s="630">
        <f>EV18-ET18</f>
        <v>179899.56175775966</v>
      </c>
      <c r="EV18" s="553">
        <v>4175640.1366679994</v>
      </c>
      <c r="EW18" s="630"/>
      <c r="EX18" s="553">
        <f>SUM(EV18:EW18)</f>
        <v>4175640.1366679994</v>
      </c>
      <c r="EY18" s="630"/>
      <c r="EZ18" s="553">
        <f>SUM(EX18:EY18)</f>
        <v>4175640.1366679994</v>
      </c>
      <c r="FA18" s="630"/>
      <c r="FB18" s="553">
        <f>SUM(EZ18:FA18)</f>
        <v>4175640.1366679994</v>
      </c>
      <c r="FC18" s="553"/>
      <c r="FD18" s="553"/>
      <c r="FE18" s="630"/>
      <c r="FF18" s="553"/>
      <c r="FG18" s="22">
        <f>ROW()</f>
        <v>18</v>
      </c>
      <c r="FH18" s="23" t="s">
        <v>237</v>
      </c>
      <c r="FI18" s="21"/>
      <c r="FJ18" s="632">
        <f t="shared" ref="FJ18:FT18" si="26">SUM(FJ16:FJ17)</f>
        <v>445050.02114780352</v>
      </c>
      <c r="FK18" s="632">
        <f t="shared" si="26"/>
        <v>-24042.600429258582</v>
      </c>
      <c r="FL18" s="632">
        <f t="shared" si="26"/>
        <v>421007.42071854492</v>
      </c>
      <c r="FM18" s="632">
        <f t="shared" si="26"/>
        <v>0</v>
      </c>
      <c r="FN18" s="632">
        <f t="shared" si="26"/>
        <v>421007.42071854492</v>
      </c>
      <c r="FO18" s="632">
        <f t="shared" si="26"/>
        <v>0</v>
      </c>
      <c r="FP18" s="632">
        <f t="shared" si="26"/>
        <v>421007.42071854492</v>
      </c>
      <c r="FQ18" s="632">
        <f t="shared" si="26"/>
        <v>0</v>
      </c>
      <c r="FR18" s="632">
        <f t="shared" si="26"/>
        <v>421007.42071854492</v>
      </c>
      <c r="FS18" s="632">
        <f t="shared" si="26"/>
        <v>0</v>
      </c>
      <c r="FT18" s="632">
        <f t="shared" si="26"/>
        <v>421007.42071854492</v>
      </c>
      <c r="FU18" s="632"/>
      <c r="FV18" s="632"/>
      <c r="FW18" s="632"/>
      <c r="FX18" s="632"/>
      <c r="FY18" s="22">
        <f>ROW()</f>
        <v>18</v>
      </c>
      <c r="FZ18" s="1217" t="s">
        <v>964</v>
      </c>
      <c r="GB18" s="42">
        <v>187211.80289040346</v>
      </c>
      <c r="GC18" s="42">
        <v>-58717.905080501165</v>
      </c>
      <c r="GD18" s="42">
        <f t="shared" si="14"/>
        <v>128493.89780990229</v>
      </c>
      <c r="GE18" s="42">
        <v>10088.234782643995</v>
      </c>
      <c r="GF18" s="42">
        <f t="shared" si="15"/>
        <v>138582.13259254629</v>
      </c>
      <c r="GG18" s="42">
        <v>4423.7520945941797</v>
      </c>
      <c r="GH18" s="42">
        <f t="shared" si="16"/>
        <v>143005.88468714047</v>
      </c>
      <c r="GI18" s="42">
        <v>1049.3838695710001</v>
      </c>
      <c r="GJ18" s="42">
        <f t="shared" si="17"/>
        <v>144055.26855671147</v>
      </c>
      <c r="GK18" s="42">
        <v>83.024733155296417</v>
      </c>
      <c r="GL18" s="42">
        <f t="shared" si="18"/>
        <v>144138.29328986676</v>
      </c>
      <c r="GM18" s="42"/>
      <c r="GN18" s="42"/>
      <c r="GO18" s="42"/>
      <c r="GP18" s="42"/>
      <c r="GQ18" s="22">
        <f>ROW()</f>
        <v>18</v>
      </c>
      <c r="GR18" s="20"/>
      <c r="GS18" s="662"/>
      <c r="GT18" s="51"/>
      <c r="GU18" s="51"/>
      <c r="GV18" s="553"/>
      <c r="GW18" s="51"/>
      <c r="GX18" s="553"/>
      <c r="GY18" s="51"/>
      <c r="GZ18" s="553"/>
      <c r="HA18" s="51"/>
      <c r="HB18" s="553"/>
      <c r="HC18" s="51"/>
      <c r="HD18" s="553"/>
      <c r="HE18" s="51"/>
      <c r="HF18" s="553"/>
      <c r="HG18" s="51"/>
      <c r="HH18" s="553"/>
      <c r="HI18" s="22">
        <f>ROW()</f>
        <v>18</v>
      </c>
      <c r="HJ18" s="23" t="s">
        <v>240</v>
      </c>
      <c r="HK18" s="23"/>
      <c r="HL18" s="635">
        <f t="shared" ref="HL18:HV18" si="27">-SUM(HL16:HL17)</f>
        <v>0</v>
      </c>
      <c r="HM18" s="635">
        <f t="shared" si="27"/>
        <v>-30503.742766919091</v>
      </c>
      <c r="HN18" s="635">
        <f t="shared" si="27"/>
        <v>-30503.742766919091</v>
      </c>
      <c r="HO18" s="635">
        <f t="shared" si="27"/>
        <v>0</v>
      </c>
      <c r="HP18" s="635">
        <f t="shared" si="27"/>
        <v>-30503.742766919091</v>
      </c>
      <c r="HQ18" s="635">
        <f t="shared" si="27"/>
        <v>0</v>
      </c>
      <c r="HR18" s="635">
        <f t="shared" si="27"/>
        <v>-30503.742766919091</v>
      </c>
      <c r="HS18" s="635">
        <f t="shared" si="27"/>
        <v>0</v>
      </c>
      <c r="HT18" s="635">
        <f t="shared" si="27"/>
        <v>-30503.742766919091</v>
      </c>
      <c r="HU18" s="635">
        <f t="shared" si="27"/>
        <v>0</v>
      </c>
      <c r="HV18" s="635">
        <f t="shared" si="27"/>
        <v>-30503.742766919091</v>
      </c>
      <c r="HW18" s="635"/>
      <c r="HX18" s="635"/>
      <c r="HY18" s="635"/>
      <c r="HZ18" s="635"/>
      <c r="IA18" s="22">
        <f>ROW()</f>
        <v>18</v>
      </c>
      <c r="IB18" s="28" t="s">
        <v>221</v>
      </c>
      <c r="IC18" s="1193"/>
      <c r="ID18" s="21">
        <f t="shared" ref="ID18:IN18" si="28">SUM(ID16:ID17)</f>
        <v>3838753.1648775996</v>
      </c>
      <c r="IE18" s="21">
        <f t="shared" si="28"/>
        <v>550639.31938240037</v>
      </c>
      <c r="IF18" s="21">
        <f t="shared" si="28"/>
        <v>4389392.4842600003</v>
      </c>
      <c r="IG18" s="21">
        <f t="shared" si="28"/>
        <v>0</v>
      </c>
      <c r="IH18" s="21">
        <f t="shared" si="28"/>
        <v>4389392.4842600003</v>
      </c>
      <c r="II18" s="21">
        <f t="shared" si="28"/>
        <v>0</v>
      </c>
      <c r="IJ18" s="21">
        <f t="shared" si="28"/>
        <v>4389392.4842600003</v>
      </c>
      <c r="IK18" s="21">
        <f t="shared" si="28"/>
        <v>0</v>
      </c>
      <c r="IL18" s="21">
        <f t="shared" si="28"/>
        <v>4389392.4842600003</v>
      </c>
      <c r="IM18" s="21">
        <f t="shared" si="28"/>
        <v>0</v>
      </c>
      <c r="IN18" s="21">
        <f t="shared" si="28"/>
        <v>4389392.4842600003</v>
      </c>
      <c r="IO18" s="21"/>
      <c r="IP18" s="21"/>
      <c r="IQ18" s="21"/>
      <c r="IR18" s="21"/>
      <c r="IS18" s="22">
        <f>ROW()</f>
        <v>18</v>
      </c>
      <c r="IT18" s="722" t="s">
        <v>965</v>
      </c>
      <c r="IV18" s="646">
        <v>923313.29999999981</v>
      </c>
      <c r="IW18" s="646">
        <v>984867.936666667</v>
      </c>
      <c r="IX18" s="646">
        <f>SUM(IV18:IW18)</f>
        <v>1908181.2366666668</v>
      </c>
      <c r="IY18" s="646"/>
      <c r="IZ18" s="646">
        <f>SUM(IX18:IY18)</f>
        <v>1908181.2366666668</v>
      </c>
      <c r="JA18" s="646"/>
      <c r="JB18" s="646">
        <f>SUM(IZ18:JA18)</f>
        <v>1908181.2366666668</v>
      </c>
      <c r="JC18" s="42"/>
      <c r="JD18" s="42">
        <f>SUM(JB18:JC18)</f>
        <v>1908181.2366666668</v>
      </c>
      <c r="JE18" s="42">
        <v>-1877404.0336111076</v>
      </c>
      <c r="JF18" s="42">
        <f>SUM(JD18:JE18)</f>
        <v>30777.203055559192</v>
      </c>
      <c r="JG18" s="42"/>
      <c r="JH18" s="42"/>
      <c r="JI18" s="42"/>
      <c r="JJ18" s="42"/>
      <c r="JK18" s="22">
        <f>ROW()</f>
        <v>18</v>
      </c>
      <c r="JL18" s="480" t="s">
        <v>243</v>
      </c>
      <c r="JM18" s="28"/>
      <c r="JN18" s="538">
        <f>JN16</f>
        <v>100836.95771756492</v>
      </c>
      <c r="JO18" s="538">
        <f>JO16</f>
        <v>-16580.372792206952</v>
      </c>
      <c r="JP18" s="538">
        <f>SUM(JP16:JP17)</f>
        <v>84256.584925357965</v>
      </c>
      <c r="JQ18" s="538">
        <f>SUM(JQ16:JQ17)</f>
        <v>0</v>
      </c>
      <c r="JR18" s="538">
        <f>SUM(JR16:JR17)</f>
        <v>84256.584925357965</v>
      </c>
      <c r="JS18" s="538"/>
      <c r="JT18" s="538">
        <f>SUM(JT16:JT17)</f>
        <v>84256.584925357965</v>
      </c>
      <c r="JU18" s="538"/>
      <c r="JV18" s="538">
        <f>SUM(JV16:JV17)</f>
        <v>84256.584925357965</v>
      </c>
      <c r="JW18" s="538"/>
      <c r="JX18" s="538">
        <f>SUM(JX16:JX17)</f>
        <v>84256.584925357965</v>
      </c>
      <c r="JY18" s="538"/>
      <c r="JZ18" s="538"/>
      <c r="KA18" s="538"/>
      <c r="KB18" s="538"/>
      <c r="KC18" s="22">
        <f>ROW()</f>
        <v>18</v>
      </c>
      <c r="KD18" s="28"/>
      <c r="KE18" s="28"/>
      <c r="KF18" s="547"/>
      <c r="KG18" s="547"/>
      <c r="KH18" s="547"/>
      <c r="KI18" s="547"/>
      <c r="KJ18" s="547"/>
      <c r="KK18" s="547"/>
      <c r="KL18" s="547"/>
      <c r="KM18" s="547"/>
      <c r="KN18" s="547"/>
      <c r="KO18" s="547"/>
      <c r="KP18" s="547"/>
      <c r="KQ18" s="547"/>
      <c r="KR18" s="547"/>
      <c r="KS18" s="547"/>
      <c r="KT18" s="547"/>
      <c r="KU18" s="22">
        <f>ROW()</f>
        <v>18</v>
      </c>
      <c r="KV18" s="73" t="s">
        <v>964</v>
      </c>
      <c r="KW18" s="957"/>
      <c r="KX18" s="74">
        <v>2705621.8334966791</v>
      </c>
      <c r="KY18" s="74">
        <v>188279.92490260024</v>
      </c>
      <c r="KZ18" s="637">
        <f t="shared" si="20"/>
        <v>2893901.7583992793</v>
      </c>
      <c r="LA18" s="74">
        <v>0</v>
      </c>
      <c r="LB18" s="637">
        <f t="shared" si="21"/>
        <v>2893901.7583992793</v>
      </c>
      <c r="LC18" s="74">
        <v>0</v>
      </c>
      <c r="LD18" s="637">
        <f t="shared" si="22"/>
        <v>2893901.7583992793</v>
      </c>
      <c r="LE18" s="74">
        <v>0</v>
      </c>
      <c r="LF18" s="637">
        <f t="shared" si="23"/>
        <v>2893901.7583992793</v>
      </c>
      <c r="LG18" s="74">
        <v>0</v>
      </c>
      <c r="LH18" s="637">
        <f t="shared" si="24"/>
        <v>2893901.7583992793</v>
      </c>
      <c r="LI18" s="74">
        <v>0</v>
      </c>
      <c r="LJ18" s="637"/>
      <c r="LK18" s="74">
        <v>0</v>
      </c>
      <c r="LL18" s="637">
        <f t="shared" si="25"/>
        <v>0</v>
      </c>
      <c r="LM18" s="22">
        <f>ROW()</f>
        <v>18</v>
      </c>
      <c r="LN18" s="23" t="s">
        <v>147</v>
      </c>
      <c r="LP18" s="1712">
        <v>18088017.405854166</v>
      </c>
      <c r="LQ18" s="1712">
        <v>-1424002.515854165</v>
      </c>
      <c r="LR18" s="78">
        <f t="shared" si="0"/>
        <v>16664014.890000001</v>
      </c>
      <c r="LS18" s="50"/>
      <c r="LT18" s="78">
        <f t="shared" si="1"/>
        <v>16664014.890000001</v>
      </c>
      <c r="LU18" s="50"/>
      <c r="LV18" s="78">
        <f t="shared" si="2"/>
        <v>16664014.890000001</v>
      </c>
      <c r="LW18" s="50"/>
      <c r="LX18" s="78">
        <f t="shared" si="3"/>
        <v>16664014.890000001</v>
      </c>
      <c r="LY18" s="50"/>
      <c r="LZ18" s="78">
        <f t="shared" si="4"/>
        <v>16664014.890000001</v>
      </c>
      <c r="MA18" s="78"/>
      <c r="MB18" s="78"/>
      <c r="MC18" s="50"/>
      <c r="MD18" s="78">
        <f t="shared" si="5"/>
        <v>0</v>
      </c>
      <c r="ME18" s="22">
        <f>ROW()</f>
        <v>18</v>
      </c>
      <c r="MF18" s="555" t="s">
        <v>244</v>
      </c>
      <c r="MH18" s="78">
        <v>3825645.8</v>
      </c>
      <c r="MI18" s="78">
        <v>-83398.040000000503</v>
      </c>
      <c r="MJ18" s="78">
        <f>MH18+MI18</f>
        <v>3742247.7599999993</v>
      </c>
      <c r="MK18" s="78">
        <v>0</v>
      </c>
      <c r="ML18" s="78">
        <f>MJ18+MK18</f>
        <v>3742247.7599999993</v>
      </c>
      <c r="MM18" s="78"/>
      <c r="MN18" s="78">
        <f>ML18+MM18</f>
        <v>3742247.7599999993</v>
      </c>
      <c r="MO18" s="78"/>
      <c r="MP18" s="78">
        <f>MN18+MO18</f>
        <v>3742247.7599999993</v>
      </c>
      <c r="MQ18" s="78"/>
      <c r="MR18" s="78">
        <f>MP18+MQ18</f>
        <v>3742247.7599999993</v>
      </c>
      <c r="MS18" s="78"/>
      <c r="MT18" s="78"/>
      <c r="MU18" s="78"/>
      <c r="MV18" s="78"/>
      <c r="MW18" s="22">
        <f>ROW()</f>
        <v>18</v>
      </c>
      <c r="MX18" s="1569" t="s">
        <v>223</v>
      </c>
      <c r="MZ18" s="312">
        <f t="shared" ref="MZ18:NN18" si="29">SUM(MZ17)</f>
        <v>5299162.91</v>
      </c>
      <c r="NA18" s="1725">
        <f t="shared" si="29"/>
        <v>1301961.3655500002</v>
      </c>
      <c r="NB18" s="1725">
        <f t="shared" si="29"/>
        <v>6601124.2755500004</v>
      </c>
      <c r="NC18" s="51">
        <f t="shared" si="29"/>
        <v>0</v>
      </c>
      <c r="ND18" s="95">
        <f t="shared" si="29"/>
        <v>6601124.2755500004</v>
      </c>
      <c r="NE18" s="51">
        <f t="shared" si="29"/>
        <v>0</v>
      </c>
      <c r="NF18" s="95">
        <f t="shared" si="29"/>
        <v>6601124.2755500004</v>
      </c>
      <c r="NG18" s="51">
        <f t="shared" si="29"/>
        <v>0</v>
      </c>
      <c r="NH18" s="95">
        <f t="shared" si="29"/>
        <v>6601124.2755500004</v>
      </c>
      <c r="NI18" s="51">
        <f t="shared" si="29"/>
        <v>0</v>
      </c>
      <c r="NJ18" s="95">
        <f t="shared" si="29"/>
        <v>6601124.2755500004</v>
      </c>
      <c r="NK18" s="51">
        <f t="shared" si="29"/>
        <v>0</v>
      </c>
      <c r="NL18" s="51">
        <f t="shared" si="29"/>
        <v>0</v>
      </c>
      <c r="NM18" s="51">
        <f t="shared" si="29"/>
        <v>0</v>
      </c>
      <c r="NN18" s="51">
        <f t="shared" si="29"/>
        <v>0</v>
      </c>
      <c r="NO18" s="22">
        <f>ROW()</f>
        <v>18</v>
      </c>
      <c r="NP18" s="28" t="s">
        <v>96</v>
      </c>
      <c r="NR18" s="619"/>
      <c r="NS18" s="619"/>
      <c r="NT18" s="619"/>
      <c r="NU18" s="619"/>
      <c r="NV18" s="619"/>
      <c r="NW18" s="619"/>
      <c r="NX18" s="619">
        <f>'SEF-34 pg 1'!I32</f>
        <v>64491416.290939584</v>
      </c>
      <c r="NY18" s="640">
        <v>26412043.254408054</v>
      </c>
      <c r="NZ18" s="619">
        <f t="shared" si="6"/>
        <v>90903459.545347631</v>
      </c>
      <c r="OA18" s="640">
        <v>-834660.83353322744</v>
      </c>
      <c r="OB18" s="619">
        <f t="shared" si="7"/>
        <v>90068798.711814404</v>
      </c>
      <c r="OC18" s="1686"/>
      <c r="OD18" s="1686"/>
      <c r="OE18" s="1686"/>
      <c r="OF18" s="1686"/>
      <c r="OG18" s="482">
        <f>ROW()</f>
        <v>18</v>
      </c>
      <c r="OH18" s="78" t="s">
        <v>963</v>
      </c>
      <c r="OI18" s="78"/>
      <c r="OJ18" s="67">
        <v>40083865.243799999</v>
      </c>
      <c r="OK18" s="67">
        <f>OL18-OJ18</f>
        <v>0</v>
      </c>
      <c r="OL18" s="67">
        <v>40083865.243799999</v>
      </c>
      <c r="OM18" s="67">
        <f>ON18-OL18</f>
        <v>-40083865.243799999</v>
      </c>
      <c r="ON18" s="67">
        <v>0</v>
      </c>
      <c r="OO18" s="642"/>
      <c r="OP18" s="67"/>
      <c r="OQ18" s="642"/>
      <c r="OR18" s="642"/>
      <c r="OS18" s="642"/>
      <c r="OT18" s="643"/>
      <c r="OU18" s="643"/>
      <c r="OV18" s="643"/>
      <c r="OW18" s="643"/>
      <c r="OX18" s="643"/>
      <c r="OY18" s="22">
        <f>ROW()</f>
        <v>18</v>
      </c>
      <c r="OZ18" s="644" t="s">
        <v>926</v>
      </c>
      <c r="PA18" s="562"/>
      <c r="PB18" s="624">
        <v>95418214.399999991</v>
      </c>
      <c r="PC18" s="624">
        <v>-61435470.444692738</v>
      </c>
      <c r="PD18" s="624">
        <f>SUM(PB18:PC18)</f>
        <v>33982743.955307253</v>
      </c>
      <c r="PE18" s="624">
        <v>61435470.444692738</v>
      </c>
      <c r="PF18" s="1451">
        <f>SUM(PD18:PE18)</f>
        <v>95418214.399999991</v>
      </c>
      <c r="PG18" s="624">
        <v>0</v>
      </c>
      <c r="PH18" s="1473">
        <f>SUM(PF18:PG18)</f>
        <v>95418214.399999991</v>
      </c>
      <c r="PI18" s="624">
        <v>0</v>
      </c>
      <c r="PJ18" s="1442">
        <f>SUM(PH18:PI18)</f>
        <v>95418214.399999991</v>
      </c>
      <c r="PK18" s="624">
        <v>0</v>
      </c>
      <c r="PL18" s="1442">
        <f>SUM(PJ18:PK18)</f>
        <v>95418214.399999991</v>
      </c>
      <c r="PM18" s="1444"/>
      <c r="PN18" s="1444"/>
      <c r="PO18" s="624"/>
      <c r="PP18" s="624"/>
      <c r="PQ18" s="22">
        <f>ROW()</f>
        <v>18</v>
      </c>
      <c r="PR18" s="1709" t="s">
        <v>247</v>
      </c>
      <c r="PS18" s="644"/>
      <c r="PT18" s="624">
        <f t="shared" ref="PT18:QH18" si="30">PT17</f>
        <v>5387522.0899999971</v>
      </c>
      <c r="PU18" s="624">
        <f t="shared" si="30"/>
        <v>338867.23404892068</v>
      </c>
      <c r="PV18" s="624">
        <f t="shared" si="30"/>
        <v>5726389.3240489177</v>
      </c>
      <c r="PW18" s="624">
        <f t="shared" si="30"/>
        <v>-10589.577548920177</v>
      </c>
      <c r="PX18" s="624">
        <f t="shared" si="30"/>
        <v>5715799.7464999976</v>
      </c>
      <c r="PY18" s="624">
        <f t="shared" si="30"/>
        <v>10589.591500000097</v>
      </c>
      <c r="PZ18" s="624">
        <f t="shared" si="30"/>
        <v>5726389.3379999977</v>
      </c>
      <c r="QA18" s="624">
        <f t="shared" si="30"/>
        <v>-1729712.4673011312</v>
      </c>
      <c r="QB18" s="624">
        <f t="shared" si="30"/>
        <v>3996676.8706988664</v>
      </c>
      <c r="QC18" s="624">
        <f t="shared" si="30"/>
        <v>-1789107.5335728293</v>
      </c>
      <c r="QD18" s="624">
        <f t="shared" si="30"/>
        <v>2207569.3371260371</v>
      </c>
      <c r="QE18" s="624">
        <f t="shared" si="30"/>
        <v>0</v>
      </c>
      <c r="QF18" s="624">
        <f t="shared" si="30"/>
        <v>0</v>
      </c>
      <c r="QG18" s="624">
        <f t="shared" si="30"/>
        <v>0</v>
      </c>
      <c r="QH18" s="624">
        <f t="shared" si="30"/>
        <v>0</v>
      </c>
      <c r="QJ18" s="1662">
        <f>ROW()</f>
        <v>18</v>
      </c>
      <c r="QK18" s="102" t="s">
        <v>279</v>
      </c>
      <c r="QL18" s="616"/>
      <c r="QM18" s="1724"/>
      <c r="QN18" s="1724"/>
      <c r="QO18" s="607">
        <f>QM18+QN18</f>
        <v>0</v>
      </c>
      <c r="QP18" s="607">
        <v>4692533.0386116672</v>
      </c>
      <c r="QQ18" s="607">
        <f>QO18+QP18</f>
        <v>4692533.0386116672</v>
      </c>
      <c r="QR18" s="607">
        <v>24880223.598138332</v>
      </c>
      <c r="QS18" s="607">
        <f>QQ18+QR18</f>
        <v>29572756.636749998</v>
      </c>
      <c r="QT18" s="607">
        <v>7243194.7537397146</v>
      </c>
      <c r="QU18" s="607">
        <f>QS18+QT18</f>
        <v>36815951.390489712</v>
      </c>
      <c r="QV18" s="607">
        <v>132706230.10262708</v>
      </c>
      <c r="QW18" s="607">
        <f>QU18+QV18</f>
        <v>169522181.4931168</v>
      </c>
      <c r="QX18" s="607"/>
      <c r="QY18" s="607"/>
      <c r="QZ18" s="607"/>
      <c r="RA18" s="607"/>
      <c r="RB18" s="394">
        <f>ROW()</f>
        <v>18</v>
      </c>
      <c r="RC18" s="616" t="s">
        <v>865</v>
      </c>
      <c r="RD18" s="616"/>
      <c r="RE18" s="1490"/>
      <c r="RF18" s="1490"/>
      <c r="RG18" s="1471">
        <v>0</v>
      </c>
      <c r="RH18" s="1471">
        <f>RI18-RG18</f>
        <v>0</v>
      </c>
      <c r="RI18" s="674">
        <v>0</v>
      </c>
      <c r="RJ18" s="1471">
        <f>RK18-RI18</f>
        <v>0</v>
      </c>
      <c r="RK18" s="674">
        <v>0</v>
      </c>
      <c r="RL18" s="1471">
        <f>RM18-RK18</f>
        <v>0</v>
      </c>
      <c r="RM18" s="674">
        <v>0</v>
      </c>
      <c r="RN18" s="1471">
        <f>RO18-RM18</f>
        <v>0</v>
      </c>
      <c r="RO18" s="674">
        <v>0</v>
      </c>
      <c r="RP18" s="674"/>
      <c r="RQ18" s="674"/>
      <c r="RR18" s="1471"/>
      <c r="RS18" s="674"/>
      <c r="RT18" s="521">
        <f>ROW()</f>
        <v>18</v>
      </c>
      <c r="RU18" s="1480" t="s">
        <v>864</v>
      </c>
      <c r="RV18" s="520"/>
      <c r="RW18" s="606"/>
      <c r="RX18" s="606"/>
      <c r="RY18" s="606"/>
      <c r="RZ18" s="674">
        <v>0</v>
      </c>
      <c r="SA18" s="674">
        <f>RZ18+RY18</f>
        <v>0</v>
      </c>
      <c r="SB18" s="674">
        <v>0</v>
      </c>
      <c r="SC18" s="674">
        <f>SB18+SA18</f>
        <v>0</v>
      </c>
      <c r="SD18" s="674">
        <v>0</v>
      </c>
      <c r="SE18" s="674">
        <f>SD18+SC18</f>
        <v>0</v>
      </c>
      <c r="SF18" s="674">
        <v>0</v>
      </c>
      <c r="SG18" s="674">
        <f>SF18+SE18</f>
        <v>0</v>
      </c>
      <c r="SH18" s="674"/>
      <c r="SI18" s="674"/>
      <c r="SJ18" s="674"/>
      <c r="SK18" s="674"/>
      <c r="SL18" s="82">
        <f>ROW()</f>
        <v>18</v>
      </c>
      <c r="SM18" s="616" t="s">
        <v>864</v>
      </c>
      <c r="SN18" s="1484"/>
      <c r="SO18" s="674"/>
      <c r="SP18" s="674"/>
      <c r="SQ18" s="674"/>
      <c r="SR18" s="674">
        <v>12.2</v>
      </c>
      <c r="SS18" s="1471">
        <f>SR18</f>
        <v>12.2</v>
      </c>
      <c r="ST18" s="674">
        <v>35045.53</v>
      </c>
      <c r="SU18" s="1471">
        <f>ST18+SS18</f>
        <v>35057.729999999996</v>
      </c>
      <c r="SV18" s="1471">
        <v>872281.72</v>
      </c>
      <c r="SW18" s="1471">
        <f>SV18+SU18</f>
        <v>907339.45</v>
      </c>
      <c r="SX18" s="1471">
        <v>305957.90000000014</v>
      </c>
      <c r="SY18" s="1471">
        <f>SX18+SW18</f>
        <v>1213297.3500000001</v>
      </c>
      <c r="SZ18" s="1471"/>
      <c r="TA18" s="1471"/>
      <c r="TB18" s="1470"/>
      <c r="TC18" s="1470"/>
      <c r="TD18" s="424"/>
      <c r="TE18" s="82">
        <f>ROW()</f>
        <v>18</v>
      </c>
      <c r="TF18" s="349" t="s">
        <v>249</v>
      </c>
      <c r="TG18" s="652"/>
      <c r="TH18" s="995">
        <v>87457</v>
      </c>
      <c r="TI18" s="1723">
        <v>-87457</v>
      </c>
      <c r="TJ18" s="995">
        <f>TH18+TI18</f>
        <v>0</v>
      </c>
      <c r="TK18" s="995"/>
      <c r="TL18" s="995">
        <f>TJ18+TK18</f>
        <v>0</v>
      </c>
      <c r="TM18" s="995"/>
      <c r="TN18" s="995">
        <f>TL18+TM18</f>
        <v>0</v>
      </c>
      <c r="TO18" s="995">
        <v>62000</v>
      </c>
      <c r="TP18" s="995">
        <f>TN18+TO18</f>
        <v>62000</v>
      </c>
      <c r="TQ18" s="995"/>
      <c r="TR18" s="995">
        <f>TP18+TQ18</f>
        <v>62000</v>
      </c>
      <c r="TS18"/>
      <c r="TT18"/>
      <c r="TU18"/>
      <c r="TV18"/>
      <c r="TW18" s="424"/>
      <c r="TX18" s="82">
        <f>ROW()</f>
        <v>18</v>
      </c>
      <c r="TY18" s="17"/>
      <c r="TZ18" s="17"/>
      <c r="UA18" s="651">
        <v>0</v>
      </c>
      <c r="UB18" s="651">
        <f>-UA18</f>
        <v>0</v>
      </c>
      <c r="UC18" s="651"/>
      <c r="UD18" s="651"/>
      <c r="UE18" s="651"/>
      <c r="UF18" s="651"/>
      <c r="UG18" s="651"/>
      <c r="UH18" s="651"/>
      <c r="UI18" s="651"/>
      <c r="UJ18" s="651"/>
      <c r="UK18" s="651"/>
      <c r="UL18" s="651"/>
      <c r="UM18" s="651"/>
      <c r="UN18" s="651"/>
      <c r="UO18" s="651"/>
      <c r="UQ18" s="521">
        <f>ROW()</f>
        <v>18</v>
      </c>
      <c r="UR18" s="1706"/>
      <c r="US18" s="1706"/>
      <c r="UT18" s="1706"/>
      <c r="UU18" s="1706"/>
      <c r="UV18" s="1706"/>
      <c r="UW18" s="1706"/>
      <c r="UX18" s="1706"/>
      <c r="UY18" s="1706"/>
      <c r="UZ18" s="1706"/>
      <c r="VA18" s="1706"/>
      <c r="VB18" s="1706"/>
      <c r="VC18" s="1706"/>
      <c r="VD18" s="1706"/>
      <c r="VJ18" s="521">
        <f>ROW()</f>
        <v>18</v>
      </c>
      <c r="VK18" s="102"/>
      <c r="VL18" s="102"/>
      <c r="VM18" s="102"/>
      <c r="VN18" s="102"/>
      <c r="VO18" s="102"/>
      <c r="VP18" s="102"/>
      <c r="VQ18" s="102"/>
      <c r="VR18" s="102"/>
      <c r="VS18" s="102"/>
      <c r="VT18" s="102"/>
      <c r="VU18" s="102"/>
      <c r="VV18" s="102"/>
      <c r="VW18" s="102"/>
      <c r="VY18" s="521">
        <f>ROW()</f>
        <v>18</v>
      </c>
      <c r="VZ18" s="655" t="s">
        <v>251</v>
      </c>
      <c r="WB18" s="1226">
        <f t="shared" ref="WB18:WL18" si="31">SUM(WB16:WB16)</f>
        <v>0</v>
      </c>
      <c r="WC18" s="1226">
        <f t="shared" si="31"/>
        <v>0</v>
      </c>
      <c r="WD18" s="1226">
        <f t="shared" si="31"/>
        <v>0</v>
      </c>
      <c r="WE18" s="1226">
        <f t="shared" si="31"/>
        <v>0</v>
      </c>
      <c r="WF18" s="1226">
        <f t="shared" si="31"/>
        <v>0</v>
      </c>
      <c r="WG18" s="1226">
        <f t="shared" si="31"/>
        <v>0</v>
      </c>
      <c r="WH18" s="1226">
        <f t="shared" si="31"/>
        <v>0</v>
      </c>
      <c r="WI18" s="1226">
        <f t="shared" si="31"/>
        <v>403758.88800190948</v>
      </c>
      <c r="WJ18" s="1226">
        <f t="shared" si="31"/>
        <v>403758.88800190948</v>
      </c>
      <c r="WK18" s="1226">
        <f t="shared" si="31"/>
        <v>14131.56108006672</v>
      </c>
      <c r="WL18" s="1226">
        <f t="shared" si="31"/>
        <v>417890.4490819762</v>
      </c>
      <c r="WN18" s="521">
        <f>ROW()</f>
        <v>18</v>
      </c>
      <c r="WO18" s="655" t="s">
        <v>251</v>
      </c>
      <c r="WQ18" s="1226">
        <f t="shared" ref="WQ18:XA18" si="32">SUM(WQ16:WQ16)</f>
        <v>0</v>
      </c>
      <c r="WR18" s="1226">
        <f t="shared" si="32"/>
        <v>0</v>
      </c>
      <c r="WS18" s="1226">
        <f t="shared" si="32"/>
        <v>0</v>
      </c>
      <c r="WT18" s="1226">
        <f t="shared" si="32"/>
        <v>0</v>
      </c>
      <c r="WU18" s="1226">
        <f t="shared" si="32"/>
        <v>0</v>
      </c>
      <c r="WV18" s="1226">
        <f t="shared" si="32"/>
        <v>0</v>
      </c>
      <c r="WW18" s="1226">
        <f t="shared" si="32"/>
        <v>0</v>
      </c>
      <c r="WX18" s="696">
        <f t="shared" si="32"/>
        <v>598854.31389000011</v>
      </c>
      <c r="WY18" s="696">
        <f t="shared" si="32"/>
        <v>598854.31389000011</v>
      </c>
      <c r="WZ18" s="696">
        <f t="shared" si="32"/>
        <v>655030.41650999989</v>
      </c>
      <c r="XA18" s="696">
        <f t="shared" si="32"/>
        <v>1253884.7304</v>
      </c>
    </row>
    <row r="19" spans="1:625" ht="16.5" thickTop="1" x14ac:dyDescent="0.25">
      <c r="A19" s="22">
        <f>ROW()</f>
        <v>19</v>
      </c>
      <c r="B19" t="s">
        <v>962</v>
      </c>
      <c r="C19" s="1550" t="s">
        <v>876</v>
      </c>
      <c r="D19" s="880"/>
      <c r="E19" s="880">
        <v>822488.22146331484</v>
      </c>
      <c r="F19" s="880"/>
      <c r="G19" s="1052"/>
      <c r="H19" s="880"/>
      <c r="I19" s="641"/>
      <c r="J19" s="1052"/>
      <c r="K19" s="641"/>
      <c r="L19" s="641"/>
      <c r="M19" s="641"/>
      <c r="N19" s="619"/>
      <c r="O19" s="619"/>
      <c r="P19" s="619"/>
      <c r="Q19" s="619"/>
      <c r="R19" s="619"/>
      <c r="S19" s="22">
        <f>ROW()</f>
        <v>19</v>
      </c>
      <c r="T19" s="603" t="s">
        <v>231</v>
      </c>
      <c r="U19" s="1627"/>
      <c r="V19" s="668">
        <f t="shared" si="8"/>
        <v>21824180.434144862</v>
      </c>
      <c r="W19" s="74">
        <v>-21824180.434144862</v>
      </c>
      <c r="X19" s="74"/>
      <c r="Y19" s="74"/>
      <c r="Z19" s="74">
        <f t="shared" si="9"/>
        <v>0</v>
      </c>
      <c r="AA19" s="74"/>
      <c r="AB19" s="74">
        <f t="shared" si="10"/>
        <v>0</v>
      </c>
      <c r="AC19" s="74"/>
      <c r="AD19" s="74">
        <f t="shared" si="11"/>
        <v>0</v>
      </c>
      <c r="AE19" s="74"/>
      <c r="AF19" s="74">
        <f t="shared" si="12"/>
        <v>0</v>
      </c>
      <c r="AG19" s="74"/>
      <c r="AH19" s="74"/>
      <c r="AI19" s="74"/>
      <c r="AJ19" s="74"/>
      <c r="AK19" s="22">
        <f>ROW()</f>
        <v>19</v>
      </c>
      <c r="AL19" s="1722"/>
      <c r="AM19" s="621"/>
      <c r="AN19" s="658"/>
      <c r="AO19" s="658"/>
      <c r="AP19" s="658"/>
      <c r="AQ19" s="658"/>
      <c r="AR19" s="658"/>
      <c r="AS19" s="658"/>
      <c r="AT19" s="658"/>
      <c r="AU19" s="658"/>
      <c r="AV19" s="658"/>
      <c r="AW19" s="658"/>
      <c r="AX19" s="658"/>
      <c r="AY19" s="658"/>
      <c r="AZ19" s="658"/>
      <c r="BA19" s="658"/>
      <c r="BB19" s="658"/>
      <c r="BC19" s="22">
        <f>ROW()</f>
        <v>19</v>
      </c>
      <c r="BD19" s="28" t="s">
        <v>285</v>
      </c>
      <c r="BE19" s="535"/>
      <c r="BF19" s="1721"/>
      <c r="BG19" s="586">
        <v>879452.51849000109</v>
      </c>
      <c r="BH19" s="586">
        <f>SUM(BF19:BG19)</f>
        <v>879452.51849000109</v>
      </c>
      <c r="BI19" s="586">
        <v>-175091.66624726076</v>
      </c>
      <c r="BJ19" s="586">
        <f>SUM(BH19:BI19)</f>
        <v>704360.85224274034</v>
      </c>
      <c r="BK19" s="586">
        <v>9071.2021713596769</v>
      </c>
      <c r="BL19" s="586">
        <f>SUM(BJ19:BK19)</f>
        <v>713432.05441410001</v>
      </c>
      <c r="BM19" s="586">
        <v>205149.93095352</v>
      </c>
      <c r="BN19" s="586">
        <f>SUM(BL19:BM19)</f>
        <v>918581.98536762001</v>
      </c>
      <c r="BO19" s="586">
        <v>-51190.302097619977</v>
      </c>
      <c r="BP19" s="586">
        <f>SUM(BN19:BO19)</f>
        <v>867391.68327000004</v>
      </c>
      <c r="BQ19" s="586"/>
      <c r="BR19" s="586"/>
      <c r="BS19" s="586"/>
      <c r="BT19" s="586"/>
      <c r="BU19" s="22">
        <f>ROW()</f>
        <v>19</v>
      </c>
      <c r="BV19" s="516"/>
      <c r="BX19" s="317"/>
      <c r="BY19" s="317"/>
      <c r="CA19" s="317"/>
      <c r="CC19" s="317"/>
      <c r="CD19" s="1"/>
      <c r="CE19" s="317"/>
      <c r="CF19" s="1"/>
      <c r="CG19" s="317"/>
      <c r="CH19" s="1"/>
      <c r="CI19" s="1"/>
      <c r="CJ19" s="1"/>
      <c r="CK19" s="317"/>
      <c r="CL19" s="1"/>
      <c r="CM19" s="22">
        <f>ROW()</f>
        <v>19</v>
      </c>
      <c r="CN19" s="679" t="s">
        <v>259</v>
      </c>
      <c r="CO19" s="610">
        <v>0.21</v>
      </c>
      <c r="CP19" s="573">
        <f>-$CO$19*CP17</f>
        <v>-858177.19347359997</v>
      </c>
      <c r="CQ19" s="573">
        <f>-$CO$19*CQ17</f>
        <v>56631.197287767813</v>
      </c>
      <c r="CR19" s="573">
        <f>SUM(CP19:CQ19)</f>
        <v>-801545.99618583219</v>
      </c>
      <c r="CS19" s="573"/>
      <c r="CT19" s="573">
        <f>SUM(CR19:CS19)</f>
        <v>-801545.99618583219</v>
      </c>
      <c r="CU19" s="573">
        <f>-$CO$19*CU17</f>
        <v>0</v>
      </c>
      <c r="CV19" s="573">
        <f>SUM(CT19:CU19)</f>
        <v>-801545.99618583219</v>
      </c>
      <c r="CW19" s="573"/>
      <c r="CX19" s="573">
        <f>SUM(CV19:CW19)</f>
        <v>-801545.99618583219</v>
      </c>
      <c r="CY19" s="573"/>
      <c r="CZ19" s="573">
        <f>SUM(CX19:CY19)</f>
        <v>-801545.99618583219</v>
      </c>
      <c r="DA19" s="573"/>
      <c r="DB19" s="573"/>
      <c r="DC19" s="573"/>
      <c r="DD19" s="573"/>
      <c r="DE19" s="22">
        <f>ROW()</f>
        <v>19</v>
      </c>
      <c r="DF19" s="28" t="s">
        <v>312</v>
      </c>
      <c r="DG19" s="28"/>
      <c r="DH19" s="1720">
        <f t="shared" ref="DH19:DR19" si="33">SUM(DH18)</f>
        <v>1096830.98857</v>
      </c>
      <c r="DI19" s="1720">
        <f t="shared" si="33"/>
        <v>232169.01142999995</v>
      </c>
      <c r="DJ19" s="1720">
        <f t="shared" si="33"/>
        <v>1329000</v>
      </c>
      <c r="DK19" s="1720">
        <f t="shared" si="33"/>
        <v>0</v>
      </c>
      <c r="DL19" s="1720">
        <f t="shared" si="33"/>
        <v>1329000</v>
      </c>
      <c r="DM19" s="1720">
        <f t="shared" si="33"/>
        <v>0</v>
      </c>
      <c r="DN19" s="1720">
        <f t="shared" si="33"/>
        <v>1329000</v>
      </c>
      <c r="DO19" s="1720">
        <f t="shared" si="33"/>
        <v>0</v>
      </c>
      <c r="DP19" s="1720">
        <f t="shared" si="33"/>
        <v>1329000</v>
      </c>
      <c r="DQ19" s="1720">
        <f t="shared" si="33"/>
        <v>0</v>
      </c>
      <c r="DR19" s="1720">
        <f t="shared" si="33"/>
        <v>1329000</v>
      </c>
      <c r="DS19" s="1720"/>
      <c r="DT19" s="1720"/>
      <c r="DU19" s="1720"/>
      <c r="DV19" s="1720"/>
      <c r="DW19" s="22">
        <f>ROW()</f>
        <v>19</v>
      </c>
      <c r="DX19" s="4" t="s">
        <v>261</v>
      </c>
      <c r="DY19" s="4"/>
      <c r="DZ19" s="63">
        <f>DZ17</f>
        <v>51494328.660999998</v>
      </c>
      <c r="EA19" s="63">
        <f>EA17</f>
        <v>858.74887999892235</v>
      </c>
      <c r="EB19" s="42">
        <f>DZ19+EA19</f>
        <v>51495187.409879997</v>
      </c>
      <c r="EC19" s="63">
        <f>EC17</f>
        <v>0</v>
      </c>
      <c r="ED19" s="63">
        <f>EB19+EC19</f>
        <v>51495187.409879997</v>
      </c>
      <c r="EE19" s="63">
        <f>EE17</f>
        <v>0</v>
      </c>
      <c r="EF19" s="63">
        <f>ED19+EE19</f>
        <v>51495187.409879997</v>
      </c>
      <c r="EG19" s="63">
        <f>EG17</f>
        <v>0</v>
      </c>
      <c r="EH19" s="63">
        <f>EF19+EG19</f>
        <v>51495187.409879997</v>
      </c>
      <c r="EI19" s="63">
        <f>EI17</f>
        <v>0</v>
      </c>
      <c r="EJ19" s="63">
        <f>EH19+EI19</f>
        <v>51495187.409879997</v>
      </c>
      <c r="EK19" s="63"/>
      <c r="EL19" s="63"/>
      <c r="EM19" s="63"/>
      <c r="EN19" s="63"/>
      <c r="EO19" s="22">
        <f>ROW()</f>
        <v>19</v>
      </c>
      <c r="EP19" s="29" t="s">
        <v>255</v>
      </c>
      <c r="EQ19" s="23"/>
      <c r="ER19" s="660">
        <f t="shared" ref="ER19:FB19" si="34">SUM(ER17:ER18)</f>
        <v>13147193.508851998</v>
      </c>
      <c r="ES19" s="660">
        <f t="shared" si="34"/>
        <v>-37119.480891997926</v>
      </c>
      <c r="ET19" s="660">
        <f t="shared" si="34"/>
        <v>13110074.027960001</v>
      </c>
      <c r="EU19" s="660">
        <f t="shared" si="34"/>
        <v>553275.28453599988</v>
      </c>
      <c r="EV19" s="660">
        <f t="shared" si="34"/>
        <v>13663349.312495999</v>
      </c>
      <c r="EW19" s="660">
        <f t="shared" si="34"/>
        <v>0</v>
      </c>
      <c r="EX19" s="660">
        <f t="shared" si="34"/>
        <v>13663349.312495999</v>
      </c>
      <c r="EY19" s="660">
        <f t="shared" si="34"/>
        <v>0</v>
      </c>
      <c r="EZ19" s="660">
        <f t="shared" si="34"/>
        <v>13663349.312495999</v>
      </c>
      <c r="FA19" s="660">
        <f t="shared" si="34"/>
        <v>0</v>
      </c>
      <c r="FB19" s="660">
        <f t="shared" si="34"/>
        <v>13663349.312495999</v>
      </c>
      <c r="FC19" s="660"/>
      <c r="FD19" s="660"/>
      <c r="FE19" s="660"/>
      <c r="FF19" s="660"/>
      <c r="FG19" s="22">
        <f>ROW()</f>
        <v>19</v>
      </c>
      <c r="FH19" s="661"/>
      <c r="FI19" s="661"/>
      <c r="FJ19" s="591"/>
      <c r="FK19" s="591"/>
      <c r="FM19" s="591"/>
      <c r="FN19" s="668"/>
      <c r="FO19" s="591"/>
      <c r="FP19" s="668"/>
      <c r="FQ19" s="591"/>
      <c r="FR19" s="668"/>
      <c r="FS19" s="591"/>
      <c r="FT19" s="668"/>
      <c r="FU19" s="668"/>
      <c r="FV19" s="668"/>
      <c r="FW19" s="591"/>
      <c r="FX19" s="668"/>
      <c r="FY19" s="22">
        <f>ROW()</f>
        <v>19</v>
      </c>
      <c r="FZ19" s="1217" t="s">
        <v>960</v>
      </c>
      <c r="GB19" s="42">
        <v>126770.87291707248</v>
      </c>
      <c r="GC19" s="42">
        <v>-41245.378408091419</v>
      </c>
      <c r="GD19" s="42">
        <f t="shared" si="14"/>
        <v>85525.494508981064</v>
      </c>
      <c r="GE19" s="42">
        <v>6714.7256267747725</v>
      </c>
      <c r="GF19" s="42">
        <f t="shared" si="15"/>
        <v>92240.220135755837</v>
      </c>
      <c r="GG19" s="42">
        <v>2944.447883704488</v>
      </c>
      <c r="GH19" s="42">
        <f t="shared" si="16"/>
        <v>95184.668019460325</v>
      </c>
      <c r="GI19" s="42">
        <v>698.46954528211791</v>
      </c>
      <c r="GJ19" s="42">
        <f t="shared" si="17"/>
        <v>95883.137564742443</v>
      </c>
      <c r="GK19" s="42">
        <v>55.261234039979172</v>
      </c>
      <c r="GL19" s="42">
        <f t="shared" si="18"/>
        <v>95938.398798782422</v>
      </c>
      <c r="GM19" s="42"/>
      <c r="GN19" s="42"/>
      <c r="GO19" s="42"/>
      <c r="GP19" s="42"/>
      <c r="GQ19" s="22">
        <f>ROW()</f>
        <v>19</v>
      </c>
      <c r="GR19" s="594" t="s">
        <v>273</v>
      </c>
      <c r="GS19" s="680"/>
      <c r="HI19" s="30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22">
        <f>ROW()</f>
        <v>19</v>
      </c>
      <c r="IB19" s="28"/>
      <c r="IC19" s="23"/>
      <c r="ID19" s="513"/>
      <c r="IE19" s="1719"/>
      <c r="IF19" s="1718"/>
      <c r="IG19" s="1601"/>
      <c r="IH19" s="1601"/>
      <c r="II19" s="1601"/>
      <c r="IJ19" s="1601"/>
      <c r="IK19" s="1601"/>
      <c r="IL19" s="1601"/>
      <c r="IM19" s="1601"/>
      <c r="IN19" s="1601"/>
      <c r="IO19" s="1601"/>
      <c r="IP19" s="1601"/>
      <c r="IQ19" s="1601"/>
      <c r="IR19" s="1601"/>
      <c r="IS19" s="22">
        <f>ROW()</f>
        <v>19</v>
      </c>
      <c r="IT19" s="29" t="s">
        <v>961</v>
      </c>
      <c r="IU19" s="29"/>
      <c r="IV19" s="663">
        <f t="shared" ref="IV19:JF19" si="35">SUM(IV17:IV18)</f>
        <v>923313.29999999981</v>
      </c>
      <c r="IW19" s="663">
        <f t="shared" si="35"/>
        <v>984867.936666667</v>
      </c>
      <c r="IX19" s="663">
        <f t="shared" si="35"/>
        <v>1908181.2366666668</v>
      </c>
      <c r="IY19" s="663">
        <f t="shared" si="35"/>
        <v>0</v>
      </c>
      <c r="IZ19" s="663">
        <f t="shared" si="35"/>
        <v>1908181.2366666668</v>
      </c>
      <c r="JA19" s="663">
        <f t="shared" si="35"/>
        <v>0</v>
      </c>
      <c r="JB19" s="663">
        <f t="shared" si="35"/>
        <v>1908181.2366666668</v>
      </c>
      <c r="JC19" s="663">
        <f t="shared" si="35"/>
        <v>0</v>
      </c>
      <c r="JD19" s="663">
        <f t="shared" si="35"/>
        <v>1908181.2366666668</v>
      </c>
      <c r="JE19" s="663">
        <f t="shared" si="35"/>
        <v>-1877404.0336111076</v>
      </c>
      <c r="JF19" s="663">
        <f t="shared" si="35"/>
        <v>30777.203055559192</v>
      </c>
      <c r="JG19" s="663"/>
      <c r="JH19" s="663"/>
      <c r="JI19" s="663"/>
      <c r="JJ19" s="663"/>
      <c r="JK19" s="22">
        <f>ROW()</f>
        <v>19</v>
      </c>
      <c r="JL19" s="480"/>
      <c r="JM19" s="28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2">
        <f>ROW()</f>
        <v>19</v>
      </c>
      <c r="KD19" s="28" t="s">
        <v>259</v>
      </c>
      <c r="KE19" s="56">
        <v>0.21</v>
      </c>
      <c r="KF19" s="630">
        <f t="shared" ref="KF19:KP19" si="36">-KF17*$KE$19</f>
        <v>-188250.5997131881</v>
      </c>
      <c r="KG19" s="630">
        <f t="shared" si="36"/>
        <v>-296974.67703329492</v>
      </c>
      <c r="KH19" s="630">
        <f t="shared" si="36"/>
        <v>-485225.276746483</v>
      </c>
      <c r="KI19" s="630">
        <f t="shared" si="36"/>
        <v>0</v>
      </c>
      <c r="KJ19" s="630">
        <f t="shared" si="36"/>
        <v>-485225.276746483</v>
      </c>
      <c r="KK19" s="630">
        <f t="shared" si="36"/>
        <v>0</v>
      </c>
      <c r="KL19" s="630">
        <f t="shared" si="36"/>
        <v>-485225.276746483</v>
      </c>
      <c r="KM19" s="630">
        <f t="shared" si="36"/>
        <v>0</v>
      </c>
      <c r="KN19" s="630">
        <f t="shared" si="36"/>
        <v>-485225.276746483</v>
      </c>
      <c r="KO19" s="630">
        <f t="shared" si="36"/>
        <v>0</v>
      </c>
      <c r="KP19" s="630">
        <f t="shared" si="36"/>
        <v>-485225.276746483</v>
      </c>
      <c r="KQ19" s="630"/>
      <c r="KR19" s="630"/>
      <c r="KS19" s="630"/>
      <c r="KT19" s="630"/>
      <c r="KU19" s="22">
        <f>ROW()</f>
        <v>19</v>
      </c>
      <c r="KV19" s="73" t="s">
        <v>960</v>
      </c>
      <c r="KW19" s="957"/>
      <c r="KX19" s="74">
        <v>1832097.7839766676</v>
      </c>
      <c r="KY19" s="74">
        <v>94027.874643797753</v>
      </c>
      <c r="KZ19" s="637">
        <f t="shared" si="20"/>
        <v>1926125.6586204653</v>
      </c>
      <c r="LA19" s="74">
        <v>0</v>
      </c>
      <c r="LB19" s="637">
        <f t="shared" si="21"/>
        <v>1926125.6586204653</v>
      </c>
      <c r="LC19" s="74">
        <v>0</v>
      </c>
      <c r="LD19" s="637">
        <f t="shared" si="22"/>
        <v>1926125.6586204653</v>
      </c>
      <c r="LE19" s="74">
        <v>0</v>
      </c>
      <c r="LF19" s="637">
        <f t="shared" si="23"/>
        <v>1926125.6586204653</v>
      </c>
      <c r="LG19" s="74">
        <v>0</v>
      </c>
      <c r="LH19" s="637">
        <f t="shared" si="24"/>
        <v>1926125.6586204653</v>
      </c>
      <c r="LI19" s="74">
        <v>0</v>
      </c>
      <c r="LJ19" s="637"/>
      <c r="LK19" s="74">
        <v>0</v>
      </c>
      <c r="LL19" s="637">
        <f t="shared" si="25"/>
        <v>0</v>
      </c>
      <c r="LM19" s="22">
        <f>ROW()</f>
        <v>19</v>
      </c>
      <c r="LN19" s="23" t="s">
        <v>148</v>
      </c>
      <c r="LP19" s="1712">
        <v>-602543825.29567158</v>
      </c>
      <c r="LQ19" s="1712">
        <v>6893324.6005116701</v>
      </c>
      <c r="LR19" s="78">
        <f t="shared" si="0"/>
        <v>-595650500.69515991</v>
      </c>
      <c r="LS19" s="50"/>
      <c r="LT19" s="78">
        <f t="shared" si="1"/>
        <v>-595650500.69515991</v>
      </c>
      <c r="LU19" s="50"/>
      <c r="LV19" s="78">
        <f t="shared" si="2"/>
        <v>-595650500.69515991</v>
      </c>
      <c r="LW19" s="50"/>
      <c r="LX19" s="78">
        <f t="shared" si="3"/>
        <v>-595650500.69515991</v>
      </c>
      <c r="LY19" s="50"/>
      <c r="LZ19" s="78">
        <f t="shared" si="4"/>
        <v>-595650500.69515991</v>
      </c>
      <c r="MA19" s="78"/>
      <c r="MB19" s="78"/>
      <c r="MC19" s="50"/>
      <c r="MD19" s="78">
        <f t="shared" si="5"/>
        <v>0</v>
      </c>
      <c r="ME19" s="22">
        <f>ROW()</f>
        <v>19</v>
      </c>
      <c r="MF19" s="555" t="s">
        <v>260</v>
      </c>
      <c r="MH19" s="78">
        <v>25270966.879579999</v>
      </c>
      <c r="MI19" s="78">
        <v>-3708141.4102255031</v>
      </c>
      <c r="MJ19" s="78">
        <f>MH19+MI19</f>
        <v>21562825.469354495</v>
      </c>
      <c r="MK19" s="78">
        <v>0</v>
      </c>
      <c r="ML19" s="78">
        <f>MJ19+MK19</f>
        <v>21562825.469354495</v>
      </c>
      <c r="MM19" s="78"/>
      <c r="MN19" s="78">
        <f>ML19+MM19</f>
        <v>21562825.469354495</v>
      </c>
      <c r="MO19" s="78"/>
      <c r="MP19" s="78">
        <f>MN19+MO19</f>
        <v>21562825.469354495</v>
      </c>
      <c r="MQ19" s="78"/>
      <c r="MR19" s="78">
        <f>MP19+MQ19</f>
        <v>21562825.469354495</v>
      </c>
      <c r="MS19" s="78"/>
      <c r="MT19" s="78"/>
      <c r="MU19" s="78"/>
      <c r="MV19" s="78"/>
      <c r="MW19" s="22">
        <f>ROW()</f>
        <v>19</v>
      </c>
      <c r="MX19" s="1569"/>
      <c r="MZ19" s="102"/>
      <c r="NA19" s="102"/>
      <c r="NB19" s="102"/>
      <c r="NC19" s="78"/>
      <c r="ND19" s="78"/>
      <c r="NE19" s="78"/>
      <c r="NF19" s="78"/>
      <c r="NG19" s="78"/>
      <c r="NH19" s="78"/>
      <c r="NI19" s="78"/>
      <c r="NJ19" s="78"/>
      <c r="NK19" s="78"/>
      <c r="NL19" s="78"/>
      <c r="NM19" s="78"/>
      <c r="NN19" s="78"/>
      <c r="NO19" s="22">
        <f>ROW()</f>
        <v>19</v>
      </c>
      <c r="NP19" s="28" t="s">
        <v>97</v>
      </c>
      <c r="NR19" s="619"/>
      <c r="NS19" s="619"/>
      <c r="NT19" s="619"/>
      <c r="NU19" s="619"/>
      <c r="NV19" s="619"/>
      <c r="NW19" s="619"/>
      <c r="NX19" s="747">
        <f>'SEF-34 pg 1'!I33</f>
        <v>23470838.900347147</v>
      </c>
      <c r="NY19" s="640">
        <v>-7167323.3995859586</v>
      </c>
      <c r="NZ19" s="747">
        <f t="shared" si="6"/>
        <v>16303515.500761189</v>
      </c>
      <c r="OA19" s="640">
        <v>-1383595.037042575</v>
      </c>
      <c r="OB19" s="747">
        <f t="shared" si="7"/>
        <v>14919920.463718614</v>
      </c>
      <c r="OC19" s="1686"/>
      <c r="OD19" s="1686"/>
      <c r="OE19" s="1686"/>
      <c r="OF19" s="1686"/>
      <c r="OG19" s="482">
        <f>ROW()</f>
        <v>19</v>
      </c>
      <c r="OH19" s="78" t="s">
        <v>959</v>
      </c>
      <c r="OI19" s="78"/>
      <c r="OJ19" s="647">
        <v>-2672926.9994000001</v>
      </c>
      <c r="OK19" s="647">
        <f>OL19-OJ19</f>
        <v>0</v>
      </c>
      <c r="OL19" s="647">
        <v>-2672926.9994000001</v>
      </c>
      <c r="OM19" s="647">
        <f>ON19-OL19</f>
        <v>2672926.9994000001</v>
      </c>
      <c r="ON19" s="647">
        <v>0</v>
      </c>
      <c r="OO19" s="664"/>
      <c r="OP19" s="664"/>
      <c r="OQ19" s="664"/>
      <c r="OR19" s="664"/>
      <c r="OS19" s="664"/>
      <c r="OT19" s="665"/>
      <c r="OU19" s="665"/>
      <c r="OV19" s="665"/>
      <c r="OW19" s="665"/>
      <c r="OX19" s="665"/>
      <c r="OY19" s="22">
        <f>ROW()</f>
        <v>19</v>
      </c>
      <c r="OZ19" s="644" t="s">
        <v>923</v>
      </c>
      <c r="PA19" s="562"/>
      <c r="PB19" s="63">
        <v>21401759.16719</v>
      </c>
      <c r="PC19" s="63">
        <v>-13779624.268260602</v>
      </c>
      <c r="PD19" s="63">
        <f>SUM(PB19:PC19)</f>
        <v>7622134.8989293985</v>
      </c>
      <c r="PE19" s="63">
        <v>13779624.268260602</v>
      </c>
      <c r="PF19" s="1451">
        <f>SUM(PD19:PE19)</f>
        <v>21401759.16719</v>
      </c>
      <c r="PG19" s="63">
        <v>0</v>
      </c>
      <c r="PH19" s="1473">
        <f>SUM(PF19:PG19)</f>
        <v>21401759.16719</v>
      </c>
      <c r="PI19" s="63">
        <v>0</v>
      </c>
      <c r="PJ19" s="1438">
        <f>SUM(PH19:PI19)</f>
        <v>21401759.16719</v>
      </c>
      <c r="PK19" s="63">
        <v>0</v>
      </c>
      <c r="PL19" s="1438">
        <f>SUM(PJ19:PK19)</f>
        <v>21401759.16719</v>
      </c>
      <c r="PM19" s="1444"/>
      <c r="PN19" s="1444"/>
      <c r="PO19" s="63"/>
      <c r="PP19" s="63"/>
      <c r="PQ19" s="22">
        <f>ROW()</f>
        <v>19</v>
      </c>
      <c r="PR19" s="1717"/>
      <c r="PS19" s="644"/>
      <c r="PT19" s="63">
        <v>0</v>
      </c>
      <c r="PU19" s="63">
        <v>0</v>
      </c>
      <c r="PV19" s="63">
        <f>SUM(PT19:PU19)</f>
        <v>0</v>
      </c>
      <c r="PW19" s="63"/>
      <c r="PX19" s="63">
        <f>SUM(PV19:PW19)</f>
        <v>0</v>
      </c>
      <c r="PY19" s="78"/>
      <c r="PZ19" s="78"/>
      <c r="QA19" s="78"/>
      <c r="QB19" s="78"/>
      <c r="QC19" s="78"/>
      <c r="QD19" s="78"/>
      <c r="QE19" s="78"/>
      <c r="QF19" s="78"/>
      <c r="QG19" s="78"/>
      <c r="QH19" s="78"/>
      <c r="QJ19" s="1662">
        <f>ROW()</f>
        <v>19</v>
      </c>
      <c r="QK19" s="520" t="s">
        <v>295</v>
      </c>
      <c r="QL19" s="616"/>
      <c r="QM19" s="709">
        <f t="shared" ref="QM19:RA19" si="37">QM17+QM18</f>
        <v>0</v>
      </c>
      <c r="QN19" s="709">
        <f t="shared" si="37"/>
        <v>0</v>
      </c>
      <c r="QO19" s="709">
        <f t="shared" si="37"/>
        <v>0</v>
      </c>
      <c r="QP19" s="709">
        <f t="shared" si="37"/>
        <v>0</v>
      </c>
      <c r="QQ19" s="709">
        <f t="shared" si="37"/>
        <v>0</v>
      </c>
      <c r="QR19" s="709">
        <f t="shared" si="37"/>
        <v>0</v>
      </c>
      <c r="QS19" s="709">
        <f t="shared" si="37"/>
        <v>0</v>
      </c>
      <c r="QT19" s="709">
        <f t="shared" si="37"/>
        <v>0</v>
      </c>
      <c r="QU19" s="709">
        <f t="shared" si="37"/>
        <v>0</v>
      </c>
      <c r="QV19" s="709">
        <f t="shared" si="37"/>
        <v>0</v>
      </c>
      <c r="QW19" s="709">
        <f t="shared" si="37"/>
        <v>0</v>
      </c>
      <c r="QX19" s="709">
        <f t="shared" si="37"/>
        <v>0</v>
      </c>
      <c r="QY19" s="709">
        <f t="shared" si="37"/>
        <v>0</v>
      </c>
      <c r="QZ19" s="709">
        <f t="shared" si="37"/>
        <v>0</v>
      </c>
      <c r="RA19" s="709">
        <f t="shared" si="37"/>
        <v>0</v>
      </c>
      <c r="RB19" s="394">
        <f>ROW()</f>
        <v>19</v>
      </c>
      <c r="RC19" s="616" t="s">
        <v>864</v>
      </c>
      <c r="RD19" s="616"/>
      <c r="RE19" s="1490"/>
      <c r="RF19" s="1490"/>
      <c r="RG19" s="1471">
        <v>25305073.229354497</v>
      </c>
      <c r="RH19" s="1471">
        <f>RI19-RG19</f>
        <v>-231352.7985272482</v>
      </c>
      <c r="RI19" s="674">
        <v>25073720.430827249</v>
      </c>
      <c r="RJ19" s="1471">
        <f>RK19-RI19</f>
        <v>-2253078.2972623855</v>
      </c>
      <c r="RK19" s="674">
        <v>22820642.133564863</v>
      </c>
      <c r="RL19" s="1471">
        <f>RM19-RK19</f>
        <v>-3062806.8819949329</v>
      </c>
      <c r="RM19" s="674">
        <v>19757835.25156993</v>
      </c>
      <c r="RN19" s="1471">
        <f>RO19-RM19</f>
        <v>-4608053.669219967</v>
      </c>
      <c r="RO19" s="674">
        <v>15149781.582349963</v>
      </c>
      <c r="RP19" s="674"/>
      <c r="RQ19" s="674"/>
      <c r="RR19" s="1471"/>
      <c r="RS19" s="674"/>
      <c r="RT19" s="521">
        <f>ROW()</f>
        <v>19</v>
      </c>
      <c r="RU19" s="1480" t="s">
        <v>863</v>
      </c>
      <c r="RV19" s="520"/>
      <c r="RW19" s="669"/>
      <c r="RX19" s="669"/>
      <c r="RY19" s="669"/>
      <c r="RZ19" s="693">
        <v>0</v>
      </c>
      <c r="SA19" s="693">
        <f>RZ19+RY19</f>
        <v>0</v>
      </c>
      <c r="SB19" s="693">
        <v>0</v>
      </c>
      <c r="SC19" s="693">
        <f>SB19+SA19</f>
        <v>0</v>
      </c>
      <c r="SD19" s="693">
        <v>0</v>
      </c>
      <c r="SE19" s="693">
        <f>SD19+SC19</f>
        <v>0</v>
      </c>
      <c r="SF19" s="693">
        <v>0</v>
      </c>
      <c r="SG19" s="693">
        <f>SF19+SE19</f>
        <v>0</v>
      </c>
      <c r="SH19" s="693"/>
      <c r="SI19" s="693"/>
      <c r="SJ19" s="693"/>
      <c r="SK19" s="693"/>
      <c r="SL19" s="82">
        <f>ROW()</f>
        <v>19</v>
      </c>
      <c r="SM19" s="616" t="s">
        <v>863</v>
      </c>
      <c r="SN19" s="1484"/>
      <c r="SO19" s="693"/>
      <c r="SP19" s="693"/>
      <c r="SQ19" s="693"/>
      <c r="SR19" s="693">
        <v>185854.02726</v>
      </c>
      <c r="SS19" s="1469">
        <f>SR19</f>
        <v>185854.02726</v>
      </c>
      <c r="ST19" s="693">
        <v>2468673.2750599999</v>
      </c>
      <c r="SU19" s="1469">
        <f>ST19+SS19</f>
        <v>2654527.3023199998</v>
      </c>
      <c r="SV19" s="1469">
        <v>1579752.9608850004</v>
      </c>
      <c r="SW19" s="1469">
        <f>SV19+SU19</f>
        <v>4234280.2632050002</v>
      </c>
      <c r="SX19" s="1469">
        <v>3370457.4456249988</v>
      </c>
      <c r="SY19" s="1469">
        <f>SX19+SW19</f>
        <v>7604737.708829999</v>
      </c>
      <c r="SZ19" s="1469"/>
      <c r="TA19" s="1469"/>
      <c r="TB19" s="1468"/>
      <c r="TC19" s="1468"/>
      <c r="TD19" s="424"/>
      <c r="TE19" s="82">
        <f>ROW()</f>
        <v>19</v>
      </c>
      <c r="TF19" s="349"/>
      <c r="TG19" s="652"/>
      <c r="TH19" s="1716"/>
      <c r="TI19" s="1716"/>
      <c r="TJ19" s="995"/>
      <c r="TK19" s="995"/>
      <c r="TL19" s="995"/>
      <c r="TM19" s="995"/>
      <c r="TN19" s="995"/>
      <c r="TO19" s="995"/>
      <c r="TP19" s="995"/>
      <c r="TQ19" s="995"/>
      <c r="TR19" s="995"/>
      <c r="TS19"/>
      <c r="TT19"/>
      <c r="TU19"/>
      <c r="TV19"/>
      <c r="TW19" s="424"/>
      <c r="TX19" s="82">
        <f>ROW()</f>
        <v>19</v>
      </c>
      <c r="TY19" s="477" t="s">
        <v>265</v>
      </c>
      <c r="UA19" s="576">
        <f>SUM(UA17:UA18)</f>
        <v>0</v>
      </c>
      <c r="UB19" s="576">
        <f>SUM(UB17:UB18)</f>
        <v>0</v>
      </c>
      <c r="UQ19" s="521">
        <f>ROW()</f>
        <v>19</v>
      </c>
      <c r="UR19" s="1706"/>
      <c r="US19" s="1706"/>
      <c r="UT19" s="1706"/>
      <c r="UU19" s="1706"/>
      <c r="UV19" s="1706"/>
      <c r="UW19" s="1706"/>
      <c r="UX19" s="1706"/>
      <c r="UY19" s="1706"/>
      <c r="UZ19" s="1706"/>
      <c r="VA19" s="1706"/>
      <c r="VB19" s="1706"/>
      <c r="VC19" s="1706"/>
      <c r="VD19" s="1706"/>
      <c r="VJ19" s="521">
        <f>ROW()</f>
        <v>19</v>
      </c>
      <c r="VK19" s="522"/>
      <c r="VM19" s="102"/>
      <c r="VN19" s="102"/>
      <c r="VO19" s="102"/>
      <c r="VP19" s="102"/>
      <c r="VQ19" s="102"/>
      <c r="VR19" s="102"/>
      <c r="VS19" s="102"/>
      <c r="VT19" s="102"/>
      <c r="VU19" s="102"/>
      <c r="VV19" s="102"/>
      <c r="VW19" s="102"/>
      <c r="VY19" s="521">
        <f>ROW()</f>
        <v>19</v>
      </c>
      <c r="VZ19" s="655"/>
      <c r="WB19" s="675"/>
      <c r="WC19" s="675"/>
      <c r="WD19" s="675"/>
      <c r="WE19" s="675"/>
      <c r="WF19" s="675"/>
      <c r="WG19" s="675"/>
      <c r="WH19" s="675"/>
      <c r="WI19" s="675"/>
      <c r="WJ19" s="675"/>
      <c r="WK19" s="675"/>
      <c r="WL19" s="675"/>
      <c r="WN19" s="521">
        <f>ROW()</f>
        <v>19</v>
      </c>
      <c r="WO19" s="655"/>
      <c r="WQ19" s="675"/>
      <c r="WR19" s="675"/>
      <c r="WS19" s="675"/>
      <c r="WT19" s="675"/>
      <c r="WU19" s="675"/>
      <c r="WV19" s="675"/>
      <c r="WW19" s="675"/>
      <c r="WX19" s="676"/>
      <c r="WY19" s="676"/>
      <c r="WZ19" s="676"/>
      <c r="XA19" s="676"/>
    </row>
    <row r="20" spans="1:625" ht="16.5" thickBot="1" x14ac:dyDescent="0.3">
      <c r="A20" s="22">
        <f>ROW()</f>
        <v>20</v>
      </c>
      <c r="B20" t="s">
        <v>958</v>
      </c>
      <c r="C20" s="1550" t="s">
        <v>876</v>
      </c>
      <c r="D20" s="1392"/>
      <c r="E20" s="1392">
        <v>-1560436.0505579826</v>
      </c>
      <c r="F20" s="880"/>
      <c r="G20" s="641"/>
      <c r="H20" s="880"/>
      <c r="I20" s="641"/>
      <c r="J20" s="1052"/>
      <c r="K20" s="641"/>
      <c r="L20" s="641"/>
      <c r="M20" s="641"/>
      <c r="N20" s="747"/>
      <c r="O20" s="747"/>
      <c r="P20" s="747"/>
      <c r="Q20" s="747"/>
      <c r="R20" s="747"/>
      <c r="S20" s="22">
        <f>ROW()</f>
        <v>20</v>
      </c>
      <c r="T20" s="603" t="s">
        <v>957</v>
      </c>
      <c r="U20" s="1627"/>
      <c r="V20" s="668">
        <f t="shared" si="8"/>
        <v>567469958.16891921</v>
      </c>
      <c r="W20" s="74">
        <v>-567469958.16891921</v>
      </c>
      <c r="X20" s="74"/>
      <c r="Y20" s="74"/>
      <c r="Z20" s="74">
        <f t="shared" si="9"/>
        <v>0</v>
      </c>
      <c r="AA20" s="74"/>
      <c r="AB20" s="74">
        <f t="shared" si="10"/>
        <v>0</v>
      </c>
      <c r="AC20" s="74"/>
      <c r="AD20" s="74">
        <f t="shared" si="11"/>
        <v>0</v>
      </c>
      <c r="AE20" s="74"/>
      <c r="AF20" s="74">
        <f t="shared" si="12"/>
        <v>0</v>
      </c>
      <c r="AG20" s="74"/>
      <c r="AH20" s="74"/>
      <c r="AI20" s="74"/>
      <c r="AJ20" s="74"/>
      <c r="AK20" s="22">
        <f>ROW()</f>
        <v>20</v>
      </c>
      <c r="AL20" s="1715" t="s">
        <v>956</v>
      </c>
      <c r="AM20" s="621"/>
      <c r="AN20" s="51">
        <f>AN16*AN18</f>
        <v>40339022.755145013</v>
      </c>
      <c r="AO20" s="51">
        <v>-480316.00516370451</v>
      </c>
      <c r="AP20" s="51">
        <f>AP16*AP18</f>
        <v>39858706.749981306</v>
      </c>
      <c r="AQ20" s="51">
        <v>-23455855.920842838</v>
      </c>
      <c r="AR20" s="51">
        <f>AR16*AR18</f>
        <v>81100435.259652242</v>
      </c>
      <c r="AS20" s="51"/>
      <c r="AT20" s="51"/>
      <c r="AU20" s="538"/>
      <c r="AV20" s="538"/>
      <c r="AW20" s="538"/>
      <c r="AX20" s="51"/>
      <c r="AY20" s="51"/>
      <c r="AZ20" s="51"/>
      <c r="BA20" s="51"/>
      <c r="BB20" s="538"/>
      <c r="BC20" s="22">
        <f>ROW()</f>
        <v>20</v>
      </c>
      <c r="BD20" s="28" t="s">
        <v>301</v>
      </c>
      <c r="BE20" s="535"/>
      <c r="BF20" s="1705">
        <f t="shared" ref="BF20:BP20" si="38">SUM(BF16:BF19)</f>
        <v>37650420.160000011</v>
      </c>
      <c r="BG20" s="1705">
        <f t="shared" si="38"/>
        <v>2391601.7753268979</v>
      </c>
      <c r="BH20" s="1705">
        <f t="shared" si="38"/>
        <v>40042021.935326904</v>
      </c>
      <c r="BI20" s="1705">
        <f t="shared" si="38"/>
        <v>-133104.75165847223</v>
      </c>
      <c r="BJ20" s="660">
        <f t="shared" si="38"/>
        <v>39908917.183668435</v>
      </c>
      <c r="BK20" s="1705">
        <f t="shared" si="38"/>
        <v>348814.75209316192</v>
      </c>
      <c r="BL20" s="660">
        <f t="shared" si="38"/>
        <v>40257731.935761601</v>
      </c>
      <c r="BM20" s="1705">
        <f t="shared" si="38"/>
        <v>-3984285.403344369</v>
      </c>
      <c r="BN20" s="660">
        <f t="shared" si="38"/>
        <v>36273446.53241723</v>
      </c>
      <c r="BO20" s="1705">
        <f t="shared" si="38"/>
        <v>-184598.59659993602</v>
      </c>
      <c r="BP20" s="660">
        <f t="shared" si="38"/>
        <v>36088847.935817294</v>
      </c>
      <c r="BQ20" s="660"/>
      <c r="BR20" s="660"/>
      <c r="BS20" s="1705"/>
      <c r="BT20" s="660"/>
      <c r="BU20" s="22">
        <f>ROW()</f>
        <v>20</v>
      </c>
      <c r="BV20" s="512" t="s">
        <v>270</v>
      </c>
      <c r="BX20" s="1714"/>
      <c r="BY20" s="80">
        <f>+'SEF-33 pg 1-2'!$K$13</f>
        <v>2.6299999999999997E-2</v>
      </c>
      <c r="BZ20" s="32">
        <f>+BY20</f>
        <v>2.6299999999999997E-2</v>
      </c>
      <c r="CA20" s="80">
        <f>+'SEF-33 pg 1-2'!$K$13</f>
        <v>2.6299999999999997E-2</v>
      </c>
      <c r="CB20" s="32">
        <f>+BY20</f>
        <v>2.6299999999999997E-2</v>
      </c>
      <c r="CC20" s="80">
        <f>+'SEF-33 pg 1-2'!$K$13</f>
        <v>2.6299999999999997E-2</v>
      </c>
      <c r="CD20" s="32">
        <f>+CA20</f>
        <v>2.6299999999999997E-2</v>
      </c>
      <c r="CE20" s="80">
        <f>+'SEF-33 pg 1-2'!$K$22</f>
        <v>2.6699999999999998E-2</v>
      </c>
      <c r="CF20" s="32">
        <f>+CE20</f>
        <v>2.6699999999999998E-2</v>
      </c>
      <c r="CG20" s="32">
        <f>+'SEF-33 pg 1-2'!$K$31</f>
        <v>2.63E-2</v>
      </c>
      <c r="CH20" s="32">
        <f>+CG20</f>
        <v>2.63E-2</v>
      </c>
      <c r="CI20" s="32"/>
      <c r="CJ20" s="32"/>
      <c r="CK20" s="32"/>
      <c r="CL20" s="32"/>
      <c r="CM20" s="22">
        <f>ROW()</f>
        <v>20</v>
      </c>
      <c r="CN20" s="679" t="s">
        <v>240</v>
      </c>
      <c r="CO20" s="679"/>
      <c r="CP20" s="698">
        <f t="shared" ref="CP20:CZ20" si="39">-CP17-CP19</f>
        <v>-3228380.8706864002</v>
      </c>
      <c r="CQ20" s="698">
        <f t="shared" si="39"/>
        <v>213041.17074922178</v>
      </c>
      <c r="CR20" s="698">
        <f t="shared" si="39"/>
        <v>-3015339.6999371783</v>
      </c>
      <c r="CS20" s="698">
        <f t="shared" si="39"/>
        <v>0</v>
      </c>
      <c r="CT20" s="698">
        <f t="shared" si="39"/>
        <v>-3015339.6999371783</v>
      </c>
      <c r="CU20" s="698">
        <f t="shared" si="39"/>
        <v>0</v>
      </c>
      <c r="CV20" s="698">
        <f t="shared" si="39"/>
        <v>-3015339.6999371783</v>
      </c>
      <c r="CW20" s="698">
        <f t="shared" si="39"/>
        <v>0</v>
      </c>
      <c r="CX20" s="698">
        <f t="shared" si="39"/>
        <v>-3015339.6999371783</v>
      </c>
      <c r="CY20" s="698">
        <f t="shared" si="39"/>
        <v>0</v>
      </c>
      <c r="CZ20" s="698">
        <f t="shared" si="39"/>
        <v>-3015339.6999371783</v>
      </c>
      <c r="DA20" s="698"/>
      <c r="DB20" s="698"/>
      <c r="DC20" s="698"/>
      <c r="DD20" s="698"/>
      <c r="DE20" s="22">
        <f>ROW()</f>
        <v>20</v>
      </c>
      <c r="DF20" s="28"/>
      <c r="DG20" s="589"/>
      <c r="DH20" s="1601"/>
      <c r="DI20" s="1601"/>
      <c r="DJ20" s="1601"/>
      <c r="DK20" s="1601"/>
      <c r="DL20" s="1601"/>
      <c r="DM20" s="1601"/>
      <c r="DN20" s="1601"/>
      <c r="DO20" s="1601"/>
      <c r="DP20" s="1601"/>
      <c r="DQ20" s="1601"/>
      <c r="DR20" s="1601"/>
      <c r="DS20" s="1601"/>
      <c r="DT20" s="1601"/>
      <c r="DU20" s="1601"/>
      <c r="DV20" s="1601"/>
      <c r="DW20" s="22">
        <f>ROW()</f>
        <v>20</v>
      </c>
      <c r="DX20" s="4" t="s">
        <v>276</v>
      </c>
      <c r="DY20" s="699">
        <v>0.21</v>
      </c>
      <c r="DZ20" s="700">
        <f>-$DY$20*DZ19</f>
        <v>-10813809.018809998</v>
      </c>
      <c r="EA20" s="700">
        <f>-$DY$20*EA19</f>
        <v>-180.33726479977369</v>
      </c>
      <c r="EB20" s="42">
        <f>DZ20+EA20</f>
        <v>-10813989.356074799</v>
      </c>
      <c r="EC20" s="700">
        <f>-$DY$20*EC19</f>
        <v>0</v>
      </c>
      <c r="ED20" s="984">
        <f>EB20+EC20</f>
        <v>-10813989.356074799</v>
      </c>
      <c r="EE20" s="700">
        <f>-$DY$20*EE19</f>
        <v>0</v>
      </c>
      <c r="EF20" s="984">
        <f>ED20+EE20</f>
        <v>-10813989.356074799</v>
      </c>
      <c r="EG20" s="700">
        <f>-$DY$20*EG19</f>
        <v>0</v>
      </c>
      <c r="EH20" s="984">
        <f>EF20+EG20</f>
        <v>-10813989.356074799</v>
      </c>
      <c r="EI20" s="700">
        <f>-$DY$20*EI19</f>
        <v>0</v>
      </c>
      <c r="EJ20" s="984">
        <f>EH20+EI20</f>
        <v>-10813989.356074799</v>
      </c>
      <c r="EK20" s="984"/>
      <c r="EL20" s="984"/>
      <c r="EM20" s="700"/>
      <c r="EN20" s="984"/>
      <c r="EO20" s="22">
        <f>ROW()</f>
        <v>20</v>
      </c>
      <c r="EP20" s="603"/>
      <c r="EQ20" s="23"/>
      <c r="ER20" s="23"/>
      <c r="ES20" s="23"/>
      <c r="ET20" s="1"/>
      <c r="EU20" s="23"/>
      <c r="EV20" s="1"/>
      <c r="EW20" s="23"/>
      <c r="EX20" s="1"/>
      <c r="EY20" s="23"/>
      <c r="EZ20" s="1"/>
      <c r="FA20" s="23"/>
      <c r="FB20" s="1"/>
      <c r="FC20" s="1"/>
      <c r="FD20" s="1"/>
      <c r="FE20" s="23"/>
      <c r="FF20" s="1"/>
      <c r="FG20" s="22">
        <f>ROW()</f>
        <v>20</v>
      </c>
      <c r="FH20" s="23" t="s">
        <v>237</v>
      </c>
      <c r="FI20" s="21"/>
      <c r="FJ20" s="1713">
        <f>FJ18</f>
        <v>445050.02114780352</v>
      </c>
      <c r="FK20" s="1713">
        <f>FK18</f>
        <v>-24042.600429258582</v>
      </c>
      <c r="FL20" s="21">
        <f>FJ20+FK20</f>
        <v>421007.42071854492</v>
      </c>
      <c r="FM20" s="1713"/>
      <c r="FN20" s="21">
        <f>FL20+FM20</f>
        <v>421007.42071854492</v>
      </c>
      <c r="FO20" s="1713"/>
      <c r="FP20" s="21">
        <f>FN20+FO20</f>
        <v>421007.42071854492</v>
      </c>
      <c r="FQ20" s="1713"/>
      <c r="FR20" s="21">
        <f>FP20+FQ20</f>
        <v>421007.42071854492</v>
      </c>
      <c r="FS20" s="1713"/>
      <c r="FT20" s="21">
        <f>FR20+FS20</f>
        <v>421007.42071854492</v>
      </c>
      <c r="FU20" s="21"/>
      <c r="FV20" s="21"/>
      <c r="FW20" s="1713"/>
      <c r="FX20" s="21"/>
      <c r="FY20" s="22">
        <f>ROW()</f>
        <v>20</v>
      </c>
      <c r="FZ20" s="1217" t="s">
        <v>256</v>
      </c>
      <c r="GB20" s="42">
        <v>0</v>
      </c>
      <c r="GC20" s="42">
        <v>0</v>
      </c>
      <c r="GD20" s="42">
        <f t="shared" si="14"/>
        <v>0</v>
      </c>
      <c r="GE20" s="42">
        <v>0</v>
      </c>
      <c r="GF20" s="42">
        <f t="shared" si="15"/>
        <v>0</v>
      </c>
      <c r="GG20" s="42">
        <v>0</v>
      </c>
      <c r="GH20" s="42">
        <f t="shared" si="16"/>
        <v>0</v>
      </c>
      <c r="GI20" s="42">
        <v>0</v>
      </c>
      <c r="GJ20" s="42">
        <f t="shared" si="17"/>
        <v>0</v>
      </c>
      <c r="GK20" s="42">
        <v>0</v>
      </c>
      <c r="GL20" s="42">
        <f t="shared" si="18"/>
        <v>0</v>
      </c>
      <c r="GM20" s="42"/>
      <c r="GN20" s="42"/>
      <c r="GO20" s="42"/>
      <c r="GP20" s="42"/>
      <c r="GQ20" s="22">
        <f>ROW()</f>
        <v>20</v>
      </c>
      <c r="GR20" s="4" t="s">
        <v>290</v>
      </c>
      <c r="GS20" s="482"/>
      <c r="GT20" s="634">
        <v>1846544.5284000002</v>
      </c>
      <c r="GU20" s="722">
        <v>27698.167925999966</v>
      </c>
      <c r="GV20" s="722">
        <f>SUM(GT20:GU20)</f>
        <v>1874242.6963260002</v>
      </c>
      <c r="GW20" s="722">
        <v>0</v>
      </c>
      <c r="GX20" s="722">
        <f>SUM(GV20:GW20)</f>
        <v>1874242.6963260002</v>
      </c>
      <c r="GY20" s="722">
        <v>0</v>
      </c>
      <c r="GZ20" s="722">
        <f>SUM(GX20:GY20)</f>
        <v>1874242.6963260002</v>
      </c>
      <c r="HA20" s="722">
        <v>0</v>
      </c>
      <c r="HB20" s="722">
        <f>SUM(GZ20:HA20)</f>
        <v>1874242.6963260002</v>
      </c>
      <c r="HC20" s="722">
        <v>0</v>
      </c>
      <c r="HD20" s="722">
        <f>SUM(HB20:HC20)</f>
        <v>1874242.6963260002</v>
      </c>
      <c r="HE20" s="722"/>
      <c r="HF20" s="722"/>
      <c r="HG20" s="722"/>
      <c r="HH20" s="722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22">
        <f>ROW()</f>
        <v>20</v>
      </c>
      <c r="IB20" s="28" t="s">
        <v>283</v>
      </c>
      <c r="IC20" s="56">
        <v>0.21</v>
      </c>
      <c r="ID20" s="636">
        <f t="shared" ref="ID20:IN20" si="40">-ID18*$IC$20</f>
        <v>-806138.1646242959</v>
      </c>
      <c r="IE20" s="636">
        <f t="shared" si="40"/>
        <v>-115634.25707030407</v>
      </c>
      <c r="IF20" s="636">
        <f t="shared" si="40"/>
        <v>-921772.42169460002</v>
      </c>
      <c r="IG20" s="636">
        <f t="shared" si="40"/>
        <v>0</v>
      </c>
      <c r="IH20" s="636">
        <f t="shared" si="40"/>
        <v>-921772.42169460002</v>
      </c>
      <c r="II20" s="636">
        <f t="shared" si="40"/>
        <v>0</v>
      </c>
      <c r="IJ20" s="636">
        <f t="shared" si="40"/>
        <v>-921772.42169460002</v>
      </c>
      <c r="IK20" s="636">
        <f t="shared" si="40"/>
        <v>0</v>
      </c>
      <c r="IL20" s="636">
        <f t="shared" si="40"/>
        <v>-921772.42169460002</v>
      </c>
      <c r="IM20" s="636">
        <f t="shared" si="40"/>
        <v>0</v>
      </c>
      <c r="IN20" s="636">
        <f t="shared" si="40"/>
        <v>-921772.42169460002</v>
      </c>
      <c r="IO20" s="636"/>
      <c r="IP20" s="636"/>
      <c r="IQ20" s="636"/>
      <c r="IR20" s="636"/>
      <c r="IS20" s="22">
        <f>ROW()</f>
        <v>20</v>
      </c>
      <c r="JK20" s="22">
        <f>ROW()</f>
        <v>20</v>
      </c>
      <c r="JL20" s="480" t="s">
        <v>955</v>
      </c>
      <c r="JM20" s="480"/>
      <c r="JN20" s="51">
        <f>JN18</f>
        <v>100836.95771756492</v>
      </c>
      <c r="JO20" s="51">
        <f>JO18</f>
        <v>-16580.372792206952</v>
      </c>
      <c r="JP20" s="51">
        <f>+JP18</f>
        <v>84256.584925357965</v>
      </c>
      <c r="JQ20" s="51">
        <f>+JQ18</f>
        <v>0</v>
      </c>
      <c r="JR20" s="51">
        <f>+JR18</f>
        <v>84256.584925357965</v>
      </c>
      <c r="JS20" s="51"/>
      <c r="JT20" s="51">
        <f>+JT18</f>
        <v>84256.584925357965</v>
      </c>
      <c r="JU20" s="51"/>
      <c r="JV20" s="51">
        <f>+JV18</f>
        <v>84256.584925357965</v>
      </c>
      <c r="JW20" s="51"/>
      <c r="JX20" s="51">
        <f>+JX18</f>
        <v>84256.584925357965</v>
      </c>
      <c r="JY20" s="51"/>
      <c r="JZ20" s="51"/>
      <c r="KA20" s="51"/>
      <c r="KB20" s="51"/>
      <c r="KC20" s="22">
        <f>ROW()</f>
        <v>20</v>
      </c>
      <c r="KD20" s="28" t="s">
        <v>240</v>
      </c>
      <c r="KE20" s="28"/>
      <c r="KF20" s="682">
        <f t="shared" ref="KF20:KP20" si="41">-KF17-KF19</f>
        <v>-708180.82749246957</v>
      </c>
      <c r="KG20" s="682">
        <f t="shared" si="41"/>
        <v>-1117190.4516966809</v>
      </c>
      <c r="KH20" s="682">
        <f t="shared" si="41"/>
        <v>-1825371.2791891503</v>
      </c>
      <c r="KI20" s="682">
        <f t="shared" si="41"/>
        <v>0</v>
      </c>
      <c r="KJ20" s="682">
        <f t="shared" si="41"/>
        <v>-1825371.2791891503</v>
      </c>
      <c r="KK20" s="682">
        <f t="shared" si="41"/>
        <v>0</v>
      </c>
      <c r="KL20" s="682">
        <f t="shared" si="41"/>
        <v>-1825371.2791891503</v>
      </c>
      <c r="KM20" s="682">
        <f t="shared" si="41"/>
        <v>0</v>
      </c>
      <c r="KN20" s="682">
        <f t="shared" si="41"/>
        <v>-1825371.2791891503</v>
      </c>
      <c r="KO20" s="682">
        <f t="shared" si="41"/>
        <v>0</v>
      </c>
      <c r="KP20" s="682">
        <f t="shared" si="41"/>
        <v>-1825371.2791891503</v>
      </c>
      <c r="KQ20" s="682"/>
      <c r="KR20" s="682"/>
      <c r="KS20" s="682"/>
      <c r="KT20" s="682"/>
      <c r="KU20" s="22">
        <f>ROW()</f>
        <v>20</v>
      </c>
      <c r="KV20" s="73" t="s">
        <v>256</v>
      </c>
      <c r="KW20" s="957"/>
      <c r="KX20" s="74">
        <v>0</v>
      </c>
      <c r="KY20" s="74">
        <v>0</v>
      </c>
      <c r="KZ20" s="637">
        <f t="shared" si="20"/>
        <v>0</v>
      </c>
      <c r="LA20" s="74">
        <v>0</v>
      </c>
      <c r="LB20" s="637">
        <f t="shared" si="21"/>
        <v>0</v>
      </c>
      <c r="LC20" s="74">
        <v>0</v>
      </c>
      <c r="LD20" s="637">
        <f t="shared" si="22"/>
        <v>0</v>
      </c>
      <c r="LE20" s="74">
        <v>0</v>
      </c>
      <c r="LF20" s="637">
        <f t="shared" si="23"/>
        <v>0</v>
      </c>
      <c r="LG20" s="74">
        <v>0</v>
      </c>
      <c r="LH20" s="637">
        <f t="shared" si="24"/>
        <v>0</v>
      </c>
      <c r="LI20" s="74">
        <v>0</v>
      </c>
      <c r="LJ20" s="637"/>
      <c r="LK20" s="74">
        <v>0</v>
      </c>
      <c r="LL20" s="637">
        <f t="shared" si="25"/>
        <v>0</v>
      </c>
      <c r="LM20" s="22">
        <f>ROW()</f>
        <v>20</v>
      </c>
      <c r="LN20" s="23" t="s">
        <v>149</v>
      </c>
      <c r="LP20" s="1712">
        <v>127273380.60826026</v>
      </c>
      <c r="LQ20" s="1712">
        <v>-8245213.3162603527</v>
      </c>
      <c r="LR20" s="78">
        <f t="shared" si="0"/>
        <v>119028167.29199991</v>
      </c>
      <c r="LS20" s="50"/>
      <c r="LT20" s="78">
        <f t="shared" si="1"/>
        <v>119028167.29199991</v>
      </c>
      <c r="LU20" s="50"/>
      <c r="LV20" s="78">
        <f t="shared" si="2"/>
        <v>119028167.29199991</v>
      </c>
      <c r="LW20" s="50"/>
      <c r="LX20" s="78">
        <f t="shared" si="3"/>
        <v>119028167.29199991</v>
      </c>
      <c r="LY20" s="50"/>
      <c r="LZ20" s="78">
        <f t="shared" si="4"/>
        <v>119028167.29199991</v>
      </c>
      <c r="MA20" s="78"/>
      <c r="MB20" s="78"/>
      <c r="MC20" s="50"/>
      <c r="MD20" s="78">
        <f t="shared" si="5"/>
        <v>0</v>
      </c>
      <c r="ME20" s="22">
        <f>ROW()</f>
        <v>20</v>
      </c>
      <c r="MF20" s="555" t="s">
        <v>275</v>
      </c>
      <c r="MH20" s="663">
        <f t="shared" ref="MH20:MR20" si="42">SUM(MH16:MH19)</f>
        <v>193561678.53768489</v>
      </c>
      <c r="MI20" s="663">
        <f t="shared" si="42"/>
        <v>9263996.8467858415</v>
      </c>
      <c r="MJ20" s="663">
        <f t="shared" si="42"/>
        <v>202825675.3844707</v>
      </c>
      <c r="MK20" s="663">
        <f t="shared" si="42"/>
        <v>0</v>
      </c>
      <c r="ML20" s="663">
        <f t="shared" si="42"/>
        <v>202825675.3844707</v>
      </c>
      <c r="MM20" s="663">
        <f t="shared" si="42"/>
        <v>0</v>
      </c>
      <c r="MN20" s="663">
        <f t="shared" si="42"/>
        <v>202825675.3844707</v>
      </c>
      <c r="MO20" s="663">
        <f t="shared" si="42"/>
        <v>0</v>
      </c>
      <c r="MP20" s="663">
        <f t="shared" si="42"/>
        <v>202825675.3844707</v>
      </c>
      <c r="MQ20" s="663">
        <f t="shared" si="42"/>
        <v>0</v>
      </c>
      <c r="MR20" s="663">
        <f t="shared" si="42"/>
        <v>202825675.3844707</v>
      </c>
      <c r="MS20" s="663"/>
      <c r="MT20" s="663"/>
      <c r="MU20" s="663"/>
      <c r="MV20" s="663"/>
      <c r="MW20" s="22">
        <f>ROW()</f>
        <v>20</v>
      </c>
      <c r="MX20" s="1562" t="s">
        <v>261</v>
      </c>
      <c r="MZ20" s="714">
        <f>+MZ18</f>
        <v>5299162.91</v>
      </c>
      <c r="NA20" s="1711">
        <f>+NA18</f>
        <v>1301961.3655500002</v>
      </c>
      <c r="NB20" s="1711">
        <f>+NB18</f>
        <v>6601124.2755500004</v>
      </c>
      <c r="NC20" s="78">
        <f>NC18</f>
        <v>0</v>
      </c>
      <c r="ND20" s="638">
        <f>SUM(NB20:NC20)</f>
        <v>6601124.2755500004</v>
      </c>
      <c r="NE20" s="78">
        <f>NE18</f>
        <v>0</v>
      </c>
      <c r="NF20" s="638">
        <f>SUM(ND20:NE20)</f>
        <v>6601124.2755500004</v>
      </c>
      <c r="NG20" s="78">
        <f>NG18</f>
        <v>0</v>
      </c>
      <c r="NH20" s="638">
        <f>SUM(NF20:NG20)</f>
        <v>6601124.2755500004</v>
      </c>
      <c r="NI20" s="78">
        <f>NI18</f>
        <v>0</v>
      </c>
      <c r="NJ20" s="638">
        <f>SUM(NH20:NI20)</f>
        <v>6601124.2755500004</v>
      </c>
      <c r="NK20" s="78">
        <f>NK18</f>
        <v>0</v>
      </c>
      <c r="NL20" s="78"/>
      <c r="NM20" s="78">
        <f>NM18</f>
        <v>0</v>
      </c>
      <c r="NN20" s="78">
        <f>SUM(NL20:NM20)</f>
        <v>0</v>
      </c>
      <c r="NO20" s="22">
        <f>ROW()</f>
        <v>20</v>
      </c>
      <c r="NP20" s="28" t="s">
        <v>98</v>
      </c>
      <c r="NR20" s="619"/>
      <c r="NS20" s="619"/>
      <c r="NT20" s="619"/>
      <c r="NU20" s="619"/>
      <c r="NV20" s="619"/>
      <c r="NW20" s="619"/>
      <c r="NX20" s="619">
        <f>'SEF-34 pg 1'!I34</f>
        <v>2401812.2597524063</v>
      </c>
      <c r="NY20" s="640">
        <v>-527180.86679653171</v>
      </c>
      <c r="NZ20" s="619">
        <f t="shared" si="6"/>
        <v>1874631.3929558746</v>
      </c>
      <c r="OA20" s="640">
        <v>-61313.328571709106</v>
      </c>
      <c r="OB20" s="619">
        <f t="shared" si="7"/>
        <v>1813318.0643841655</v>
      </c>
      <c r="OC20" s="1686"/>
      <c r="OD20" s="1686"/>
      <c r="OE20" s="1686"/>
      <c r="OF20" s="1686"/>
      <c r="OG20" s="482">
        <f>ROW()</f>
        <v>20</v>
      </c>
      <c r="OH20" s="78" t="s">
        <v>277</v>
      </c>
      <c r="OI20" s="78"/>
      <c r="OJ20" s="683">
        <v>-9391457.368920818</v>
      </c>
      <c r="OK20" s="683">
        <f>OL20-OJ20</f>
        <v>0</v>
      </c>
      <c r="OL20" s="683">
        <v>-9391457.368920818</v>
      </c>
      <c r="OM20" s="683">
        <f>ON20-OL20</f>
        <v>9391457.368920818</v>
      </c>
      <c r="ON20" s="683">
        <v>0</v>
      </c>
      <c r="OO20" s="684"/>
      <c r="OP20" s="684"/>
      <c r="OQ20" s="684"/>
      <c r="OR20" s="684"/>
      <c r="OS20" s="684"/>
      <c r="OT20" s="685"/>
      <c r="OU20" s="685"/>
      <c r="OV20" s="685"/>
      <c r="OW20" s="685"/>
      <c r="OX20" s="685"/>
      <c r="OY20" s="22">
        <f>ROW()</f>
        <v>20</v>
      </c>
      <c r="OZ20" s="644"/>
      <c r="PA20" s="562"/>
      <c r="PB20" s="63"/>
      <c r="PC20" s="63"/>
      <c r="PD20" s="63"/>
      <c r="PE20" s="1451"/>
      <c r="PF20" s="1451"/>
      <c r="PG20" s="1451"/>
      <c r="PH20" s="1473"/>
      <c r="PI20" s="1451"/>
      <c r="PJ20" s="1472"/>
      <c r="PK20" s="1451"/>
      <c r="PL20" s="1472"/>
      <c r="PM20" s="1710"/>
      <c r="PN20" s="1710"/>
      <c r="PO20" s="63"/>
      <c r="PP20" s="63"/>
      <c r="PQ20" s="22">
        <f>ROW()</f>
        <v>20</v>
      </c>
      <c r="PR20" s="1709" t="s">
        <v>278</v>
      </c>
      <c r="PS20" s="56">
        <v>0.21</v>
      </c>
      <c r="PT20" s="63">
        <f t="shared" ref="PT20:QD20" si="43">-PT17*$PS$20</f>
        <v>-1131379.6388999994</v>
      </c>
      <c r="PU20" s="63">
        <f t="shared" si="43"/>
        <v>-71162.119150273342</v>
      </c>
      <c r="PV20" s="63">
        <f t="shared" si="43"/>
        <v>-1202541.7580502727</v>
      </c>
      <c r="PW20" s="63">
        <f t="shared" si="43"/>
        <v>2223.811285273237</v>
      </c>
      <c r="PX20" s="63">
        <f t="shared" si="43"/>
        <v>-1200317.9467649995</v>
      </c>
      <c r="PY20" s="63">
        <f t="shared" si="43"/>
        <v>-2223.8142150000203</v>
      </c>
      <c r="PZ20" s="63">
        <f t="shared" si="43"/>
        <v>-1202541.7609799996</v>
      </c>
      <c r="QA20" s="63">
        <f t="shared" si="43"/>
        <v>363239.61813323753</v>
      </c>
      <c r="QB20" s="63">
        <f t="shared" si="43"/>
        <v>-839302.14284676197</v>
      </c>
      <c r="QC20" s="63">
        <f t="shared" si="43"/>
        <v>375712.58205029415</v>
      </c>
      <c r="QD20" s="63">
        <f t="shared" si="43"/>
        <v>-463589.56079646776</v>
      </c>
      <c r="QE20" s="78"/>
      <c r="QF20" s="78"/>
      <c r="QG20" s="78"/>
      <c r="QH20" s="78"/>
      <c r="QJ20" s="1662"/>
      <c r="QK20" s="616"/>
      <c r="QL20" s="616"/>
      <c r="RB20" s="394">
        <f>ROW()</f>
        <v>20</v>
      </c>
      <c r="RC20" s="616" t="s">
        <v>863</v>
      </c>
      <c r="RD20" s="616"/>
      <c r="RE20" s="1620"/>
      <c r="RF20" s="1620"/>
      <c r="RG20" s="1469">
        <v>0</v>
      </c>
      <c r="RH20" s="1469">
        <f>RI20-RG20</f>
        <v>0</v>
      </c>
      <c r="RI20" s="693">
        <v>0</v>
      </c>
      <c r="RJ20" s="1469">
        <f>RK20-RI20</f>
        <v>0</v>
      </c>
      <c r="RK20" s="693">
        <v>0</v>
      </c>
      <c r="RL20" s="1469">
        <f>RM20-RK20</f>
        <v>0</v>
      </c>
      <c r="RM20" s="693">
        <v>0</v>
      </c>
      <c r="RN20" s="1469">
        <f>RO20-RM20</f>
        <v>0</v>
      </c>
      <c r="RO20" s="693">
        <v>0</v>
      </c>
      <c r="RP20" s="693"/>
      <c r="RQ20" s="693"/>
      <c r="RR20" s="1469"/>
      <c r="RS20" s="693"/>
      <c r="RT20" s="521">
        <f>ROW()</f>
        <v>20</v>
      </c>
      <c r="RU20" s="616" t="s">
        <v>275</v>
      </c>
      <c r="RV20" s="520"/>
      <c r="RW20" s="688"/>
      <c r="RX20" s="688"/>
      <c r="RY20" s="688">
        <f t="shared" ref="RY20:SG20" si="44">SUM(RY16:RY19)</f>
        <v>0</v>
      </c>
      <c r="RZ20" s="688">
        <f t="shared" si="44"/>
        <v>-42632.08</v>
      </c>
      <c r="SA20" s="688">
        <f t="shared" si="44"/>
        <v>-42632.08</v>
      </c>
      <c r="SB20" s="688">
        <f t="shared" si="44"/>
        <v>-254648.25999999995</v>
      </c>
      <c r="SC20" s="688">
        <f t="shared" si="44"/>
        <v>-297280.33999999997</v>
      </c>
      <c r="SD20" s="688">
        <f t="shared" si="44"/>
        <v>-629245.79000000108</v>
      </c>
      <c r="SE20" s="688">
        <f t="shared" si="44"/>
        <v>-926526.13000000105</v>
      </c>
      <c r="SF20" s="688">
        <f t="shared" si="44"/>
        <v>-629245.79000000108</v>
      </c>
      <c r="SG20" s="688">
        <f t="shared" si="44"/>
        <v>-1555771.9200000023</v>
      </c>
      <c r="SH20" s="688"/>
      <c r="SI20" s="688"/>
      <c r="SJ20" s="688"/>
      <c r="SK20" s="688"/>
      <c r="SL20" s="82">
        <f>ROW()</f>
        <v>20</v>
      </c>
      <c r="SM20" s="616" t="s">
        <v>280</v>
      </c>
      <c r="SN20" s="1484"/>
      <c r="SO20" s="1471"/>
      <c r="SP20" s="1471"/>
      <c r="SQ20" s="1471"/>
      <c r="SR20" s="1471">
        <f t="shared" ref="SR20:SY20" si="45">SUM(SR16:SR19)</f>
        <v>611271.05680999998</v>
      </c>
      <c r="SS20" s="1471">
        <f t="shared" si="45"/>
        <v>611271.05680999998</v>
      </c>
      <c r="ST20" s="1471">
        <f t="shared" si="45"/>
        <v>6992223.892155</v>
      </c>
      <c r="SU20" s="1471">
        <f t="shared" si="45"/>
        <v>7603494.948965</v>
      </c>
      <c r="SV20" s="1471">
        <f t="shared" si="45"/>
        <v>10656964.659060001</v>
      </c>
      <c r="SW20" s="1471">
        <f t="shared" si="45"/>
        <v>18260459.608024999</v>
      </c>
      <c r="SX20" s="1471">
        <f t="shared" si="45"/>
        <v>10578304.551260002</v>
      </c>
      <c r="SY20" s="1471">
        <f t="shared" si="45"/>
        <v>28838764.159285001</v>
      </c>
      <c r="SZ20" s="1471"/>
      <c r="TA20" s="1471"/>
      <c r="TB20" s="1470"/>
      <c r="TC20" s="1470"/>
      <c r="TD20" s="424"/>
      <c r="TE20" s="82">
        <f>ROW()</f>
        <v>20</v>
      </c>
      <c r="TF20" s="349"/>
      <c r="TG20" s="652"/>
      <c r="TH20" s="1708"/>
      <c r="TI20" s="1708"/>
      <c r="TJ20" s="1707"/>
      <c r="TK20" s="1707"/>
      <c r="TL20" s="1707"/>
      <c r="TM20" s="1707"/>
      <c r="TN20" s="1707"/>
      <c r="TO20" s="1707"/>
      <c r="TP20" s="1707"/>
      <c r="TQ20" s="1707"/>
      <c r="TR20" s="1707"/>
      <c r="TS20"/>
      <c r="TT20"/>
      <c r="TU20"/>
      <c r="TV20"/>
      <c r="TW20" s="424"/>
      <c r="TX20" s="82">
        <f>ROW()</f>
        <v>20</v>
      </c>
      <c r="TY20" s="689" t="s">
        <v>281</v>
      </c>
      <c r="UA20" s="576"/>
      <c r="UB20" s="576"/>
      <c r="UQ20" s="521">
        <f>ROW()</f>
        <v>20</v>
      </c>
      <c r="UR20" s="1706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J20" s="521">
        <f>ROW()</f>
        <v>20</v>
      </c>
      <c r="VK20" s="102"/>
      <c r="VM20" s="102"/>
      <c r="VN20" s="102"/>
      <c r="VO20" s="102"/>
      <c r="VP20" s="571"/>
      <c r="VQ20" s="571"/>
      <c r="VR20" s="571"/>
      <c r="VS20" s="571"/>
      <c r="VT20" s="571"/>
      <c r="VU20" s="312"/>
      <c r="VV20" s="571"/>
      <c r="VW20" s="312"/>
      <c r="VY20" s="521">
        <f>ROW()</f>
        <v>20</v>
      </c>
      <c r="VZ20" s="694" t="s">
        <v>283</v>
      </c>
      <c r="WA20" s="695">
        <v>0.21</v>
      </c>
      <c r="WB20" s="633">
        <f t="shared" ref="WB20:WL20" si="46">-WB18*$VL$31</f>
        <v>0</v>
      </c>
      <c r="WC20" s="633">
        <f t="shared" si="46"/>
        <v>0</v>
      </c>
      <c r="WD20" s="633">
        <f t="shared" si="46"/>
        <v>0</v>
      </c>
      <c r="WE20" s="633">
        <f t="shared" si="46"/>
        <v>0</v>
      </c>
      <c r="WF20" s="633">
        <f t="shared" si="46"/>
        <v>0</v>
      </c>
      <c r="WG20" s="633">
        <f t="shared" si="46"/>
        <v>0</v>
      </c>
      <c r="WH20" s="633">
        <f t="shared" si="46"/>
        <v>0</v>
      </c>
      <c r="WI20" s="633">
        <f t="shared" si="46"/>
        <v>-84789.36648040099</v>
      </c>
      <c r="WJ20" s="633">
        <f t="shared" si="46"/>
        <v>-84789.36648040099</v>
      </c>
      <c r="WK20" s="633">
        <f t="shared" si="46"/>
        <v>-2967.6278268140113</v>
      </c>
      <c r="WL20" s="633">
        <f t="shared" si="46"/>
        <v>-87756.994307215005</v>
      </c>
      <c r="WN20" s="521">
        <f>ROW()</f>
        <v>20</v>
      </c>
      <c r="WO20" s="694" t="s">
        <v>283</v>
      </c>
      <c r="WP20" s="695">
        <v>0.21</v>
      </c>
      <c r="WQ20" s="633">
        <f t="shared" ref="WQ20:XA20" si="47">-WQ18*$VL$31</f>
        <v>0</v>
      </c>
      <c r="WR20" s="633">
        <f t="shared" si="47"/>
        <v>0</v>
      </c>
      <c r="WS20" s="633">
        <f t="shared" si="47"/>
        <v>0</v>
      </c>
      <c r="WT20" s="633">
        <f t="shared" si="47"/>
        <v>0</v>
      </c>
      <c r="WU20" s="633">
        <f t="shared" si="47"/>
        <v>0</v>
      </c>
      <c r="WV20" s="633">
        <f t="shared" si="47"/>
        <v>0</v>
      </c>
      <c r="WW20" s="633">
        <f t="shared" si="47"/>
        <v>0</v>
      </c>
      <c r="WX20" s="696">
        <f t="shared" si="47"/>
        <v>-125759.40591690002</v>
      </c>
      <c r="WY20" s="696">
        <f t="shared" si="47"/>
        <v>-125759.40591690002</v>
      </c>
      <c r="WZ20" s="696">
        <f t="shared" si="47"/>
        <v>-137556.38746709996</v>
      </c>
      <c r="XA20" s="696">
        <f t="shared" si="47"/>
        <v>-263315.79338400002</v>
      </c>
    </row>
    <row r="21" spans="1:625" ht="17.25" thickTop="1" thickBot="1" x14ac:dyDescent="0.3">
      <c r="A21" s="22">
        <f>ROW()</f>
        <v>21</v>
      </c>
      <c r="B21" t="s">
        <v>954</v>
      </c>
      <c r="C21" s="1550" t="s">
        <v>876</v>
      </c>
      <c r="D21" s="880"/>
      <c r="E21" s="880">
        <v>-23537159.707467638</v>
      </c>
      <c r="F21" s="880"/>
      <c r="G21" s="641"/>
      <c r="H21" s="880"/>
      <c r="I21" s="641"/>
      <c r="J21" s="1052"/>
      <c r="K21" s="641"/>
      <c r="L21" s="641"/>
      <c r="M21" s="641"/>
      <c r="N21" s="619"/>
      <c r="O21" s="619"/>
      <c r="P21" s="619"/>
      <c r="Q21" s="619"/>
      <c r="R21" s="619"/>
      <c r="S21" s="22">
        <f>ROW()</f>
        <v>21</v>
      </c>
      <c r="T21" s="603" t="s">
        <v>953</v>
      </c>
      <c r="V21" s="668">
        <f t="shared" si="8"/>
        <v>37292558.707003511</v>
      </c>
      <c r="W21" s="74">
        <v>-37292558.707003511</v>
      </c>
      <c r="X21" s="74"/>
      <c r="Y21" s="74"/>
      <c r="Z21" s="74">
        <f t="shared" si="9"/>
        <v>0</v>
      </c>
      <c r="AA21" s="74"/>
      <c r="AB21" s="74">
        <f t="shared" si="10"/>
        <v>0</v>
      </c>
      <c r="AC21" s="74"/>
      <c r="AD21" s="74">
        <f t="shared" si="11"/>
        <v>0</v>
      </c>
      <c r="AE21" s="74"/>
      <c r="AF21" s="74">
        <f t="shared" si="12"/>
        <v>0</v>
      </c>
      <c r="AG21" s="74"/>
      <c r="AH21" s="74"/>
      <c r="AI21" s="74"/>
      <c r="AJ21" s="74"/>
      <c r="AK21" s="22">
        <f>ROW()</f>
        <v>21</v>
      </c>
      <c r="AL21" s="621"/>
      <c r="AM21" s="621"/>
      <c r="AN21" s="658"/>
      <c r="AO21" s="658"/>
      <c r="AP21" s="658"/>
      <c r="AQ21" s="658"/>
      <c r="AR21" s="658"/>
      <c r="AS21" s="658"/>
      <c r="AT21" s="658"/>
      <c r="AU21" s="658"/>
      <c r="AV21" s="658"/>
      <c r="AW21" s="658"/>
      <c r="AX21" s="658"/>
      <c r="AY21" s="658"/>
      <c r="AZ21" s="658"/>
      <c r="BA21" s="658"/>
      <c r="BB21" s="658"/>
      <c r="BC21" s="22">
        <f>ROW()</f>
        <v>21</v>
      </c>
      <c r="BD21" s="28" t="s">
        <v>306</v>
      </c>
      <c r="BE21" s="535"/>
      <c r="BF21" s="1705"/>
      <c r="BG21" s="1705"/>
      <c r="BH21" s="1705"/>
      <c r="BI21" s="1705"/>
      <c r="BJ21" s="1704"/>
      <c r="BK21" s="1705"/>
      <c r="BL21" s="1704"/>
      <c r="BM21" s="1705"/>
      <c r="BN21" s="1704"/>
      <c r="BO21" s="1705"/>
      <c r="BP21" s="1704"/>
      <c r="BQ21" s="1704"/>
      <c r="BR21" s="1704"/>
      <c r="BS21" s="1705"/>
      <c r="BT21" s="1704"/>
      <c r="BU21" s="22">
        <f>ROW()</f>
        <v>21</v>
      </c>
      <c r="BV21" s="512" t="s">
        <v>286</v>
      </c>
      <c r="BX21" s="360">
        <v>0</v>
      </c>
      <c r="BY21" s="1703">
        <f>+BY16*BY20</f>
        <v>76545440.840769768</v>
      </c>
      <c r="BZ21" s="1701">
        <f>+BZ16*BZ20</f>
        <v>76545440.840769768</v>
      </c>
      <c r="CA21" s="1702">
        <f>+CA16*CA20</f>
        <v>-2841022.2212117398</v>
      </c>
      <c r="CB21" s="1701">
        <f>+CB16*CB20</f>
        <v>73704418.619558021</v>
      </c>
      <c r="CC21" s="1701">
        <f>CD21-CB21</f>
        <v>2586364.2906200439</v>
      </c>
      <c r="CD21" s="1701">
        <f>+CD16*CD20</f>
        <v>76290782.910178065</v>
      </c>
      <c r="CE21" s="1701">
        <f>CF21-CD21</f>
        <v>244873.70157822967</v>
      </c>
      <c r="CF21" s="1701">
        <f>+CF16*CF20</f>
        <v>76535656.611756295</v>
      </c>
      <c r="CG21" s="1701">
        <f>CH21-CF21</f>
        <v>-1235382.4216485918</v>
      </c>
      <c r="CH21" s="1701">
        <f>+CH16*CH20</f>
        <v>75300274.190107703</v>
      </c>
      <c r="CI21" s="1701">
        <f>+CI16*CI20</f>
        <v>0</v>
      </c>
      <c r="CJ21" s="1701">
        <f>+CJ16*CJ20</f>
        <v>0</v>
      </c>
      <c r="CK21" s="1701">
        <f>+CK16*CK20</f>
        <v>0</v>
      </c>
      <c r="CL21" s="1701">
        <f>+CL16*CL20</f>
        <v>0</v>
      </c>
      <c r="CM21" s="22">
        <f>ROW()</f>
        <v>21</v>
      </c>
      <c r="DE21" s="22">
        <f>ROW()</f>
        <v>21</v>
      </c>
      <c r="DF21" s="744" t="s">
        <v>336</v>
      </c>
      <c r="DG21" s="755">
        <v>0.21</v>
      </c>
      <c r="DH21" s="1700">
        <f>-DH19*$DG$21</f>
        <v>-230334.50759970001</v>
      </c>
      <c r="DI21" s="1700">
        <f>-DI19*$DG$21</f>
        <v>-48755.492400299991</v>
      </c>
      <c r="DJ21" s="1700">
        <f>DH21+DI21</f>
        <v>-279090</v>
      </c>
      <c r="DK21" s="1700">
        <f>-DK19*$DG$21</f>
        <v>0</v>
      </c>
      <c r="DL21" s="1700">
        <f>DJ21+DK21</f>
        <v>-279090</v>
      </c>
      <c r="DM21" s="1700">
        <f>-DM19*$DG$21</f>
        <v>0</v>
      </c>
      <c r="DN21" s="1700">
        <f>DL21+DM21</f>
        <v>-279090</v>
      </c>
      <c r="DO21" s="1700">
        <f>-DO19*$DG$21</f>
        <v>0</v>
      </c>
      <c r="DP21" s="1700">
        <f>DN21+DO21</f>
        <v>-279090</v>
      </c>
      <c r="DQ21" s="1700">
        <f>-DQ19*$DG$21</f>
        <v>0</v>
      </c>
      <c r="DR21" s="1700">
        <f>DP21+DQ21</f>
        <v>-279090</v>
      </c>
      <c r="DS21" s="1700"/>
      <c r="DT21" s="1700"/>
      <c r="DU21" s="1700"/>
      <c r="DV21" s="1700"/>
      <c r="DW21" s="22">
        <f>ROW()</f>
        <v>21</v>
      </c>
      <c r="DX21" s="4" t="s">
        <v>292</v>
      </c>
      <c r="DY21" s="4"/>
      <c r="DZ21" s="635">
        <f t="shared" ref="DZ21:EJ21" si="48">-DZ19-DZ20</f>
        <v>-40680519.642190002</v>
      </c>
      <c r="EA21" s="635">
        <f t="shared" si="48"/>
        <v>-678.41161519914863</v>
      </c>
      <c r="EB21" s="635">
        <f t="shared" si="48"/>
        <v>-40681198.053805202</v>
      </c>
      <c r="EC21" s="635">
        <f t="shared" si="48"/>
        <v>0</v>
      </c>
      <c r="ED21" s="635">
        <f t="shared" si="48"/>
        <v>-40681198.053805202</v>
      </c>
      <c r="EE21" s="635">
        <f t="shared" si="48"/>
        <v>0</v>
      </c>
      <c r="EF21" s="635">
        <f t="shared" si="48"/>
        <v>-40681198.053805202</v>
      </c>
      <c r="EG21" s="635">
        <f t="shared" si="48"/>
        <v>0</v>
      </c>
      <c r="EH21" s="635">
        <f t="shared" si="48"/>
        <v>-40681198.053805202</v>
      </c>
      <c r="EI21" s="635">
        <f t="shared" si="48"/>
        <v>0</v>
      </c>
      <c r="EJ21" s="635">
        <f t="shared" si="48"/>
        <v>-40681198.053805202</v>
      </c>
      <c r="EK21" s="635"/>
      <c r="EL21" s="635"/>
      <c r="EM21" s="635"/>
      <c r="EN21" s="635"/>
      <c r="EO21" s="22">
        <f>ROW()</f>
        <v>21</v>
      </c>
      <c r="EP21" s="701" t="s">
        <v>288</v>
      </c>
      <c r="EQ21" s="1699">
        <v>0.46577095547807479</v>
      </c>
      <c r="ER21" s="630">
        <f>ER19*EQ21</f>
        <v>6123580.8824731372</v>
      </c>
      <c r="ES21" s="553">
        <f>ET21-ER21</f>
        <v>-17289.176081915386</v>
      </c>
      <c r="ET21" s="553">
        <f>ET19*EQ21</f>
        <v>6106291.7063912218</v>
      </c>
      <c r="EU21" s="553">
        <f>EV21-ET21</f>
        <v>257699.55792073626</v>
      </c>
      <c r="EV21" s="553">
        <f>EV19*EQ21</f>
        <v>6363991.2643119581</v>
      </c>
      <c r="EW21" s="630"/>
      <c r="EX21" s="553">
        <f>SUM(EV21:EW21)</f>
        <v>6363991.2643119581</v>
      </c>
      <c r="EY21" s="630"/>
      <c r="EZ21" s="553">
        <f>SUM(EX21:EY21)</f>
        <v>6363991.2643119581</v>
      </c>
      <c r="FA21" s="630"/>
      <c r="FB21" s="553">
        <f>SUM(EZ21:FA21)</f>
        <v>6363991.2643119581</v>
      </c>
      <c r="FC21" s="553"/>
      <c r="FD21" s="553"/>
      <c r="FE21" s="630"/>
      <c r="FF21" s="553"/>
      <c r="FG21" s="22">
        <f>ROW()</f>
        <v>21</v>
      </c>
      <c r="FH21" s="23" t="s">
        <v>283</v>
      </c>
      <c r="FI21" s="703">
        <v>0.21</v>
      </c>
      <c r="FJ21" s="1698">
        <f>-$FI$21*FJ20</f>
        <v>-93460.504441038735</v>
      </c>
      <c r="FK21" s="1698">
        <f>-FI21*FK20</f>
        <v>5048.9460901443017</v>
      </c>
      <c r="FL21" s="590">
        <f>FJ21+FK21</f>
        <v>-88411.558350894426</v>
      </c>
      <c r="FM21" s="1698"/>
      <c r="FN21" s="590">
        <f>FL21+FM21</f>
        <v>-88411.558350894426</v>
      </c>
      <c r="FO21" s="1698"/>
      <c r="FP21" s="590">
        <f>FN21+FO21</f>
        <v>-88411.558350894426</v>
      </c>
      <c r="FQ21" s="1698"/>
      <c r="FR21" s="590">
        <f>FP21+FQ21</f>
        <v>-88411.558350894426</v>
      </c>
      <c r="FS21" s="1698"/>
      <c r="FT21" s="590">
        <f>FR21+FS21</f>
        <v>-88411.558350894426</v>
      </c>
      <c r="FU21" s="590"/>
      <c r="FV21" s="590"/>
      <c r="FW21" s="1698"/>
      <c r="FX21" s="590"/>
      <c r="FY21" s="22">
        <f>ROW()</f>
        <v>21</v>
      </c>
      <c r="FZ21" s="1217" t="s">
        <v>272</v>
      </c>
      <c r="GB21" s="42">
        <v>1969955.3996552667</v>
      </c>
      <c r="GC21" s="42">
        <v>-663619.96648559347</v>
      </c>
      <c r="GD21" s="42">
        <f t="shared" si="14"/>
        <v>1306335.4331696732</v>
      </c>
      <c r="GE21" s="42">
        <v>102514.21329824883</v>
      </c>
      <c r="GF21" s="42">
        <f t="shared" si="15"/>
        <v>1408849.646467922</v>
      </c>
      <c r="GG21" s="42">
        <v>44973.15213659755</v>
      </c>
      <c r="GH21" s="42">
        <f t="shared" si="16"/>
        <v>1453822.7986045196</v>
      </c>
      <c r="GI21" s="42">
        <v>10668.579249151284</v>
      </c>
      <c r="GJ21" s="42">
        <f t="shared" si="17"/>
        <v>1464491.3778536709</v>
      </c>
      <c r="GK21" s="42">
        <v>844.07238474977203</v>
      </c>
      <c r="GL21" s="42">
        <f t="shared" si="18"/>
        <v>1465335.4502384206</v>
      </c>
      <c r="GM21" s="42"/>
      <c r="GN21" s="42"/>
      <c r="GO21" s="42"/>
      <c r="GP21" s="42"/>
      <c r="GQ21" s="22">
        <f>ROW()</f>
        <v>21</v>
      </c>
      <c r="GR21" s="20"/>
      <c r="GS21" s="721"/>
      <c r="GT21" s="722"/>
      <c r="GU21" s="722"/>
      <c r="GV21" s="722"/>
      <c r="GW21" s="722"/>
      <c r="GX21" s="722"/>
      <c r="GY21" s="722"/>
      <c r="GZ21" s="722"/>
      <c r="HA21" s="722"/>
      <c r="HB21" s="722"/>
      <c r="HC21" s="722"/>
      <c r="HD21" s="722"/>
      <c r="HE21" s="722"/>
      <c r="HF21" s="722"/>
      <c r="HG21" s="722"/>
      <c r="HH21" s="722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22">
        <f>ROW()</f>
        <v>21</v>
      </c>
      <c r="IB21" s="28" t="s">
        <v>240</v>
      </c>
      <c r="IC21" s="23"/>
      <c r="ID21" s="682">
        <f t="shared" ref="ID21:IN21" si="49">-ID18-ID20</f>
        <v>-3032615.0002533039</v>
      </c>
      <c r="IE21" s="682">
        <f t="shared" si="49"/>
        <v>-435005.0623120963</v>
      </c>
      <c r="IF21" s="682">
        <f t="shared" si="49"/>
        <v>-3467620.0625654003</v>
      </c>
      <c r="IG21" s="682">
        <f t="shared" si="49"/>
        <v>0</v>
      </c>
      <c r="IH21" s="682">
        <f t="shared" si="49"/>
        <v>-3467620.0625654003</v>
      </c>
      <c r="II21" s="682">
        <f t="shared" si="49"/>
        <v>0</v>
      </c>
      <c r="IJ21" s="682">
        <f t="shared" si="49"/>
        <v>-3467620.0625654003</v>
      </c>
      <c r="IK21" s="682">
        <f t="shared" si="49"/>
        <v>0</v>
      </c>
      <c r="IL21" s="682">
        <f t="shared" si="49"/>
        <v>-3467620.0625654003</v>
      </c>
      <c r="IM21" s="682">
        <f t="shared" si="49"/>
        <v>0</v>
      </c>
      <c r="IN21" s="682">
        <f t="shared" si="49"/>
        <v>-3467620.0625654003</v>
      </c>
      <c r="IO21" s="682"/>
      <c r="IP21" s="682"/>
      <c r="IQ21" s="682"/>
      <c r="IR21" s="682"/>
      <c r="IS21" s="22">
        <f>ROW()</f>
        <v>21</v>
      </c>
      <c r="IT21" s="29" t="s">
        <v>259</v>
      </c>
      <c r="IU21" s="56">
        <v>0.21</v>
      </c>
      <c r="IV21" s="50">
        <f t="shared" ref="IV21:JF21" si="50">-$IU$21*IV19</f>
        <v>-193895.79299999995</v>
      </c>
      <c r="IW21" s="50">
        <f t="shared" si="50"/>
        <v>-206822.26670000007</v>
      </c>
      <c r="IX21" s="50">
        <f t="shared" si="50"/>
        <v>-400718.05970000004</v>
      </c>
      <c r="IY21" s="50">
        <f t="shared" si="50"/>
        <v>0</v>
      </c>
      <c r="IZ21" s="50">
        <f t="shared" si="50"/>
        <v>-400718.05970000004</v>
      </c>
      <c r="JA21" s="50">
        <f t="shared" si="50"/>
        <v>0</v>
      </c>
      <c r="JB21" s="50">
        <f t="shared" si="50"/>
        <v>-400718.05970000004</v>
      </c>
      <c r="JC21" s="50">
        <f t="shared" si="50"/>
        <v>0</v>
      </c>
      <c r="JD21" s="50">
        <f t="shared" si="50"/>
        <v>-400718.05970000004</v>
      </c>
      <c r="JE21" s="50">
        <f t="shared" si="50"/>
        <v>394254.84705833258</v>
      </c>
      <c r="JF21" s="50">
        <f t="shared" si="50"/>
        <v>-6463.21264166743</v>
      </c>
      <c r="JG21" s="50"/>
      <c r="JH21" s="50"/>
      <c r="JI21" s="50"/>
      <c r="JJ21" s="50"/>
      <c r="JK21" s="22">
        <f>ROW()</f>
        <v>21</v>
      </c>
      <c r="JL21" s="480"/>
      <c r="KC21" s="30"/>
      <c r="KU21" s="22">
        <f>ROW()</f>
        <v>21</v>
      </c>
      <c r="KV21" s="73" t="s">
        <v>272</v>
      </c>
      <c r="KW21" s="957"/>
      <c r="KX21" s="74">
        <v>28470220.649934221</v>
      </c>
      <c r="KY21" s="74">
        <v>949028.27199034393</v>
      </c>
      <c r="KZ21" s="637">
        <f t="shared" si="20"/>
        <v>29419248.921924565</v>
      </c>
      <c r="LA21" s="74">
        <v>0</v>
      </c>
      <c r="LB21" s="637">
        <f t="shared" si="21"/>
        <v>29419248.921924565</v>
      </c>
      <c r="LC21" s="74">
        <v>0</v>
      </c>
      <c r="LD21" s="637">
        <f t="shared" si="22"/>
        <v>29419248.921924565</v>
      </c>
      <c r="LE21" s="74">
        <v>0</v>
      </c>
      <c r="LF21" s="637">
        <f t="shared" si="23"/>
        <v>29419248.921924565</v>
      </c>
      <c r="LG21" s="74">
        <v>0</v>
      </c>
      <c r="LH21" s="637">
        <f t="shared" si="24"/>
        <v>29419248.921924565</v>
      </c>
      <c r="LI21" s="74">
        <v>0</v>
      </c>
      <c r="LJ21" s="637"/>
      <c r="LK21" s="74">
        <v>0</v>
      </c>
      <c r="LL21" s="637">
        <f t="shared" si="25"/>
        <v>0</v>
      </c>
      <c r="LM21" s="22">
        <f>ROW()</f>
        <v>21</v>
      </c>
      <c r="LN21" s="23" t="s">
        <v>150</v>
      </c>
      <c r="LP21" s="1192">
        <v>-1782190.3299845832</v>
      </c>
      <c r="LQ21" s="1192">
        <v>581492.75057958323</v>
      </c>
      <c r="LR21" s="651">
        <f t="shared" si="0"/>
        <v>-1200697.579405</v>
      </c>
      <c r="LS21" s="651"/>
      <c r="LT21" s="651">
        <f t="shared" si="1"/>
        <v>-1200697.579405</v>
      </c>
      <c r="LU21" s="651"/>
      <c r="LV21" s="651">
        <f t="shared" si="2"/>
        <v>-1200697.579405</v>
      </c>
      <c r="LW21" s="651"/>
      <c r="LX21" s="651">
        <f t="shared" si="3"/>
        <v>-1200697.579405</v>
      </c>
      <c r="LY21" s="651"/>
      <c r="LZ21" s="651">
        <f t="shared" si="4"/>
        <v>-1200697.579405</v>
      </c>
      <c r="MA21" s="651"/>
      <c r="MB21" s="651"/>
      <c r="MC21" s="651"/>
      <c r="MD21" s="651">
        <f t="shared" si="5"/>
        <v>0</v>
      </c>
      <c r="ME21" s="22">
        <f>ROW()</f>
        <v>21</v>
      </c>
      <c r="MF21" s="555" t="s">
        <v>291</v>
      </c>
      <c r="MH21" s="50">
        <v>317695.93</v>
      </c>
      <c r="MI21" s="50">
        <v>-317695.93</v>
      </c>
      <c r="MJ21" s="50">
        <f>MH21+MI21</f>
        <v>0</v>
      </c>
      <c r="MK21" s="50">
        <v>0</v>
      </c>
      <c r="ML21" s="50">
        <f>MJ21+MK21</f>
        <v>0</v>
      </c>
      <c r="MM21" s="50"/>
      <c r="MN21" s="50">
        <f>ML21+MM21</f>
        <v>0</v>
      </c>
      <c r="MO21" s="50"/>
      <c r="MP21" s="50">
        <f>MN21+MO21</f>
        <v>0</v>
      </c>
      <c r="MQ21" s="50"/>
      <c r="MR21" s="50">
        <f>MP21+MQ21</f>
        <v>0</v>
      </c>
      <c r="MS21" s="50"/>
      <c r="MT21" s="50"/>
      <c r="MU21" s="50"/>
      <c r="MV21" s="50"/>
      <c r="MW21" s="22">
        <f>ROW()</f>
        <v>21</v>
      </c>
      <c r="MX21" s="1562" t="s">
        <v>276</v>
      </c>
      <c r="MY21" s="1697">
        <v>0.21</v>
      </c>
      <c r="MZ21" s="984">
        <f>(-MZ20*$MY$21)</f>
        <v>-1112824.2111</v>
      </c>
      <c r="NA21" s="1696">
        <f>(-NA20*$MY$21)</f>
        <v>-273411.88676550006</v>
      </c>
      <c r="NB21" s="1696">
        <f>(-NB20*$MY$21)</f>
        <v>-1386236.0978655</v>
      </c>
      <c r="NC21" s="78">
        <f>-$MW$20*NC20</f>
        <v>0</v>
      </c>
      <c r="ND21" s="638">
        <f>SUM(NB21:NC21)</f>
        <v>-1386236.0978655</v>
      </c>
      <c r="NE21" s="78">
        <f>-$MW$20*NE20</f>
        <v>0</v>
      </c>
      <c r="NF21" s="638">
        <f>SUM(ND21:NE21)</f>
        <v>-1386236.0978655</v>
      </c>
      <c r="NG21" s="78">
        <f>-$MW$20*NG20</f>
        <v>0</v>
      </c>
      <c r="NH21" s="638">
        <f>SUM(NF21:NG21)</f>
        <v>-1386236.0978655</v>
      </c>
      <c r="NI21" s="78">
        <f>-$MW$20*NI20</f>
        <v>0</v>
      </c>
      <c r="NJ21" s="638">
        <f>SUM(NH21:NI21)</f>
        <v>-1386236.0978655</v>
      </c>
      <c r="NK21" s="78">
        <f>-$MW$20*NK20</f>
        <v>0</v>
      </c>
      <c r="NL21" s="78"/>
      <c r="NM21" s="78">
        <f>-$MW$20*NM20</f>
        <v>0</v>
      </c>
      <c r="NN21" s="78">
        <f>SUM(NL21:NM21)</f>
        <v>0</v>
      </c>
      <c r="NO21" s="22">
        <f>ROW()</f>
        <v>21</v>
      </c>
      <c r="NP21" s="28" t="s">
        <v>99</v>
      </c>
      <c r="NR21" s="1695"/>
      <c r="NS21" s="1695"/>
      <c r="NT21" s="1695"/>
      <c r="NU21" s="1695"/>
      <c r="NV21" s="1695"/>
      <c r="NW21" s="1695"/>
      <c r="NX21" s="1695">
        <f>'SEF-34 pg 1'!I35</f>
        <v>0</v>
      </c>
      <c r="NY21" s="1695">
        <v>0</v>
      </c>
      <c r="NZ21" s="1695">
        <f t="shared" si="6"/>
        <v>0</v>
      </c>
      <c r="OA21" s="1695">
        <v>0</v>
      </c>
      <c r="OB21" s="1695">
        <f t="shared" si="7"/>
        <v>0</v>
      </c>
      <c r="OC21" s="1695"/>
      <c r="OD21" s="1695"/>
      <c r="OE21" s="1695"/>
      <c r="OF21" s="1695"/>
      <c r="OG21" s="482">
        <f>ROW()</f>
        <v>21</v>
      </c>
      <c r="OH21" s="78" t="s">
        <v>952</v>
      </c>
      <c r="OI21" s="78"/>
      <c r="OJ21" s="705">
        <f>SUM(OJ18:OJ20)</f>
        <v>28019480.875479184</v>
      </c>
      <c r="OK21" s="705">
        <f>SUM(OK18:OK20)</f>
        <v>0</v>
      </c>
      <c r="OL21" s="705">
        <f>SUM(OL18:OL20)</f>
        <v>28019480.875479184</v>
      </c>
      <c r="OM21" s="705">
        <f>SUM(OM18:OM20)</f>
        <v>-28019480.875479184</v>
      </c>
      <c r="ON21" s="705">
        <f>SUM(ON18:ON20)</f>
        <v>0</v>
      </c>
      <c r="OO21" s="705"/>
      <c r="OP21" s="705"/>
      <c r="OQ21" s="705"/>
      <c r="OR21" s="705"/>
      <c r="OS21" s="705"/>
      <c r="OT21" s="705"/>
      <c r="OU21" s="705"/>
      <c r="OV21" s="705"/>
      <c r="OW21" s="705"/>
      <c r="OX21" s="705"/>
      <c r="OY21" s="22">
        <f>ROW()</f>
        <v>21</v>
      </c>
      <c r="OZ21" s="480" t="s">
        <v>951</v>
      </c>
      <c r="PA21" s="562"/>
      <c r="PB21" s="1692">
        <f t="shared" ref="PB21:PL21" si="51">SUM(PB18:PB20)</f>
        <v>116819973.56718999</v>
      </c>
      <c r="PC21" s="1694">
        <f t="shared" si="51"/>
        <v>-75215094.712953344</v>
      </c>
      <c r="PD21" s="1693">
        <f t="shared" si="51"/>
        <v>41604878.854236647</v>
      </c>
      <c r="PE21" s="1693">
        <f t="shared" si="51"/>
        <v>75215094.712953344</v>
      </c>
      <c r="PF21" s="1693">
        <f t="shared" si="51"/>
        <v>116819973.56718999</v>
      </c>
      <c r="PG21" s="1693">
        <f t="shared" si="51"/>
        <v>0</v>
      </c>
      <c r="PH21" s="1693">
        <f t="shared" si="51"/>
        <v>116819973.56718999</v>
      </c>
      <c r="PI21" s="1693">
        <f t="shared" si="51"/>
        <v>0</v>
      </c>
      <c r="PJ21" s="1694">
        <f t="shared" si="51"/>
        <v>116819973.56718999</v>
      </c>
      <c r="PK21" s="1693">
        <f t="shared" si="51"/>
        <v>0</v>
      </c>
      <c r="PL21" s="1692">
        <f t="shared" si="51"/>
        <v>116819973.56718999</v>
      </c>
      <c r="PM21" s="1691"/>
      <c r="PN21" s="1691"/>
      <c r="PO21" s="69"/>
      <c r="PP21" s="69"/>
      <c r="PQ21" s="22">
        <f>ROW()</f>
        <v>21</v>
      </c>
      <c r="PR21" s="1690" t="s">
        <v>240</v>
      </c>
      <c r="PS21" s="644"/>
      <c r="PT21" s="69">
        <f t="shared" ref="PT21:QH21" si="52">-PT18-PT20</f>
        <v>-4256142.4510999974</v>
      </c>
      <c r="PU21" s="69">
        <f t="shared" si="52"/>
        <v>-267705.11489864736</v>
      </c>
      <c r="PV21" s="69">
        <f t="shared" si="52"/>
        <v>-4523847.5659986455</v>
      </c>
      <c r="PW21" s="69">
        <f t="shared" si="52"/>
        <v>8365.7662636469395</v>
      </c>
      <c r="PX21" s="69">
        <f t="shared" si="52"/>
        <v>-4515481.7997349985</v>
      </c>
      <c r="PY21" s="69">
        <f t="shared" si="52"/>
        <v>-8365.7772850000765</v>
      </c>
      <c r="PZ21" s="69">
        <f t="shared" si="52"/>
        <v>-4523847.5770199979</v>
      </c>
      <c r="QA21" s="69">
        <f t="shared" si="52"/>
        <v>1366472.8491678936</v>
      </c>
      <c r="QB21" s="69">
        <f t="shared" si="52"/>
        <v>-3157374.7278521042</v>
      </c>
      <c r="QC21" s="69">
        <f t="shared" si="52"/>
        <v>1413394.9515225352</v>
      </c>
      <c r="QD21" s="69">
        <f t="shared" si="52"/>
        <v>-1743979.7763295693</v>
      </c>
      <c r="QE21" s="69">
        <f t="shared" si="52"/>
        <v>0</v>
      </c>
      <c r="QF21" s="69">
        <f t="shared" si="52"/>
        <v>0</v>
      </c>
      <c r="QG21" s="69">
        <f t="shared" si="52"/>
        <v>0</v>
      </c>
      <c r="QH21" s="69">
        <f t="shared" si="52"/>
        <v>0</v>
      </c>
      <c r="QJ21" s="1662"/>
      <c r="QK21" s="616"/>
      <c r="QL21" s="616"/>
      <c r="RB21" s="394">
        <f>ROW()</f>
        <v>21</v>
      </c>
      <c r="RC21" s="616" t="s">
        <v>275</v>
      </c>
      <c r="RD21" s="616"/>
      <c r="RE21" s="1490"/>
      <c r="RF21" s="1490"/>
      <c r="RG21" s="1471">
        <f t="shared" ref="RG21:RO21" si="53">SUM(RG17:RG20)</f>
        <v>193790199.03447071</v>
      </c>
      <c r="RH21" s="1471">
        <f t="shared" si="53"/>
        <v>377748.07468491048</v>
      </c>
      <c r="RI21" s="1471">
        <f t="shared" si="53"/>
        <v>194167947.10915563</v>
      </c>
      <c r="RJ21" s="1471">
        <f t="shared" si="53"/>
        <v>-1968389.0846907347</v>
      </c>
      <c r="RK21" s="1471">
        <f t="shared" si="53"/>
        <v>192199558.02446488</v>
      </c>
      <c r="RL21" s="1471">
        <f t="shared" si="53"/>
        <v>67398212.778005093</v>
      </c>
      <c r="RM21" s="1471">
        <f t="shared" si="53"/>
        <v>259597770.80246997</v>
      </c>
      <c r="RN21" s="1471">
        <f t="shared" si="53"/>
        <v>-9019326.4874949716</v>
      </c>
      <c r="RO21" s="1471">
        <f t="shared" si="53"/>
        <v>250578444.31497499</v>
      </c>
      <c r="RP21" s="1471"/>
      <c r="RQ21" s="1471"/>
      <c r="RR21" s="1471"/>
      <c r="RS21" s="1471"/>
      <c r="RT21" s="521">
        <f>ROW()</f>
        <v>21</v>
      </c>
      <c r="RU21" s="616" t="s">
        <v>948</v>
      </c>
      <c r="RV21" s="520"/>
      <c r="RW21" s="688"/>
      <c r="RX21" s="688"/>
      <c r="RY21" s="688"/>
      <c r="RZ21" s="382"/>
      <c r="SA21" s="1684">
        <f>RZ21+RY21</f>
        <v>0</v>
      </c>
      <c r="SB21" s="674"/>
      <c r="SC21" s="1684">
        <f>SB21+SA21</f>
        <v>0</v>
      </c>
      <c r="SD21" s="674"/>
      <c r="SE21" s="1684">
        <f>SD21+SC21</f>
        <v>0</v>
      </c>
      <c r="SF21" s="674"/>
      <c r="SG21" s="1684">
        <f>SF21+SE21</f>
        <v>0</v>
      </c>
      <c r="SH21" s="1684"/>
      <c r="SI21" s="1684"/>
      <c r="SJ21" s="674"/>
      <c r="SK21" s="1684"/>
      <c r="SL21" s="82">
        <f>ROW()</f>
        <v>21</v>
      </c>
      <c r="SM21" s="616"/>
      <c r="SN21" s="1484"/>
      <c r="SO21" s="1471"/>
      <c r="SP21" s="1471"/>
      <c r="SQ21" s="1471"/>
      <c r="SR21" s="1471"/>
      <c r="SS21" s="1471"/>
      <c r="ST21" s="1471"/>
      <c r="SU21" s="1471"/>
      <c r="SV21" s="1471"/>
      <c r="SW21" s="1471"/>
      <c r="SX21" s="1471"/>
      <c r="SY21" s="1471"/>
      <c r="SZ21" s="1471"/>
      <c r="TA21" s="1471"/>
      <c r="TB21" s="1470"/>
      <c r="TC21" s="1470"/>
      <c r="TD21" s="424"/>
      <c r="TE21" s="82">
        <f>ROW()</f>
        <v>21</v>
      </c>
      <c r="TF21" s="349" t="s">
        <v>297</v>
      </c>
      <c r="TG21" s="652"/>
      <c r="TH21" s="672">
        <f t="shared" ref="TH21:TR21" si="54">SUM(TH18:TH20)</f>
        <v>87457</v>
      </c>
      <c r="TI21" s="672">
        <f t="shared" si="54"/>
        <v>-87457</v>
      </c>
      <c r="TJ21" s="672">
        <f t="shared" si="54"/>
        <v>0</v>
      </c>
      <c r="TK21" s="672">
        <f t="shared" si="54"/>
        <v>0</v>
      </c>
      <c r="TL21" s="672">
        <f t="shared" si="54"/>
        <v>0</v>
      </c>
      <c r="TM21" s="672">
        <f t="shared" si="54"/>
        <v>0</v>
      </c>
      <c r="TN21" s="672">
        <f t="shared" si="54"/>
        <v>0</v>
      </c>
      <c r="TO21" s="672">
        <f t="shared" si="54"/>
        <v>62000</v>
      </c>
      <c r="TP21" s="672">
        <f t="shared" si="54"/>
        <v>62000</v>
      </c>
      <c r="TQ21" s="672">
        <f t="shared" si="54"/>
        <v>0</v>
      </c>
      <c r="TR21" s="672">
        <f t="shared" si="54"/>
        <v>62000</v>
      </c>
      <c r="TS21"/>
      <c r="TT21"/>
      <c r="TU21"/>
      <c r="TV21"/>
      <c r="TW21" s="424"/>
      <c r="TX21" s="82">
        <f>ROW()</f>
        <v>21</v>
      </c>
      <c r="TY21" s="679" t="s">
        <v>17</v>
      </c>
      <c r="TZ21" s="37">
        <f>+'SEF-35'!E12</f>
        <v>2.8909999999999999E-3</v>
      </c>
      <c r="UA21" s="78">
        <f>+UA19*TZ21</f>
        <v>0</v>
      </c>
      <c r="UB21" s="78">
        <f>-UA21</f>
        <v>0</v>
      </c>
      <c r="UQ21" s="521">
        <f>ROW()</f>
        <v>21</v>
      </c>
      <c r="UR21" s="1543" t="s">
        <v>296</v>
      </c>
      <c r="UT21" s="50"/>
      <c r="UU21" s="50"/>
      <c r="UV21" s="50"/>
      <c r="UW21" s="50"/>
      <c r="UX21" s="50"/>
      <c r="UY21" s="50"/>
      <c r="UZ21" s="50"/>
      <c r="VA21" s="50"/>
      <c r="VB21" s="50"/>
      <c r="VC21" s="50"/>
      <c r="VD21" s="50"/>
      <c r="VJ21" s="521">
        <f>ROW()</f>
        <v>21</v>
      </c>
      <c r="VK21" s="102"/>
      <c r="VM21" s="102"/>
      <c r="VN21" s="102"/>
      <c r="VO21" s="102"/>
      <c r="VP21" s="571"/>
      <c r="VQ21" s="102"/>
      <c r="VR21" s="571"/>
      <c r="VS21" s="312"/>
      <c r="VT21" s="571"/>
      <c r="VU21" s="312"/>
      <c r="VV21" s="571"/>
      <c r="VW21" s="312"/>
      <c r="VY21" s="521">
        <f>ROW()</f>
        <v>21</v>
      </c>
      <c r="VZ21" s="694" t="s">
        <v>240</v>
      </c>
      <c r="WB21" s="715">
        <f t="shared" ref="WB21:WL21" si="55">-WB18-WB20</f>
        <v>0</v>
      </c>
      <c r="WC21" s="715">
        <f t="shared" si="55"/>
        <v>0</v>
      </c>
      <c r="WD21" s="715">
        <f t="shared" si="55"/>
        <v>0</v>
      </c>
      <c r="WE21" s="715">
        <f t="shared" si="55"/>
        <v>0</v>
      </c>
      <c r="WF21" s="715">
        <f t="shared" si="55"/>
        <v>0</v>
      </c>
      <c r="WG21" s="715">
        <f t="shared" si="55"/>
        <v>0</v>
      </c>
      <c r="WH21" s="715">
        <f t="shared" si="55"/>
        <v>0</v>
      </c>
      <c r="WI21" s="715">
        <f t="shared" si="55"/>
        <v>-318969.52152150846</v>
      </c>
      <c r="WJ21" s="715">
        <f t="shared" si="55"/>
        <v>-318969.52152150846</v>
      </c>
      <c r="WK21" s="715">
        <f t="shared" si="55"/>
        <v>-11163.933253252708</v>
      </c>
      <c r="WL21" s="715">
        <f t="shared" si="55"/>
        <v>-330133.45477476122</v>
      </c>
      <c r="WN21" s="521">
        <f>ROW()</f>
        <v>21</v>
      </c>
      <c r="WO21" s="694" t="s">
        <v>240</v>
      </c>
      <c r="WQ21" s="715">
        <f t="shared" ref="WQ21:XA21" si="56">-WQ18-WQ20</f>
        <v>0</v>
      </c>
      <c r="WR21" s="715">
        <f t="shared" si="56"/>
        <v>0</v>
      </c>
      <c r="WS21" s="715">
        <f t="shared" si="56"/>
        <v>0</v>
      </c>
      <c r="WT21" s="715">
        <f t="shared" si="56"/>
        <v>0</v>
      </c>
      <c r="WU21" s="715">
        <f t="shared" si="56"/>
        <v>0</v>
      </c>
      <c r="WV21" s="715">
        <f t="shared" si="56"/>
        <v>0</v>
      </c>
      <c r="WW21" s="715">
        <f t="shared" si="56"/>
        <v>0</v>
      </c>
      <c r="WX21" s="716">
        <f t="shared" si="56"/>
        <v>-473094.90797310008</v>
      </c>
      <c r="WY21" s="716">
        <f t="shared" si="56"/>
        <v>-473094.90797310008</v>
      </c>
      <c r="WZ21" s="716">
        <f t="shared" si="56"/>
        <v>-517474.02904289996</v>
      </c>
      <c r="XA21" s="716">
        <f t="shared" si="56"/>
        <v>-990568.93701600004</v>
      </c>
    </row>
    <row r="22" spans="1:625" ht="17.25" thickTop="1" thickBot="1" x14ac:dyDescent="0.3">
      <c r="A22" s="22">
        <f>ROW()</f>
        <v>22</v>
      </c>
      <c r="B22" t="s">
        <v>950</v>
      </c>
      <c r="C22" s="1550" t="s">
        <v>876</v>
      </c>
      <c r="D22" s="1392"/>
      <c r="E22" s="1392">
        <v>44651001.892138109</v>
      </c>
      <c r="F22" s="880"/>
      <c r="G22" s="641"/>
      <c r="H22" s="880"/>
      <c r="I22" s="641"/>
      <c r="J22" s="1052"/>
      <c r="K22" s="641"/>
      <c r="L22" s="641"/>
      <c r="M22" s="641"/>
      <c r="N22" s="619"/>
      <c r="O22" s="619"/>
      <c r="P22" s="619"/>
      <c r="Q22" s="619"/>
      <c r="R22" s="619"/>
      <c r="S22" s="22">
        <f>ROW()</f>
        <v>22</v>
      </c>
      <c r="T22" s="603" t="s">
        <v>949</v>
      </c>
      <c r="U22" s="1627"/>
      <c r="V22" s="668">
        <f t="shared" si="8"/>
        <v>1637721.5100000002</v>
      </c>
      <c r="W22" s="74">
        <v>-1637721.5100000002</v>
      </c>
      <c r="X22" s="74"/>
      <c r="Y22" s="74"/>
      <c r="Z22" s="74">
        <f t="shared" si="9"/>
        <v>0</v>
      </c>
      <c r="AA22" s="74"/>
      <c r="AB22" s="74">
        <f t="shared" si="10"/>
        <v>0</v>
      </c>
      <c r="AC22" s="74"/>
      <c r="AD22" s="74">
        <f t="shared" si="11"/>
        <v>0</v>
      </c>
      <c r="AE22" s="74"/>
      <c r="AF22" s="74">
        <f t="shared" si="12"/>
        <v>0</v>
      </c>
      <c r="AG22" s="74"/>
      <c r="AH22" s="74"/>
      <c r="AI22" s="74"/>
      <c r="AJ22" s="74"/>
      <c r="AK22" s="22">
        <f>ROW()</f>
        <v>22</v>
      </c>
      <c r="AL22" s="28" t="s">
        <v>300</v>
      </c>
      <c r="AM22" s="752">
        <f>'SEF-35'!E12</f>
        <v>2.8909999999999999E-3</v>
      </c>
      <c r="AN22" s="719">
        <f>$AN$20*$AM22</f>
        <v>116620.11478512423</v>
      </c>
      <c r="AO22" s="719">
        <f>AO$20*$AM22</f>
        <v>-1388.5935709282696</v>
      </c>
      <c r="AP22" s="719">
        <f>$AP$20*$AM22</f>
        <v>115231.52121419595</v>
      </c>
      <c r="AQ22" s="719">
        <f>AQ$20*$AM22</f>
        <v>-67810.879467156643</v>
      </c>
      <c r="AR22" s="719">
        <f>AR20*AM22</f>
        <v>234461.35833565463</v>
      </c>
      <c r="AS22" s="719"/>
      <c r="AT22" s="719"/>
      <c r="AU22" s="719"/>
      <c r="AV22" s="719"/>
      <c r="AW22" s="719"/>
      <c r="AX22" s="719"/>
      <c r="AY22" s="719"/>
      <c r="AZ22" s="719"/>
      <c r="BA22" s="719"/>
      <c r="BB22" s="719"/>
      <c r="BC22" s="22">
        <f>ROW()</f>
        <v>22</v>
      </c>
      <c r="BD22" s="28" t="s">
        <v>326</v>
      </c>
      <c r="BE22" s="535"/>
      <c r="BF22" s="1689">
        <f t="shared" ref="BF22:BP22" si="57">-BF20</f>
        <v>-37650420.160000011</v>
      </c>
      <c r="BG22" s="1689">
        <f t="shared" si="57"/>
        <v>-2391601.7753268979</v>
      </c>
      <c r="BH22" s="1689">
        <f t="shared" si="57"/>
        <v>-40042021.935326904</v>
      </c>
      <c r="BI22" s="1689">
        <f t="shared" si="57"/>
        <v>133104.75165847223</v>
      </c>
      <c r="BJ22" s="1689">
        <f t="shared" si="57"/>
        <v>-39908917.183668435</v>
      </c>
      <c r="BK22" s="1689">
        <f t="shared" si="57"/>
        <v>-348814.75209316192</v>
      </c>
      <c r="BL22" s="1689">
        <f t="shared" si="57"/>
        <v>-40257731.935761601</v>
      </c>
      <c r="BM22" s="1689">
        <f t="shared" si="57"/>
        <v>3984285.403344369</v>
      </c>
      <c r="BN22" s="1689">
        <f t="shared" si="57"/>
        <v>-36273446.53241723</v>
      </c>
      <c r="BO22" s="1689">
        <f t="shared" si="57"/>
        <v>184598.59659993602</v>
      </c>
      <c r="BP22" s="1689">
        <f t="shared" si="57"/>
        <v>-36088847.935817294</v>
      </c>
      <c r="BQ22" s="1689"/>
      <c r="BR22" s="1689"/>
      <c r="BS22" s="1689"/>
      <c r="BT22" s="1689"/>
      <c r="BU22" s="22">
        <f>ROW()</f>
        <v>22</v>
      </c>
      <c r="BV22" s="512"/>
      <c r="BX22" s="317"/>
      <c r="BY22" s="318"/>
      <c r="BZ22" s="477"/>
      <c r="CA22" s="318"/>
      <c r="CB22" s="477"/>
      <c r="CC22" s="318"/>
      <c r="CD22" s="477"/>
      <c r="CE22" s="318"/>
      <c r="CF22" s="477"/>
      <c r="CG22" s="318"/>
      <c r="CH22" s="477"/>
      <c r="CI22" s="477"/>
      <c r="CJ22" s="477"/>
      <c r="CK22" s="318"/>
      <c r="CL22" s="477"/>
      <c r="DE22" s="22">
        <f>ROW()</f>
        <v>22</v>
      </c>
      <c r="DF22" s="744" t="s">
        <v>292</v>
      </c>
      <c r="DG22" s="28"/>
      <c r="DH22" s="1688">
        <f t="shared" ref="DH22:DR22" si="58">-DH19-DH21</f>
        <v>-866496.48097030004</v>
      </c>
      <c r="DI22" s="1688">
        <f t="shared" si="58"/>
        <v>-183413.51902969996</v>
      </c>
      <c r="DJ22" s="1688">
        <f t="shared" si="58"/>
        <v>-1049910</v>
      </c>
      <c r="DK22" s="1688">
        <f t="shared" si="58"/>
        <v>0</v>
      </c>
      <c r="DL22" s="1688">
        <f t="shared" si="58"/>
        <v>-1049910</v>
      </c>
      <c r="DM22" s="1688">
        <f t="shared" si="58"/>
        <v>0</v>
      </c>
      <c r="DN22" s="1688">
        <f t="shared" si="58"/>
        <v>-1049910</v>
      </c>
      <c r="DO22" s="1688">
        <f t="shared" si="58"/>
        <v>0</v>
      </c>
      <c r="DP22" s="1688">
        <f t="shared" si="58"/>
        <v>-1049910</v>
      </c>
      <c r="DQ22" s="1688">
        <f t="shared" si="58"/>
        <v>0</v>
      </c>
      <c r="DR22" s="1688">
        <f t="shared" si="58"/>
        <v>-1049910</v>
      </c>
      <c r="DS22" s="1688"/>
      <c r="DT22" s="1688"/>
      <c r="DU22" s="1688"/>
      <c r="DV22" s="1688"/>
      <c r="DW22" s="30"/>
      <c r="DX22" s="732"/>
      <c r="DY22" s="78"/>
      <c r="DZ22" s="20"/>
      <c r="EA22" s="20"/>
      <c r="EB22" s="20"/>
      <c r="EC22" s="20"/>
      <c r="ED22" s="20"/>
      <c r="EO22" s="22">
        <f>ROW()</f>
        <v>22</v>
      </c>
      <c r="EP22" s="720" t="s">
        <v>303</v>
      </c>
      <c r="EQ22" s="587"/>
      <c r="ER22" s="630">
        <v>6242476.8065875797</v>
      </c>
      <c r="ES22" s="630">
        <f>ET22-ER22</f>
        <v>0</v>
      </c>
      <c r="ET22" s="553">
        <v>6242476.8065875797</v>
      </c>
      <c r="EU22" s="630">
        <f>EV22-ET22</f>
        <v>0</v>
      </c>
      <c r="EV22" s="553">
        <v>6242476.8065875797</v>
      </c>
      <c r="EW22" s="630"/>
      <c r="EX22" s="553">
        <f>SUM(EV22:EW22)</f>
        <v>6242476.8065875797</v>
      </c>
      <c r="EY22" s="630"/>
      <c r="EZ22" s="553">
        <f>SUM(EX22:EY22)</f>
        <v>6242476.8065875797</v>
      </c>
      <c r="FA22" s="630"/>
      <c r="FB22" s="553">
        <f>SUM(EZ22:FA22)</f>
        <v>6242476.8065875797</v>
      </c>
      <c r="FC22" s="553"/>
      <c r="FD22" s="553"/>
      <c r="FE22" s="630"/>
      <c r="FF22" s="553"/>
      <c r="FG22" s="22">
        <f>ROW()</f>
        <v>22</v>
      </c>
      <c r="FH22" s="23"/>
      <c r="FI22" s="23"/>
      <c r="FK22" s="1687"/>
      <c r="FM22" s="1687"/>
      <c r="FO22" s="1687"/>
      <c r="FQ22" s="1687"/>
      <c r="FS22" s="1687"/>
      <c r="FW22" s="1687"/>
      <c r="FX22"/>
      <c r="FY22" s="22">
        <f>ROW()</f>
        <v>22</v>
      </c>
      <c r="FZ22" s="1217" t="s">
        <v>289</v>
      </c>
      <c r="GB22" s="42">
        <v>441704.16914932057</v>
      </c>
      <c r="GC22" s="42">
        <v>-149741.13523320132</v>
      </c>
      <c r="GD22" s="42">
        <f t="shared" si="14"/>
        <v>291963.03391611925</v>
      </c>
      <c r="GE22" s="42">
        <v>22922.424210030236</v>
      </c>
      <c r="GF22" s="42">
        <f t="shared" si="15"/>
        <v>314885.45812614949</v>
      </c>
      <c r="GG22" s="42">
        <v>10051.621943489474</v>
      </c>
      <c r="GH22" s="42">
        <f t="shared" si="16"/>
        <v>324937.08006963896</v>
      </c>
      <c r="GI22" s="42">
        <v>2384.4034893848002</v>
      </c>
      <c r="GJ22" s="42">
        <f t="shared" si="17"/>
        <v>327321.48355902376</v>
      </c>
      <c r="GK22" s="42">
        <v>188.64828132116236</v>
      </c>
      <c r="GL22" s="42">
        <f t="shared" si="18"/>
        <v>327510.13184034493</v>
      </c>
      <c r="GM22" s="42"/>
      <c r="GN22" s="42"/>
      <c r="GO22" s="42"/>
      <c r="GP22" s="42"/>
      <c r="GQ22" s="22">
        <f>ROW()</f>
        <v>22</v>
      </c>
      <c r="GR22" s="594" t="s">
        <v>315</v>
      </c>
      <c r="GS22" s="735"/>
      <c r="GT22" s="722"/>
      <c r="GU22" s="722"/>
      <c r="GV22" s="722"/>
      <c r="GW22" s="722"/>
      <c r="GX22" s="722"/>
      <c r="GY22" s="722"/>
      <c r="GZ22" s="722"/>
      <c r="HA22" s="722"/>
      <c r="HB22" s="722"/>
      <c r="HC22" s="722"/>
      <c r="HD22" s="722"/>
      <c r="HE22" s="722"/>
      <c r="HF22" s="722"/>
      <c r="HG22" s="722"/>
      <c r="HH22" s="722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22">
        <f>ROW()</f>
        <v>22</v>
      </c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22">
        <f>ROW()</f>
        <v>22</v>
      </c>
      <c r="IT22" s="29" t="s">
        <v>240</v>
      </c>
      <c r="IU22" s="29"/>
      <c r="IV22" s="708">
        <f t="shared" ref="IV22:JF22" si="59">-IV19-IV21</f>
        <v>-729417.50699999987</v>
      </c>
      <c r="IW22" s="708">
        <f t="shared" si="59"/>
        <v>-778045.66996666696</v>
      </c>
      <c r="IX22" s="708">
        <f t="shared" si="59"/>
        <v>-1507463.1769666667</v>
      </c>
      <c r="IY22" s="708">
        <f t="shared" si="59"/>
        <v>0</v>
      </c>
      <c r="IZ22" s="708">
        <f t="shared" si="59"/>
        <v>-1507463.1769666667</v>
      </c>
      <c r="JA22" s="708">
        <f t="shared" si="59"/>
        <v>0</v>
      </c>
      <c r="JB22" s="708">
        <f t="shared" si="59"/>
        <v>-1507463.1769666667</v>
      </c>
      <c r="JC22" s="708">
        <f t="shared" si="59"/>
        <v>0</v>
      </c>
      <c r="JD22" s="708">
        <f t="shared" si="59"/>
        <v>-1507463.1769666667</v>
      </c>
      <c r="JE22" s="708">
        <f t="shared" si="59"/>
        <v>1483149.1865527751</v>
      </c>
      <c r="JF22" s="708">
        <f t="shared" si="59"/>
        <v>-24313.990413891763</v>
      </c>
      <c r="JG22" s="708"/>
      <c r="JH22" s="708"/>
      <c r="JI22" s="708"/>
      <c r="JJ22" s="708"/>
      <c r="JK22" s="22">
        <f>ROW()</f>
        <v>22</v>
      </c>
      <c r="JL22" s="4" t="s">
        <v>283</v>
      </c>
      <c r="JM22" s="723">
        <v>0.21</v>
      </c>
      <c r="JN22" s="724">
        <f>-JN20*JM22</f>
        <v>-21175.761120688632</v>
      </c>
      <c r="JO22" s="724">
        <f>JP22-JN22</f>
        <v>3481.8782863634588</v>
      </c>
      <c r="JP22" s="724">
        <f>-JP20*$JM$22</f>
        <v>-17693.882834325173</v>
      </c>
      <c r="JQ22" s="724">
        <f>-JQ20*$JM$22</f>
        <v>0</v>
      </c>
      <c r="JR22" s="724">
        <f>-JR20*$JM$22</f>
        <v>-17693.882834325173</v>
      </c>
      <c r="JS22" s="724"/>
      <c r="JT22" s="724">
        <f>-JT20*$JM$22</f>
        <v>-17693.882834325173</v>
      </c>
      <c r="JU22" s="724"/>
      <c r="JV22" s="724">
        <f>-JV20*$JM$22</f>
        <v>-17693.882834325173</v>
      </c>
      <c r="JW22" s="724"/>
      <c r="JX22" s="724">
        <f>-JX20*$JM$22</f>
        <v>-17693.882834325173</v>
      </c>
      <c r="JY22" s="724"/>
      <c r="JZ22" s="724"/>
      <c r="KA22" s="724"/>
      <c r="KB22" s="724"/>
      <c r="KC22" s="30"/>
      <c r="KU22" s="22">
        <f>ROW()</f>
        <v>22</v>
      </c>
      <c r="KV22" s="73" t="s">
        <v>289</v>
      </c>
      <c r="KW22" s="957"/>
      <c r="KX22" s="74">
        <v>6383582.6504291072</v>
      </c>
      <c r="KY22" s="74">
        <v>191846.74656400736</v>
      </c>
      <c r="KZ22" s="637">
        <f t="shared" si="20"/>
        <v>6575429.3969931146</v>
      </c>
      <c r="LA22" s="74">
        <v>0</v>
      </c>
      <c r="LB22" s="637">
        <f t="shared" si="21"/>
        <v>6575429.3969931146</v>
      </c>
      <c r="LC22" s="74">
        <v>0</v>
      </c>
      <c r="LD22" s="637">
        <f t="shared" si="22"/>
        <v>6575429.3969931146</v>
      </c>
      <c r="LE22" s="74">
        <v>0</v>
      </c>
      <c r="LF22" s="637">
        <f t="shared" si="23"/>
        <v>6575429.3969931146</v>
      </c>
      <c r="LG22" s="74">
        <v>0</v>
      </c>
      <c r="LH22" s="637">
        <f t="shared" si="24"/>
        <v>6575429.3969931146</v>
      </c>
      <c r="LI22" s="74">
        <v>0</v>
      </c>
      <c r="LJ22" s="637"/>
      <c r="LK22" s="74">
        <v>0</v>
      </c>
      <c r="LL22" s="637">
        <f t="shared" si="25"/>
        <v>0</v>
      </c>
      <c r="LM22" s="22">
        <f>ROW()</f>
        <v>22</v>
      </c>
      <c r="LN22" s="23" t="s">
        <v>118</v>
      </c>
      <c r="LP22" s="725">
        <f t="shared" ref="LP22:MD22" si="60">SUM(LP16:LP21)</f>
        <v>2948894387.0453196</v>
      </c>
      <c r="LQ22" s="725">
        <f t="shared" si="60"/>
        <v>50455434.08198075</v>
      </c>
      <c r="LR22" s="725">
        <f t="shared" si="60"/>
        <v>2999349821.1272998</v>
      </c>
      <c r="LS22" s="725">
        <f t="shared" si="60"/>
        <v>0</v>
      </c>
      <c r="LT22" s="726">
        <f t="shared" si="60"/>
        <v>2999349821.1272998</v>
      </c>
      <c r="LU22" s="725">
        <f t="shared" si="60"/>
        <v>0</v>
      </c>
      <c r="LV22" s="726">
        <f t="shared" si="60"/>
        <v>2999349821.1272998</v>
      </c>
      <c r="LW22" s="725">
        <f t="shared" si="60"/>
        <v>0</v>
      </c>
      <c r="LX22" s="726">
        <f t="shared" si="60"/>
        <v>2999349821.1272998</v>
      </c>
      <c r="LY22" s="725">
        <f t="shared" si="60"/>
        <v>0</v>
      </c>
      <c r="LZ22" s="726">
        <f t="shared" si="60"/>
        <v>2999349821.1272998</v>
      </c>
      <c r="MA22" s="726">
        <f t="shared" si="60"/>
        <v>0</v>
      </c>
      <c r="MB22" s="726">
        <f t="shared" si="60"/>
        <v>0</v>
      </c>
      <c r="MC22" s="726">
        <f t="shared" si="60"/>
        <v>0</v>
      </c>
      <c r="MD22" s="726">
        <f t="shared" si="60"/>
        <v>0</v>
      </c>
      <c r="ME22" s="22">
        <f>ROW()</f>
        <v>22</v>
      </c>
      <c r="MF22" s="555" t="s">
        <v>305</v>
      </c>
      <c r="MH22" s="50">
        <v>55343.627279999979</v>
      </c>
      <c r="MI22" s="50">
        <v>-55343.627279999979</v>
      </c>
      <c r="MJ22" s="50">
        <f>MH22+MI22</f>
        <v>0</v>
      </c>
      <c r="MK22" s="50">
        <v>0</v>
      </c>
      <c r="ML22" s="50">
        <f>MJ22+MK22</f>
        <v>0</v>
      </c>
      <c r="MM22" s="50"/>
      <c r="MN22" s="50">
        <f>ML22+MM22</f>
        <v>0</v>
      </c>
      <c r="MO22" s="50"/>
      <c r="MP22" s="50">
        <f>MN22+MO22</f>
        <v>0</v>
      </c>
      <c r="MQ22" s="50"/>
      <c r="MR22" s="50">
        <f>MP22+MQ22</f>
        <v>0</v>
      </c>
      <c r="MS22" s="50"/>
      <c r="MT22" s="50"/>
      <c r="MU22" s="50"/>
      <c r="MV22" s="50"/>
      <c r="MW22" s="22">
        <f>ROW()</f>
        <v>22</v>
      </c>
      <c r="MX22" s="1562" t="s">
        <v>292</v>
      </c>
      <c r="MZ22" s="635">
        <f>-MZ20-MZ21</f>
        <v>-4186338.6989000002</v>
      </c>
      <c r="NA22" s="704">
        <f>-NA20-NA21</f>
        <v>-1028549.4787845002</v>
      </c>
      <c r="NB22" s="704">
        <f>-NB20-NB21</f>
        <v>-5214888.1776845008</v>
      </c>
      <c r="NC22" s="635">
        <f>-NC20-NC21</f>
        <v>0</v>
      </c>
      <c r="ND22" s="704">
        <f>SUM(NB22:NC22)</f>
        <v>-5214888.1776845008</v>
      </c>
      <c r="NE22" s="635">
        <f>-NE20-NE21</f>
        <v>0</v>
      </c>
      <c r="NF22" s="704">
        <f>SUM(ND22:NE22)</f>
        <v>-5214888.1776845008</v>
      </c>
      <c r="NG22" s="635">
        <f>-NG20-NG21</f>
        <v>0</v>
      </c>
      <c r="NH22" s="704">
        <f>SUM(NF22:NG22)</f>
        <v>-5214888.1776845008</v>
      </c>
      <c r="NI22" s="635">
        <f>-NI20-NI21</f>
        <v>0</v>
      </c>
      <c r="NJ22" s="704">
        <f>SUM(NH22:NI22)</f>
        <v>-5214888.1776845008</v>
      </c>
      <c r="NK22" s="635">
        <f>-NK20-NK21</f>
        <v>0</v>
      </c>
      <c r="NL22" s="635"/>
      <c r="NM22" s="635">
        <f>-NM20-NM21</f>
        <v>0</v>
      </c>
      <c r="NN22" s="635">
        <f>SUM(NL22:NM22)</f>
        <v>0</v>
      </c>
      <c r="NO22" s="22">
        <f>ROW()</f>
        <v>22</v>
      </c>
      <c r="NP22" s="28" t="s">
        <v>100</v>
      </c>
      <c r="NQ22" s="88"/>
      <c r="NR22" s="619"/>
      <c r="NS22" s="747"/>
      <c r="NT22" s="619"/>
      <c r="NU22" s="747"/>
      <c r="NV22" s="619"/>
      <c r="NW22" s="747"/>
      <c r="NX22" s="747">
        <f>'SEF-34 pg 1'!I36</f>
        <v>74473180.840518832</v>
      </c>
      <c r="NY22" s="640">
        <v>-7292042.7571008801</v>
      </c>
      <c r="NZ22" s="747">
        <f t="shared" si="6"/>
        <v>67181138.083417952</v>
      </c>
      <c r="OA22" s="640">
        <v>7611452.4402360469</v>
      </c>
      <c r="OB22" s="747">
        <f t="shared" si="7"/>
        <v>74792590.523653999</v>
      </c>
      <c r="OC22" s="1686"/>
      <c r="OD22" s="1686"/>
      <c r="OE22" s="1686"/>
      <c r="OF22" s="1686"/>
      <c r="OG22" s="482">
        <f>ROW()</f>
        <v>22</v>
      </c>
      <c r="OH22" s="50" t="s">
        <v>306</v>
      </c>
      <c r="OI22" s="50"/>
      <c r="OJ22" s="667"/>
      <c r="OK22" s="667"/>
      <c r="OL22" s="667"/>
      <c r="OM22" s="667"/>
      <c r="ON22" s="667"/>
      <c r="OO22" s="665"/>
      <c r="OP22" s="665"/>
      <c r="OQ22" s="665"/>
      <c r="OR22" s="665"/>
      <c r="OS22" s="665"/>
      <c r="OT22" s="665"/>
      <c r="OU22" s="665"/>
      <c r="OV22" s="665"/>
      <c r="OW22" s="665"/>
      <c r="OX22" s="665"/>
      <c r="OY22" s="22">
        <f>ROW()</f>
        <v>22</v>
      </c>
      <c r="OZ22" s="616" t="s">
        <v>306</v>
      </c>
      <c r="PA22" s="1451"/>
      <c r="PB22" s="63"/>
      <c r="PC22" s="63"/>
      <c r="PD22" s="63"/>
      <c r="PE22" s="1451"/>
      <c r="PF22" s="1451"/>
      <c r="PG22" s="1451"/>
      <c r="PH22" s="1473"/>
      <c r="PI22" s="1451"/>
      <c r="PJ22" s="1472"/>
      <c r="PK22" s="1451"/>
      <c r="PL22" s="1472"/>
      <c r="PM22" s="1685"/>
      <c r="PN22" s="1685"/>
      <c r="PO22" s="69"/>
      <c r="PP22" s="69"/>
      <c r="PQ22" s="22"/>
      <c r="PR22" s="480"/>
      <c r="PS22" s="644"/>
      <c r="PT22" s="69"/>
      <c r="PU22" s="69"/>
      <c r="PV22" s="69"/>
      <c r="PW22" s="69"/>
      <c r="PX22" s="69"/>
      <c r="PY22" s="69"/>
      <c r="PZ22" s="69"/>
      <c r="QA22" s="69"/>
      <c r="QB22" s="69"/>
      <c r="QC22" s="69"/>
      <c r="QD22" s="69"/>
      <c r="QE22" s="69"/>
      <c r="QF22" s="69"/>
      <c r="QG22" s="69"/>
      <c r="QH22" s="69"/>
      <c r="QJ22" s="1662"/>
      <c r="QK22" s="616"/>
      <c r="QL22" s="616"/>
      <c r="RB22" s="394">
        <f>ROW()</f>
        <v>22</v>
      </c>
      <c r="RC22" s="616" t="s">
        <v>948</v>
      </c>
      <c r="RD22" s="616"/>
      <c r="RE22" s="1490"/>
      <c r="RF22" s="1490"/>
      <c r="RG22" s="1471">
        <v>0</v>
      </c>
      <c r="RH22" s="1471">
        <f>RI22-RG22</f>
        <v>0</v>
      </c>
      <c r="RI22" s="674">
        <v>0</v>
      </c>
      <c r="RJ22" s="1471">
        <f>RK22-RI22</f>
        <v>0</v>
      </c>
      <c r="RK22" s="674">
        <v>0</v>
      </c>
      <c r="RL22" s="1471">
        <f>RM22-RK22</f>
        <v>0</v>
      </c>
      <c r="RM22" s="674">
        <v>0</v>
      </c>
      <c r="RN22" s="1471">
        <f>RO22-RM22</f>
        <v>0</v>
      </c>
      <c r="RO22" s="674">
        <v>0</v>
      </c>
      <c r="RP22" s="674"/>
      <c r="RQ22" s="674"/>
      <c r="RR22" s="1471"/>
      <c r="RS22" s="674"/>
      <c r="RT22" s="521">
        <f>ROW()</f>
        <v>22</v>
      </c>
      <c r="RU22" s="616" t="s">
        <v>945</v>
      </c>
      <c r="RV22" s="520"/>
      <c r="RW22" s="688"/>
      <c r="RX22" s="688"/>
      <c r="RY22" s="688"/>
      <c r="RZ22" s="382"/>
      <c r="SA22" s="1684">
        <f>RZ22+RY22</f>
        <v>0</v>
      </c>
      <c r="SB22" s="674"/>
      <c r="SC22" s="1684">
        <f>SB22+SA22</f>
        <v>0</v>
      </c>
      <c r="SD22" s="674"/>
      <c r="SE22" s="1684">
        <f>SD22+SC22</f>
        <v>0</v>
      </c>
      <c r="SF22" s="674"/>
      <c r="SG22" s="1684">
        <f>SF22+SE22</f>
        <v>0</v>
      </c>
      <c r="SH22" s="1684"/>
      <c r="SI22" s="1684"/>
      <c r="SJ22" s="674"/>
      <c r="SK22" s="1684"/>
      <c r="SL22" s="82">
        <f>ROW()</f>
        <v>22</v>
      </c>
      <c r="SM22" s="616" t="s">
        <v>258</v>
      </c>
      <c r="SN22" s="1484"/>
      <c r="SO22" s="1471"/>
      <c r="SP22" s="1471"/>
      <c r="SQ22" s="1471"/>
      <c r="SR22" s="1471">
        <f t="shared" ref="SR22:SY22" si="61">SR20</f>
        <v>611271.05680999998</v>
      </c>
      <c r="SS22" s="1471">
        <f t="shared" si="61"/>
        <v>611271.05680999998</v>
      </c>
      <c r="ST22" s="1471">
        <f t="shared" si="61"/>
        <v>6992223.892155</v>
      </c>
      <c r="SU22" s="1471">
        <f t="shared" si="61"/>
        <v>7603494.948965</v>
      </c>
      <c r="SV22" s="1471">
        <f t="shared" si="61"/>
        <v>10656964.659060001</v>
      </c>
      <c r="SW22" s="1471">
        <f t="shared" si="61"/>
        <v>18260459.608024999</v>
      </c>
      <c r="SX22" s="1471">
        <f t="shared" si="61"/>
        <v>10578304.551260002</v>
      </c>
      <c r="SY22" s="1471">
        <f t="shared" si="61"/>
        <v>28838764.159285001</v>
      </c>
      <c r="SZ22" s="1471"/>
      <c r="TA22" s="1471"/>
      <c r="TB22" s="1470"/>
      <c r="TC22" s="1470"/>
      <c r="TD22" s="424"/>
      <c r="TE22" s="82">
        <f>ROW()</f>
        <v>22</v>
      </c>
      <c r="TF22" s="349"/>
      <c r="TG22" s="652"/>
      <c r="TH22" s="672"/>
      <c r="TI22" s="673"/>
      <c r="TJ22" s="674"/>
      <c r="TK22" s="674"/>
      <c r="TL22" s="674"/>
      <c r="TM22" s="674"/>
      <c r="TN22" s="674"/>
      <c r="TO22" s="674"/>
      <c r="TP22" s="674"/>
      <c r="TQ22" s="674"/>
      <c r="TR22" s="674"/>
      <c r="TS22"/>
      <c r="TT22"/>
      <c r="TU22"/>
      <c r="TV22"/>
      <c r="TW22" s="424"/>
      <c r="TX22" s="82">
        <f>ROW()</f>
        <v>22</v>
      </c>
      <c r="TY22" s="679" t="s">
        <v>20</v>
      </c>
      <c r="TZ22" s="1151">
        <v>5.0000000000000001E-3</v>
      </c>
      <c r="UA22" s="78">
        <f>+UA19*TZ22</f>
        <v>0</v>
      </c>
      <c r="UB22" s="78">
        <f>-UA22</f>
        <v>0</v>
      </c>
      <c r="UQ22" s="521">
        <f>ROW()</f>
        <v>22</v>
      </c>
      <c r="UR22" s="1661" t="s">
        <v>307</v>
      </c>
      <c r="UT22" s="50"/>
      <c r="UU22" s="50">
        <v>0</v>
      </c>
      <c r="UV22" s="50"/>
      <c r="UW22" s="50"/>
      <c r="UX22" s="50"/>
      <c r="UY22" s="50"/>
      <c r="UZ22" s="50"/>
      <c r="VA22" s="750">
        <v>3312025.0962618445</v>
      </c>
      <c r="VB22" s="1683">
        <f>UZ22+VA22</f>
        <v>3312025.0962618445</v>
      </c>
      <c r="VC22" s="50">
        <v>0</v>
      </c>
      <c r="VD22" s="1683">
        <f>VB22+VC22</f>
        <v>3312025.0962618445</v>
      </c>
      <c r="VJ22" s="521">
        <f>ROW()</f>
        <v>22</v>
      </c>
      <c r="VK22" s="102"/>
      <c r="VM22" s="687"/>
      <c r="VN22" s="687"/>
      <c r="VO22" s="687"/>
      <c r="VP22" s="713"/>
      <c r="VQ22" s="714"/>
      <c r="VR22" s="713"/>
      <c r="VS22" s="714"/>
      <c r="VT22" s="713"/>
      <c r="VU22" s="714"/>
      <c r="VV22" s="713"/>
      <c r="VW22" s="714"/>
    </row>
    <row r="23" spans="1:625" ht="17.25" thickTop="1" thickBot="1" x14ac:dyDescent="0.3">
      <c r="A23" s="22">
        <f>ROW()</f>
        <v>23</v>
      </c>
      <c r="B23" t="s">
        <v>929</v>
      </c>
      <c r="C23" s="1550" t="s">
        <v>876</v>
      </c>
      <c r="D23" s="43"/>
      <c r="E23" s="1392">
        <v>-141410.32999999999</v>
      </c>
      <c r="F23" s="43"/>
      <c r="G23" s="43"/>
      <c r="H23" s="880"/>
      <c r="I23" s="641"/>
      <c r="J23" s="1052"/>
      <c r="K23" s="641"/>
      <c r="L23" s="641"/>
      <c r="M23" s="641"/>
      <c r="N23" s="619"/>
      <c r="O23" s="619"/>
      <c r="P23" s="619"/>
      <c r="Q23" s="619"/>
      <c r="R23" s="619"/>
      <c r="S23" s="22">
        <f>ROW()</f>
        <v>23</v>
      </c>
      <c r="T23" s="603" t="s">
        <v>947</v>
      </c>
      <c r="U23" s="1627"/>
      <c r="V23" s="668">
        <f t="shared" si="8"/>
        <v>-764669.87</v>
      </c>
      <c r="W23" s="74">
        <v>764669.87</v>
      </c>
      <c r="X23" s="74"/>
      <c r="Y23" s="74"/>
      <c r="Z23" s="74">
        <f t="shared" si="9"/>
        <v>0</v>
      </c>
      <c r="AA23" s="74"/>
      <c r="AB23" s="74">
        <f t="shared" si="10"/>
        <v>0</v>
      </c>
      <c r="AC23" s="74"/>
      <c r="AD23" s="74">
        <f t="shared" si="11"/>
        <v>0</v>
      </c>
      <c r="AE23" s="74"/>
      <c r="AF23" s="74">
        <f t="shared" si="12"/>
        <v>0</v>
      </c>
      <c r="AG23" s="74"/>
      <c r="AH23" s="74"/>
      <c r="AI23" s="74"/>
      <c r="AJ23" s="74"/>
      <c r="AK23" s="22">
        <f>ROW()</f>
        <v>23</v>
      </c>
      <c r="AL23" s="28" t="s">
        <v>310</v>
      </c>
      <c r="AM23" s="1151">
        <v>5.0000000000000001E-3</v>
      </c>
      <c r="AN23" s="718">
        <f>$AN$20*$AM23</f>
        <v>201695.11377572507</v>
      </c>
      <c r="AO23" s="718">
        <f>$AO$20*$AM23</f>
        <v>-2401.5800258185227</v>
      </c>
      <c r="AP23" s="718">
        <f>$AP$20*$AM23</f>
        <v>199293.53374990655</v>
      </c>
      <c r="AQ23" s="718">
        <f>AQ$20*$AM23</f>
        <v>-117279.27960421419</v>
      </c>
      <c r="AR23" s="718">
        <f>AR20*AM23</f>
        <v>405502.17629826121</v>
      </c>
      <c r="AS23" s="719"/>
      <c r="AT23" s="719"/>
      <c r="AU23" s="719"/>
      <c r="AV23" s="719"/>
      <c r="AW23" s="719"/>
      <c r="AX23" s="719"/>
      <c r="AY23" s="719"/>
      <c r="AZ23" s="719"/>
      <c r="BA23" s="719"/>
      <c r="BB23" s="719"/>
      <c r="BC23" s="22">
        <f>ROW()</f>
        <v>23</v>
      </c>
      <c r="BD23" s="1" t="s">
        <v>306</v>
      </c>
      <c r="BU23" s="22">
        <f>ROW()</f>
        <v>23</v>
      </c>
      <c r="BV23" s="516" t="s">
        <v>311</v>
      </c>
      <c r="BW23" s="731">
        <v>0.21</v>
      </c>
      <c r="BX23" s="382">
        <f>-BX21*$BW$23</f>
        <v>0</v>
      </c>
      <c r="BY23" s="382">
        <f>-BY21*$BW$23</f>
        <v>-16074542.57656165</v>
      </c>
      <c r="BZ23" s="74">
        <f>SUM(BX23:BY23)</f>
        <v>-16074542.57656165</v>
      </c>
      <c r="CA23" s="1682">
        <f>-CA21*$BW$23</f>
        <v>596614.66645446536</v>
      </c>
      <c r="CB23" s="74">
        <f>SUM(BZ23:CA23)</f>
        <v>-15477927.910107184</v>
      </c>
      <c r="CC23" s="382">
        <f>-CC21*$BW$23</f>
        <v>-543136.50103020924</v>
      </c>
      <c r="CD23" s="74">
        <f>SUM(CB23:CC23)</f>
        <v>-16021064.411137393</v>
      </c>
      <c r="CE23" s="74">
        <f>-CE21*$BW$23</f>
        <v>-51423.477331428228</v>
      </c>
      <c r="CF23" s="74">
        <f>SUM(CD23:CE23)</f>
        <v>-16072487.888468821</v>
      </c>
      <c r="CG23" s="74">
        <f>-CG21*$BW$23</f>
        <v>259430.30854620427</v>
      </c>
      <c r="CH23" s="74">
        <f>SUM(CF23:CG23)</f>
        <v>-15813057.579922616</v>
      </c>
      <c r="CI23" s="74">
        <f>-CI21*$BW$23</f>
        <v>0</v>
      </c>
      <c r="CJ23" s="74"/>
      <c r="CK23" s="74">
        <f>-CK21*$BW$23</f>
        <v>0</v>
      </c>
      <c r="CL23" s="74">
        <f>SUM(CJ23:CK23)</f>
        <v>0</v>
      </c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482"/>
      <c r="DF23" s="744"/>
      <c r="DG23" s="744"/>
      <c r="DH23" s="1"/>
      <c r="DI23" s="1"/>
      <c r="DJ23" s="1"/>
      <c r="DK23" s="1"/>
      <c r="DL23" s="1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30"/>
      <c r="DX23" s="1"/>
      <c r="DY23" s="1"/>
      <c r="DZ23" s="1"/>
      <c r="EA23" s="1"/>
      <c r="EB23" s="1"/>
      <c r="EC23" s="1"/>
      <c r="ED23" s="1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22">
        <f>ROW()</f>
        <v>23</v>
      </c>
      <c r="EP23" s="29" t="s">
        <v>313</v>
      </c>
      <c r="EQ23" s="23"/>
      <c r="ER23" s="660">
        <f t="shared" ref="ER23:FB23" si="62">ER21-ER22</f>
        <v>-118895.92411444243</v>
      </c>
      <c r="ES23" s="660">
        <f t="shared" si="62"/>
        <v>-17289.176081915386</v>
      </c>
      <c r="ET23" s="660">
        <f t="shared" si="62"/>
        <v>-136185.10019635782</v>
      </c>
      <c r="EU23" s="660">
        <f t="shared" si="62"/>
        <v>257699.55792073626</v>
      </c>
      <c r="EV23" s="660">
        <f t="shared" si="62"/>
        <v>121514.45772437844</v>
      </c>
      <c r="EW23" s="660">
        <f t="shared" si="62"/>
        <v>0</v>
      </c>
      <c r="EX23" s="660">
        <f t="shared" si="62"/>
        <v>121514.45772437844</v>
      </c>
      <c r="EY23" s="660">
        <f t="shared" si="62"/>
        <v>0</v>
      </c>
      <c r="EZ23" s="660">
        <f t="shared" si="62"/>
        <v>121514.45772437844</v>
      </c>
      <c r="FA23" s="660">
        <f t="shared" si="62"/>
        <v>0</v>
      </c>
      <c r="FB23" s="660">
        <f t="shared" si="62"/>
        <v>121514.45772437844</v>
      </c>
      <c r="FC23" s="660"/>
      <c r="FD23" s="660"/>
      <c r="FE23" s="660"/>
      <c r="FF23" s="660"/>
      <c r="FG23" s="22">
        <f>ROW()</f>
        <v>23</v>
      </c>
      <c r="FH23" s="733" t="s">
        <v>240</v>
      </c>
      <c r="FI23" s="733"/>
      <c r="FJ23" s="1681">
        <f t="shared" ref="FJ23:FT23" si="63">-FJ20-FJ21</f>
        <v>-351589.51670676481</v>
      </c>
      <c r="FK23" s="1681">
        <f t="shared" si="63"/>
        <v>18993.65433911428</v>
      </c>
      <c r="FL23" s="1681">
        <f t="shared" si="63"/>
        <v>-332595.86236765049</v>
      </c>
      <c r="FM23" s="1681">
        <f t="shared" si="63"/>
        <v>0</v>
      </c>
      <c r="FN23" s="1681">
        <f t="shared" si="63"/>
        <v>-332595.86236765049</v>
      </c>
      <c r="FO23" s="1681">
        <f t="shared" si="63"/>
        <v>0</v>
      </c>
      <c r="FP23" s="1681">
        <f t="shared" si="63"/>
        <v>-332595.86236765049</v>
      </c>
      <c r="FQ23" s="1681">
        <f t="shared" si="63"/>
        <v>0</v>
      </c>
      <c r="FR23" s="1681">
        <f t="shared" si="63"/>
        <v>-332595.86236765049</v>
      </c>
      <c r="FS23" s="1681">
        <f t="shared" si="63"/>
        <v>0</v>
      </c>
      <c r="FT23" s="1681">
        <f t="shared" si="63"/>
        <v>-332595.86236765049</v>
      </c>
      <c r="FU23" s="1681"/>
      <c r="FV23" s="1681"/>
      <c r="FW23" s="1681"/>
      <c r="FX23" s="1681"/>
      <c r="FY23" s="22">
        <f>ROW()</f>
        <v>23</v>
      </c>
      <c r="FZ23" s="1217" t="s">
        <v>304</v>
      </c>
      <c r="GB23" s="42">
        <v>78079.772516031167</v>
      </c>
      <c r="GC23" s="42">
        <v>-24494.517219285743</v>
      </c>
      <c r="GD23" s="42">
        <f t="shared" si="14"/>
        <v>53585.255296745425</v>
      </c>
      <c r="GE23" s="42">
        <v>4201.6604279313615</v>
      </c>
      <c r="GF23" s="42">
        <f t="shared" si="15"/>
        <v>57786.915724676786</v>
      </c>
      <c r="GG23" s="42">
        <v>1844.6460932217306</v>
      </c>
      <c r="GH23" s="42">
        <f t="shared" si="16"/>
        <v>59631.561817898517</v>
      </c>
      <c r="GI23" s="42">
        <v>437.57918931749009</v>
      </c>
      <c r="GJ23" s="42">
        <f t="shared" si="17"/>
        <v>60069.141007216007</v>
      </c>
      <c r="GK23" s="42">
        <v>34.620215233764611</v>
      </c>
      <c r="GL23" s="42">
        <f t="shared" si="18"/>
        <v>60103.761222449772</v>
      </c>
      <c r="GM23" s="42"/>
      <c r="GN23" s="42"/>
      <c r="GO23" s="42"/>
      <c r="GP23" s="42"/>
      <c r="GQ23" s="22">
        <f>ROW()</f>
        <v>23</v>
      </c>
      <c r="GR23" s="4" t="s">
        <v>328</v>
      </c>
      <c r="GS23" s="14"/>
      <c r="GT23" s="722">
        <v>448588.05680000002</v>
      </c>
      <c r="GU23" s="722">
        <v>3925.1454970000195</v>
      </c>
      <c r="GV23" s="722">
        <f>SUM(GT23:GU23)</f>
        <v>452513.20229700004</v>
      </c>
      <c r="GW23" s="722">
        <v>0</v>
      </c>
      <c r="GX23" s="722">
        <f>SUM(GV23:GW23)</f>
        <v>452513.20229700004</v>
      </c>
      <c r="GY23" s="722">
        <v>0</v>
      </c>
      <c r="GZ23" s="722">
        <f>SUM(GX23:GY23)</f>
        <v>452513.20229700004</v>
      </c>
      <c r="HA23" s="722">
        <v>0</v>
      </c>
      <c r="HB23" s="722">
        <f>SUM(GZ23:HA23)</f>
        <v>452513.20229700004</v>
      </c>
      <c r="HC23" s="722">
        <v>0</v>
      </c>
      <c r="HD23" s="722">
        <f>SUM(HB23:HC23)</f>
        <v>452513.20229700004</v>
      </c>
      <c r="HE23" s="722"/>
      <c r="HF23" s="722"/>
      <c r="HG23" s="722"/>
      <c r="HH23" s="722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78"/>
      <c r="HZ23" s="78"/>
      <c r="IA23" s="22">
        <f>ROW()</f>
        <v>23</v>
      </c>
      <c r="IB23" s="1680" t="s">
        <v>338</v>
      </c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482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22">
        <f>ROW()</f>
        <v>23</v>
      </c>
      <c r="JL23" s="4" t="s">
        <v>240</v>
      </c>
      <c r="JM23" s="508"/>
      <c r="JN23" s="737">
        <f>-JN20-JN22</f>
        <v>-79661.196596876282</v>
      </c>
      <c r="JO23" s="737">
        <f>-JO20-JO22</f>
        <v>13098.494505843493</v>
      </c>
      <c r="JP23" s="737">
        <f>-JP20-JP22</f>
        <v>-66562.702091032785</v>
      </c>
      <c r="JQ23" s="737">
        <f>-JQ20-JQ22</f>
        <v>0</v>
      </c>
      <c r="JR23" s="737">
        <f>-JR20-JR22</f>
        <v>-66562.702091032785</v>
      </c>
      <c r="JS23" s="737"/>
      <c r="JT23" s="737">
        <f>-JT20-JT22</f>
        <v>-66562.702091032785</v>
      </c>
      <c r="JU23" s="737"/>
      <c r="JV23" s="737">
        <f>-JV20-JV22</f>
        <v>-66562.702091032785</v>
      </c>
      <c r="JW23" s="737"/>
      <c r="JX23" s="737">
        <f>-JX20-JX22</f>
        <v>-66562.702091032785</v>
      </c>
      <c r="JY23" s="737"/>
      <c r="JZ23" s="737"/>
      <c r="KA23" s="737"/>
      <c r="KB23" s="737"/>
      <c r="KU23" s="22">
        <f>ROW()</f>
        <v>23</v>
      </c>
      <c r="KV23" s="73" t="s">
        <v>304</v>
      </c>
      <c r="KW23" s="971"/>
      <c r="KX23" s="74">
        <v>1128425.5207900973</v>
      </c>
      <c r="KY23" s="74">
        <v>78515.927254621871</v>
      </c>
      <c r="KZ23" s="637">
        <f t="shared" si="20"/>
        <v>1206941.4480447192</v>
      </c>
      <c r="LA23" s="74">
        <v>0</v>
      </c>
      <c r="LB23" s="637">
        <f t="shared" si="21"/>
        <v>1206941.4480447192</v>
      </c>
      <c r="LC23" s="74">
        <v>0</v>
      </c>
      <c r="LD23" s="637">
        <f t="shared" si="22"/>
        <v>1206941.4480447192</v>
      </c>
      <c r="LE23" s="74">
        <v>0</v>
      </c>
      <c r="LF23" s="637">
        <f t="shared" si="23"/>
        <v>1206941.4480447192</v>
      </c>
      <c r="LG23" s="74">
        <v>0</v>
      </c>
      <c r="LH23" s="637">
        <f t="shared" si="24"/>
        <v>1206941.4480447192</v>
      </c>
      <c r="LI23" s="74">
        <v>0</v>
      </c>
      <c r="LJ23" s="637"/>
      <c r="LK23" s="74">
        <v>0</v>
      </c>
      <c r="LL23" s="637">
        <f t="shared" si="25"/>
        <v>0</v>
      </c>
      <c r="LM23" s="22"/>
      <c r="LO23" s="1679" t="s">
        <v>316</v>
      </c>
      <c r="LP23" s="50">
        <f>LP22-'SEF-34 pg 1'!C58</f>
        <v>0</v>
      </c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22">
        <f>ROW()</f>
        <v>23</v>
      </c>
      <c r="MF23" s="555" t="s">
        <v>317</v>
      </c>
      <c r="MH23" s="50">
        <v>242370.05999999997</v>
      </c>
      <c r="MI23" s="50">
        <v>-242370.05999999997</v>
      </c>
      <c r="MJ23" s="50">
        <f>MH23+MI23</f>
        <v>0</v>
      </c>
      <c r="MK23" s="50">
        <v>0</v>
      </c>
      <c r="ML23" s="50">
        <f>MJ23+MK23</f>
        <v>0</v>
      </c>
      <c r="MM23" s="50"/>
      <c r="MN23" s="50">
        <f>ML23+MM23</f>
        <v>0</v>
      </c>
      <c r="MO23" s="50"/>
      <c r="MP23" s="50">
        <f>MN23+MO23</f>
        <v>0</v>
      </c>
      <c r="MQ23" s="50"/>
      <c r="MR23" s="50">
        <f>MP23+MQ23</f>
        <v>0</v>
      </c>
      <c r="MS23" s="50"/>
      <c r="MT23" s="50"/>
      <c r="MU23" s="50"/>
      <c r="MV23" s="50"/>
      <c r="MW23" s="22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22">
        <f>ROW()</f>
        <v>23</v>
      </c>
      <c r="NP23" s="1678" t="s">
        <v>105</v>
      </c>
      <c r="NQ23" s="17"/>
      <c r="NR23" s="1675"/>
      <c r="NS23" s="1675"/>
      <c r="NT23" s="1675"/>
      <c r="NU23" s="1675"/>
      <c r="NV23" s="1675"/>
      <c r="NW23" s="1675"/>
      <c r="NX23" s="1676">
        <f>'SEF-34 pg 1'!I41</f>
        <v>25881686.75529515</v>
      </c>
      <c r="NY23" s="1677">
        <v>-1907825.035493671</v>
      </c>
      <c r="NZ23" s="1676">
        <f>NX23+NY23</f>
        <v>23973861.719801478</v>
      </c>
      <c r="OA23" s="1675">
        <v>2190298.4134793999</v>
      </c>
      <c r="OB23" s="1676">
        <f>NZ23+OA23</f>
        <v>26164160.133280877</v>
      </c>
      <c r="OC23" s="1675"/>
      <c r="OD23" s="1674"/>
      <c r="OE23" s="1675"/>
      <c r="OF23" s="1674"/>
      <c r="OG23" s="482">
        <f>ROW()</f>
        <v>23</v>
      </c>
      <c r="OH23" s="1" t="s">
        <v>306</v>
      </c>
      <c r="OI23" s="731"/>
      <c r="OJ23" s="738"/>
      <c r="OK23" s="738"/>
      <c r="OL23" s="738"/>
      <c r="OM23" s="738"/>
      <c r="ON23" s="738"/>
      <c r="OO23" s="738"/>
      <c r="OP23" s="738"/>
      <c r="OQ23" s="738"/>
      <c r="OR23" s="738"/>
      <c r="OS23" s="738"/>
      <c r="OT23" s="738"/>
      <c r="OU23" s="42"/>
      <c r="OV23" s="42"/>
      <c r="OW23" s="42"/>
      <c r="OX23" s="42"/>
      <c r="OY23" s="22">
        <f>ROW()</f>
        <v>23</v>
      </c>
      <c r="OZ23" s="480" t="s">
        <v>946</v>
      </c>
      <c r="PA23" s="644"/>
      <c r="PB23"/>
      <c r="PC23" s="19"/>
      <c r="PD23" s="19"/>
      <c r="PE23" s="1451"/>
      <c r="PF23" s="1451"/>
      <c r="PG23" s="1451"/>
      <c r="PH23" s="1451"/>
      <c r="PI23" s="1451"/>
      <c r="PJ23" s="1438"/>
      <c r="PK23" s="1451"/>
      <c r="PL23" s="1438"/>
      <c r="PM23" s="1444"/>
      <c r="PN23" s="1444"/>
      <c r="PO23" s="19"/>
      <c r="PP23" s="19"/>
      <c r="PQ23" s="22"/>
      <c r="PR23" s="562"/>
      <c r="PS23" s="644"/>
      <c r="PT23" s="63"/>
      <c r="PU23" s="63"/>
      <c r="PV23" s="63"/>
      <c r="PW23" s="63"/>
      <c r="PX23" s="63"/>
      <c r="PY23" s="50"/>
      <c r="PZ23" s="50"/>
      <c r="QA23" s="50"/>
      <c r="QB23" s="50"/>
      <c r="QC23" s="50"/>
      <c r="QD23" s="50"/>
      <c r="QE23" s="50"/>
      <c r="QF23" s="50"/>
      <c r="QG23" s="50"/>
      <c r="QH23" s="50"/>
      <c r="QI23" s="19"/>
      <c r="QJ23" s="82"/>
      <c r="QK23" s="317"/>
      <c r="QL23" s="317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394">
        <f>ROW()</f>
        <v>23</v>
      </c>
      <c r="RC23" s="317" t="s">
        <v>945</v>
      </c>
      <c r="RD23" s="317"/>
      <c r="RE23" s="1672"/>
      <c r="RF23" s="1672"/>
      <c r="RG23" s="414">
        <v>0</v>
      </c>
      <c r="RH23" s="414">
        <f>RI23-RG23</f>
        <v>0</v>
      </c>
      <c r="RI23" s="382">
        <v>0</v>
      </c>
      <c r="RJ23" s="414">
        <f>RK23-RI23</f>
        <v>0</v>
      </c>
      <c r="RK23" s="382">
        <v>0</v>
      </c>
      <c r="RL23" s="414">
        <f>RM23-RK23</f>
        <v>0</v>
      </c>
      <c r="RM23" s="382">
        <v>0</v>
      </c>
      <c r="RN23" s="414">
        <f>RO23-RM23</f>
        <v>0</v>
      </c>
      <c r="RO23" s="382">
        <v>0</v>
      </c>
      <c r="RP23" s="382"/>
      <c r="RQ23" s="382"/>
      <c r="RR23" s="414"/>
      <c r="RS23" s="382"/>
      <c r="RT23" s="950">
        <f>ROW()</f>
        <v>23</v>
      </c>
      <c r="RU23" s="317" t="s">
        <v>939</v>
      </c>
      <c r="RV23" s="43"/>
      <c r="RW23" s="745"/>
      <c r="RX23" s="745"/>
      <c r="RY23" s="745"/>
      <c r="RZ23" s="1619"/>
      <c r="SA23" s="1619">
        <f>RZ23+RY23</f>
        <v>0</v>
      </c>
      <c r="SB23" s="1619"/>
      <c r="SC23" s="1619">
        <f>SB23+SA23</f>
        <v>0</v>
      </c>
      <c r="SD23" s="1619"/>
      <c r="SE23" s="1619">
        <f>SD23+SC23</f>
        <v>0</v>
      </c>
      <c r="SF23" s="1619"/>
      <c r="SG23" s="1619">
        <f>SF23+SE23</f>
        <v>0</v>
      </c>
      <c r="SH23" s="1619"/>
      <c r="SI23" s="1619"/>
      <c r="SJ23" s="1619"/>
      <c r="SK23" s="1619"/>
      <c r="SL23" s="82">
        <f>ROW()</f>
        <v>23</v>
      </c>
      <c r="SM23" s="317"/>
      <c r="SN23" s="1673"/>
      <c r="SO23" s="1672"/>
      <c r="SP23" s="1672"/>
      <c r="SQ23" s="1672"/>
      <c r="SR23" s="1672"/>
      <c r="SS23" s="1672"/>
      <c r="ST23" s="1672"/>
      <c r="SU23" s="1672"/>
      <c r="SV23" s="1672"/>
      <c r="SW23" s="1672"/>
      <c r="SX23" s="1672"/>
      <c r="SY23" s="1672"/>
      <c r="SZ23" s="1672"/>
      <c r="TA23" s="1672"/>
      <c r="TB23" s="1671"/>
      <c r="TC23" s="1671"/>
      <c r="TD23" s="18"/>
      <c r="TE23" s="82">
        <f>ROW()</f>
        <v>23</v>
      </c>
      <c r="TF23" s="349" t="s">
        <v>321</v>
      </c>
      <c r="TG23" s="740">
        <v>0.21</v>
      </c>
      <c r="TH23" s="672">
        <f t="shared" ref="TH23:TR23" si="64">-TH21*$TG23</f>
        <v>-18365.969999999998</v>
      </c>
      <c r="TI23" s="672">
        <f t="shared" si="64"/>
        <v>18365.969999999998</v>
      </c>
      <c r="TJ23" s="672">
        <f t="shared" si="64"/>
        <v>0</v>
      </c>
      <c r="TK23" s="672">
        <f t="shared" si="64"/>
        <v>0</v>
      </c>
      <c r="TL23" s="672">
        <f t="shared" si="64"/>
        <v>0</v>
      </c>
      <c r="TM23" s="672">
        <f t="shared" si="64"/>
        <v>0</v>
      </c>
      <c r="TN23" s="672">
        <f t="shared" si="64"/>
        <v>0</v>
      </c>
      <c r="TO23" s="672">
        <f t="shared" si="64"/>
        <v>-13020</v>
      </c>
      <c r="TP23" s="672">
        <f t="shared" si="64"/>
        <v>-13020</v>
      </c>
      <c r="TQ23" s="672">
        <f t="shared" si="64"/>
        <v>0</v>
      </c>
      <c r="TR23" s="672">
        <f t="shared" si="64"/>
        <v>-13020</v>
      </c>
      <c r="TS23" s="19"/>
      <c r="TT23" s="19"/>
      <c r="TU23" s="19"/>
      <c r="TV23" s="19"/>
      <c r="TW23" s="18"/>
      <c r="TX23" s="82">
        <f>ROW()</f>
        <v>23</v>
      </c>
      <c r="TY23" s="1670" t="s">
        <v>319</v>
      </c>
      <c r="TZ23" s="1669">
        <f>+'SEF-35'!E14</f>
        <v>3.8408999999999999E-2</v>
      </c>
      <c r="UA23" s="651">
        <f>+UA19*TZ23</f>
        <v>0</v>
      </c>
      <c r="UB23" s="651">
        <f>-UA23</f>
        <v>0</v>
      </c>
      <c r="UC23" s="17"/>
      <c r="UQ23" s="521">
        <f>ROW()</f>
        <v>23</v>
      </c>
      <c r="UR23" s="1661" t="s">
        <v>944</v>
      </c>
      <c r="UT23" s="651">
        <v>-1614927.4900000002</v>
      </c>
      <c r="UU23" s="651">
        <f>-UT23</f>
        <v>1614927.4900000002</v>
      </c>
      <c r="UV23" s="651"/>
      <c r="UW23" s="651"/>
      <c r="UX23" s="651"/>
      <c r="UY23" s="651"/>
      <c r="UZ23" s="651"/>
      <c r="VA23" s="651"/>
      <c r="VB23" s="651"/>
      <c r="VC23" s="651"/>
      <c r="VD23" s="651"/>
      <c r="VJ23" s="521">
        <f>ROW()</f>
        <v>23</v>
      </c>
      <c r="VK23" s="102"/>
      <c r="VM23" s="102"/>
      <c r="VN23" s="102"/>
      <c r="VO23" s="102"/>
      <c r="VP23" s="102"/>
      <c r="VQ23" s="102"/>
      <c r="VR23" s="102"/>
      <c r="VS23" s="102"/>
      <c r="VT23" s="102"/>
      <c r="VU23" s="102"/>
      <c r="VV23" s="102"/>
      <c r="VW23" s="102"/>
      <c r="WN23" s="65" t="s">
        <v>30</v>
      </c>
    </row>
    <row r="24" spans="1:625" ht="17.25" thickTop="1" thickBot="1" x14ac:dyDescent="0.3">
      <c r="A24" s="22">
        <f>ROW()</f>
        <v>24</v>
      </c>
      <c r="B24" t="s">
        <v>943</v>
      </c>
      <c r="C24" s="1550" t="s">
        <v>876</v>
      </c>
      <c r="D24" s="880"/>
      <c r="E24" s="880">
        <v>-1237567.6443086741</v>
      </c>
      <c r="F24" s="880"/>
      <c r="G24" s="641"/>
      <c r="H24" s="880"/>
      <c r="I24" s="641"/>
      <c r="J24" s="1052"/>
      <c r="K24" s="641"/>
      <c r="L24" s="641"/>
      <c r="M24" s="641"/>
      <c r="N24" s="619"/>
      <c r="O24" s="619"/>
      <c r="P24" s="619"/>
      <c r="Q24" s="619"/>
      <c r="R24" s="619"/>
      <c r="S24" s="22">
        <f>ROW()</f>
        <v>24</v>
      </c>
      <c r="T24" s="603" t="s">
        <v>942</v>
      </c>
      <c r="V24" s="668">
        <f t="shared" si="8"/>
        <v>514047.89</v>
      </c>
      <c r="W24" s="74">
        <v>-514047.89</v>
      </c>
      <c r="X24" s="74"/>
      <c r="Y24" s="74"/>
      <c r="Z24" s="74">
        <f t="shared" si="9"/>
        <v>0</v>
      </c>
      <c r="AA24" s="74"/>
      <c r="AB24" s="74">
        <f t="shared" si="10"/>
        <v>0</v>
      </c>
      <c r="AC24" s="74"/>
      <c r="AD24" s="74">
        <f t="shared" si="11"/>
        <v>0</v>
      </c>
      <c r="AE24" s="74"/>
      <c r="AF24" s="74">
        <f t="shared" si="12"/>
        <v>0</v>
      </c>
      <c r="AG24" s="74"/>
      <c r="AH24" s="74"/>
      <c r="AI24" s="74"/>
      <c r="AJ24" s="74"/>
      <c r="AK24" s="22">
        <f>ROW()</f>
        <v>24</v>
      </c>
      <c r="AL24" s="28" t="s">
        <v>325</v>
      </c>
      <c r="AM24" s="752">
        <f>'SEF-35'!E14</f>
        <v>3.8408999999999999E-2</v>
      </c>
      <c r="AN24" s="719">
        <f>$AN$20*$AM24</f>
        <v>1549381.5250023648</v>
      </c>
      <c r="AO24" s="719">
        <f>$AO$20*$AM24</f>
        <v>-18448.457442332725</v>
      </c>
      <c r="AP24" s="719">
        <f>$AP$20*$AM24</f>
        <v>1530933.067560032</v>
      </c>
      <c r="AQ24" s="719">
        <f>AQ$20*$AM24</f>
        <v>-900915.97006365249</v>
      </c>
      <c r="AR24" s="719">
        <f>AR20*AM24</f>
        <v>3114986.6178879826</v>
      </c>
      <c r="AS24" s="719"/>
      <c r="AT24" s="719"/>
      <c r="AU24" s="719"/>
      <c r="AV24" s="719"/>
      <c r="AW24" s="719"/>
      <c r="AX24" s="719"/>
      <c r="AY24" s="719"/>
      <c r="AZ24" s="719"/>
      <c r="BA24" s="719"/>
      <c r="BB24" s="719"/>
      <c r="BC24" s="22">
        <f>ROW()</f>
        <v>24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 s="22">
        <f>ROW()</f>
        <v>24</v>
      </c>
      <c r="BV24" s="516" t="s">
        <v>240</v>
      </c>
      <c r="BX24" s="1668">
        <f t="shared" ref="BX24:CL24" si="65">-BX23</f>
        <v>0</v>
      </c>
      <c r="BY24" s="1666">
        <f t="shared" si="65"/>
        <v>16074542.57656165</v>
      </c>
      <c r="BZ24" s="1665">
        <f t="shared" si="65"/>
        <v>16074542.57656165</v>
      </c>
      <c r="CA24" s="1667">
        <f t="shared" si="65"/>
        <v>-596614.66645446536</v>
      </c>
      <c r="CB24" s="1665">
        <f t="shared" si="65"/>
        <v>15477927.910107184</v>
      </c>
      <c r="CC24" s="1666">
        <f t="shared" si="65"/>
        <v>543136.50103020924</v>
      </c>
      <c r="CD24" s="1665">
        <f t="shared" si="65"/>
        <v>16021064.411137393</v>
      </c>
      <c r="CE24" s="1665">
        <f t="shared" si="65"/>
        <v>51423.477331428228</v>
      </c>
      <c r="CF24" s="1665">
        <f t="shared" si="65"/>
        <v>16072487.888468821</v>
      </c>
      <c r="CG24" s="1665">
        <f t="shared" si="65"/>
        <v>-259430.30854620427</v>
      </c>
      <c r="CH24" s="1665">
        <f t="shared" si="65"/>
        <v>15813057.579922616</v>
      </c>
      <c r="CI24" s="1665">
        <f t="shared" si="65"/>
        <v>0</v>
      </c>
      <c r="CJ24" s="1665">
        <f t="shared" si="65"/>
        <v>0</v>
      </c>
      <c r="CK24" s="1665">
        <f t="shared" si="65"/>
        <v>0</v>
      </c>
      <c r="CL24" s="1665">
        <f t="shared" si="65"/>
        <v>0</v>
      </c>
      <c r="DE24" s="482"/>
      <c r="DF24" s="744"/>
      <c r="DG24" s="755"/>
      <c r="DW24" s="30"/>
      <c r="DX24" s="1"/>
      <c r="DY24" s="1"/>
      <c r="DZ24" s="1"/>
      <c r="EA24" s="1"/>
      <c r="EB24" s="1"/>
      <c r="EC24" s="1"/>
      <c r="ED24" s="1"/>
      <c r="EO24" s="22">
        <f>ROW()</f>
        <v>24</v>
      </c>
      <c r="EP24" s="4"/>
      <c r="EQ24" s="23"/>
      <c r="ER24" s="23"/>
      <c r="ES24" s="23"/>
      <c r="ET24" s="1"/>
      <c r="EU24" s="23"/>
      <c r="EV24" s="1"/>
      <c r="EW24" s="23"/>
      <c r="EX24" s="1"/>
      <c r="EY24" s="23"/>
      <c r="EZ24" s="1"/>
      <c r="FA24" s="23"/>
      <c r="FB24" s="1"/>
      <c r="FC24" s="1"/>
      <c r="FD24" s="1"/>
      <c r="FE24" s="23"/>
      <c r="FF24" s="1"/>
      <c r="FX24" s="30"/>
      <c r="FY24" s="22">
        <f>ROW()</f>
        <v>24</v>
      </c>
      <c r="FZ24" s="1217" t="s">
        <v>314</v>
      </c>
      <c r="GB24" s="42">
        <v>-5047.149967116542</v>
      </c>
      <c r="GC24" s="42">
        <v>1808.7527559877622</v>
      </c>
      <c r="GD24" s="42">
        <f t="shared" si="14"/>
        <v>-3238.3972111287799</v>
      </c>
      <c r="GE24" s="42">
        <v>-254.25107294713052</v>
      </c>
      <c r="GF24" s="42">
        <f t="shared" si="15"/>
        <v>-3492.6482840759104</v>
      </c>
      <c r="GG24" s="42">
        <v>-111.49063644293074</v>
      </c>
      <c r="GH24" s="42">
        <f t="shared" si="16"/>
        <v>-3604.1389205188411</v>
      </c>
      <c r="GI24" s="42">
        <v>-26.447339948001627</v>
      </c>
      <c r="GJ24" s="42">
        <f t="shared" si="17"/>
        <v>-3630.5862604668428</v>
      </c>
      <c r="GK24" s="42">
        <v>-2.0924500609557981</v>
      </c>
      <c r="GL24" s="42">
        <f t="shared" si="18"/>
        <v>-3632.6787105277986</v>
      </c>
      <c r="GM24" s="42"/>
      <c r="GN24" s="42"/>
      <c r="GO24" s="42"/>
      <c r="GP24" s="42"/>
      <c r="GQ24" s="22">
        <f>ROW()</f>
        <v>24</v>
      </c>
      <c r="GR24" s="20"/>
      <c r="GS24" s="721"/>
      <c r="GT24" s="757"/>
      <c r="GU24" s="757"/>
      <c r="GV24" s="757"/>
      <c r="GW24" s="757"/>
      <c r="GX24" s="757"/>
      <c r="GY24" s="663"/>
      <c r="GZ24" s="663"/>
      <c r="HA24" s="663"/>
      <c r="HB24" s="663"/>
      <c r="HC24" s="663"/>
      <c r="HD24" s="663"/>
      <c r="HE24" s="663"/>
      <c r="HF24" s="663"/>
      <c r="HG24" s="663"/>
      <c r="HH24" s="663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22">
        <f>ROW()</f>
        <v>24</v>
      </c>
      <c r="IB24" s="1659" t="s">
        <v>941</v>
      </c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482"/>
      <c r="IZ24" s="51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482"/>
      <c r="JL24" s="20"/>
      <c r="JM24" s="20"/>
      <c r="KU24" s="22">
        <f>ROW()</f>
        <v>24</v>
      </c>
      <c r="KV24" s="73" t="s">
        <v>314</v>
      </c>
      <c r="KW24" s="957"/>
      <c r="KX24" s="42">
        <v>-72934.42749673716</v>
      </c>
      <c r="KY24" s="42">
        <v>0</v>
      </c>
      <c r="KZ24" s="1664">
        <f t="shared" si="20"/>
        <v>-72934.42749673716</v>
      </c>
      <c r="LA24" s="42">
        <v>0</v>
      </c>
      <c r="LB24" s="1664">
        <f t="shared" si="21"/>
        <v>-72934.42749673716</v>
      </c>
      <c r="LC24" s="42">
        <v>0</v>
      </c>
      <c r="LD24" s="1664">
        <f t="shared" si="22"/>
        <v>-72934.42749673716</v>
      </c>
      <c r="LE24" s="42">
        <v>0</v>
      </c>
      <c r="LF24" s="1664">
        <f t="shared" si="23"/>
        <v>-72934.42749673716</v>
      </c>
      <c r="LG24" s="42">
        <v>0</v>
      </c>
      <c r="LH24" s="1664">
        <f t="shared" si="24"/>
        <v>-72934.42749673716</v>
      </c>
      <c r="LI24" s="42">
        <v>0</v>
      </c>
      <c r="LJ24" s="1664"/>
      <c r="LK24" s="42">
        <v>0</v>
      </c>
      <c r="LL24" s="1664">
        <f t="shared" si="25"/>
        <v>0</v>
      </c>
      <c r="LM24" s="22"/>
      <c r="LP24" s="317"/>
      <c r="LQ24" s="317"/>
      <c r="LR24" s="317"/>
      <c r="LS24" s="317"/>
      <c r="LT24" s="317"/>
      <c r="LU24" s="317"/>
      <c r="LV24" s="317"/>
      <c r="LW24" s="317"/>
      <c r="LX24" s="317"/>
      <c r="LY24" s="317"/>
      <c r="LZ24" s="317"/>
      <c r="MA24" s="317"/>
      <c r="MB24" s="317"/>
      <c r="MC24" s="317"/>
      <c r="MD24" s="317"/>
      <c r="ME24" s="22">
        <f>ROW()</f>
        <v>24</v>
      </c>
      <c r="MF24" s="555" t="s">
        <v>940</v>
      </c>
      <c r="MH24" s="651">
        <v>10168.686900000001</v>
      </c>
      <c r="MI24" s="651">
        <v>-10168.686900000001</v>
      </c>
      <c r="MJ24" s="651">
        <f>MH24+MI24</f>
        <v>0</v>
      </c>
      <c r="MK24" s="651">
        <v>0</v>
      </c>
      <c r="ML24" s="651">
        <f>MJ24+MK24</f>
        <v>0</v>
      </c>
      <c r="MM24" s="651"/>
      <c r="MN24" s="651">
        <f>ML24+MM24</f>
        <v>0</v>
      </c>
      <c r="MO24" s="651"/>
      <c r="MP24" s="651">
        <f>MN24+MO24</f>
        <v>0</v>
      </c>
      <c r="MQ24" s="651"/>
      <c r="MR24" s="651">
        <f>MP24+MQ24</f>
        <v>0</v>
      </c>
      <c r="MS24" s="651"/>
      <c r="MT24" s="651"/>
      <c r="MU24" s="651"/>
      <c r="MV24" s="651"/>
      <c r="MW24" s="65" t="s">
        <v>30</v>
      </c>
      <c r="MX24" s="523"/>
      <c r="MY24" s="99"/>
      <c r="MZ24" s="99"/>
      <c r="NA24" s="99"/>
      <c r="NB24" s="99"/>
      <c r="NO24" s="22">
        <f>ROW()</f>
        <v>24</v>
      </c>
      <c r="NP24" s="769" t="s">
        <v>265</v>
      </c>
      <c r="NR24" s="1196">
        <f t="shared" ref="NR24:OD24" si="66">SUM(NR16:NR23)</f>
        <v>0</v>
      </c>
      <c r="NS24" s="1196">
        <f t="shared" si="66"/>
        <v>0</v>
      </c>
      <c r="NT24" s="1196">
        <f t="shared" si="66"/>
        <v>0</v>
      </c>
      <c r="NU24" s="1196">
        <f t="shared" si="66"/>
        <v>0</v>
      </c>
      <c r="NV24" s="1196">
        <f t="shared" si="66"/>
        <v>0</v>
      </c>
      <c r="NW24" s="1196">
        <f t="shared" si="66"/>
        <v>0</v>
      </c>
      <c r="NX24" s="747">
        <f t="shared" si="66"/>
        <v>198594995.23869264</v>
      </c>
      <c r="NY24" s="1196">
        <f t="shared" si="66"/>
        <v>9876635.6887413189</v>
      </c>
      <c r="NZ24" s="747">
        <f t="shared" si="66"/>
        <v>208471630.92743394</v>
      </c>
      <c r="OA24" s="1196">
        <f t="shared" si="66"/>
        <v>8243138.6731712464</v>
      </c>
      <c r="OB24" s="747">
        <f t="shared" si="66"/>
        <v>216714769.60060516</v>
      </c>
      <c r="OC24" s="1663">
        <f t="shared" si="66"/>
        <v>0</v>
      </c>
      <c r="OD24" s="1196">
        <f t="shared" si="66"/>
        <v>0</v>
      </c>
      <c r="OE24" s="1663"/>
      <c r="OF24" s="1196">
        <f>SUM(OF16:OF23)</f>
        <v>0</v>
      </c>
      <c r="OG24" s="482">
        <f>ROW()</f>
        <v>24</v>
      </c>
      <c r="OH24" s="1" t="s">
        <v>330</v>
      </c>
      <c r="OI24" s="20"/>
      <c r="OJ24" s="835">
        <f>OJ21</f>
        <v>28019480.875479184</v>
      </c>
      <c r="OK24" s="835">
        <f>OK21</f>
        <v>0</v>
      </c>
      <c r="OL24" s="835">
        <f>OL21</f>
        <v>28019480.875479184</v>
      </c>
      <c r="OM24" s="835">
        <f>OM21</f>
        <v>-28019480.875479184</v>
      </c>
      <c r="ON24" s="835">
        <f>ON21</f>
        <v>0</v>
      </c>
      <c r="OO24" s="835"/>
      <c r="OP24" s="835"/>
      <c r="OQ24" s="835"/>
      <c r="OR24" s="835"/>
      <c r="OS24" s="835"/>
      <c r="OT24" s="835"/>
      <c r="OU24" s="667"/>
      <c r="OV24" s="667"/>
      <c r="OW24" s="42"/>
      <c r="OX24" s="667"/>
      <c r="OY24" s="22">
        <f>ROW()</f>
        <v>24</v>
      </c>
      <c r="OZ24" s="644" t="s">
        <v>926</v>
      </c>
      <c r="PA24" s="644"/>
      <c r="PB24" s="63">
        <v>-8797412.4375027567</v>
      </c>
      <c r="PC24" s="624">
        <v>5664255.7733083395</v>
      </c>
      <c r="PD24" s="63">
        <f>SUM(PB24:PC24)</f>
        <v>-3133156.6641944172</v>
      </c>
      <c r="PE24" s="63">
        <v>-5664255.7733083395</v>
      </c>
      <c r="PF24" s="1451">
        <f>SUM(PD24:PE24)</f>
        <v>-8797412.4375027567</v>
      </c>
      <c r="PG24" s="63">
        <v>0</v>
      </c>
      <c r="PH24" s="1451">
        <f>SUM(PF24:PG24)</f>
        <v>-8797412.4375027567</v>
      </c>
      <c r="PI24" s="63">
        <v>0</v>
      </c>
      <c r="PJ24" s="1442">
        <f>SUM(PH24:PI24)</f>
        <v>-8797412.4375027567</v>
      </c>
      <c r="PK24" s="63">
        <v>0</v>
      </c>
      <c r="PL24" s="1442">
        <f>SUM(PJ24:PK24)</f>
        <v>-8797412.4375027567</v>
      </c>
      <c r="PM24" s="1444"/>
      <c r="PN24" s="1444"/>
      <c r="PO24" s="63"/>
      <c r="PP24" s="63"/>
      <c r="PQ24" s="22"/>
      <c r="PR24" s="644"/>
      <c r="PS24" s="644"/>
      <c r="PT24" s="63"/>
      <c r="PU24" s="63"/>
      <c r="PV24" s="63"/>
      <c r="PW24" s="63"/>
      <c r="PX24" s="63"/>
      <c r="QJ24" s="1662"/>
      <c r="QK24" s="616"/>
      <c r="QL24" s="616"/>
      <c r="RB24" s="394">
        <f>ROW()</f>
        <v>24</v>
      </c>
      <c r="RC24" s="616" t="s">
        <v>939</v>
      </c>
      <c r="RD24" s="616"/>
      <c r="RE24" s="1620"/>
      <c r="RF24" s="1620"/>
      <c r="RG24" s="1469">
        <v>0</v>
      </c>
      <c r="RH24" s="1469">
        <f>RI24-RG24</f>
        <v>0</v>
      </c>
      <c r="RI24" s="1619">
        <v>0</v>
      </c>
      <c r="RJ24" s="1618">
        <f>RK24-RI24</f>
        <v>0</v>
      </c>
      <c r="RK24" s="1619">
        <v>0</v>
      </c>
      <c r="RL24" s="1618">
        <f>RM24-RK24</f>
        <v>0</v>
      </c>
      <c r="RM24" s="1619">
        <v>0</v>
      </c>
      <c r="RN24" s="1618">
        <f>RO24-RM24</f>
        <v>0</v>
      </c>
      <c r="RO24" s="1619">
        <v>0</v>
      </c>
      <c r="RP24" s="1619"/>
      <c r="RQ24" s="1619"/>
      <c r="RR24" s="1618"/>
      <c r="RS24" s="1619"/>
      <c r="RT24" s="521">
        <f>ROW()</f>
        <v>24</v>
      </c>
      <c r="RU24" s="616" t="s">
        <v>331</v>
      </c>
      <c r="RV24" s="520"/>
      <c r="RW24" s="606"/>
      <c r="RX24" s="606"/>
      <c r="RY24" s="606">
        <f t="shared" ref="RY24:SG24" si="67">SUM(RY20:RY23)</f>
        <v>0</v>
      </c>
      <c r="RZ24" s="606">
        <f t="shared" si="67"/>
        <v>-42632.08</v>
      </c>
      <c r="SA24" s="606">
        <f t="shared" si="67"/>
        <v>-42632.08</v>
      </c>
      <c r="SB24" s="606">
        <f t="shared" si="67"/>
        <v>-254648.25999999995</v>
      </c>
      <c r="SC24" s="606">
        <f t="shared" si="67"/>
        <v>-297280.33999999997</v>
      </c>
      <c r="SD24" s="606">
        <f t="shared" si="67"/>
        <v>-629245.79000000108</v>
      </c>
      <c r="SE24" s="606">
        <f t="shared" si="67"/>
        <v>-926526.13000000105</v>
      </c>
      <c r="SF24" s="606">
        <f t="shared" si="67"/>
        <v>-629245.79000000108</v>
      </c>
      <c r="SG24" s="606">
        <f t="shared" si="67"/>
        <v>-1555771.9200000023</v>
      </c>
      <c r="SH24" s="606"/>
      <c r="SI24" s="606"/>
      <c r="SJ24" s="606"/>
      <c r="SK24" s="606"/>
      <c r="SL24" s="82">
        <f>ROW()</f>
        <v>24</v>
      </c>
      <c r="SM24" s="616" t="s">
        <v>259</v>
      </c>
      <c r="SN24" s="1484">
        <v>0.21</v>
      </c>
      <c r="SO24" s="1469"/>
      <c r="SP24" s="1469"/>
      <c r="SQ24" s="1469"/>
      <c r="SR24" s="1469">
        <f t="shared" ref="SR24:SY24" si="68">SR22*-$SN$24</f>
        <v>-128366.9219301</v>
      </c>
      <c r="SS24" s="1469">
        <f t="shared" si="68"/>
        <v>-128366.9219301</v>
      </c>
      <c r="ST24" s="1469">
        <f t="shared" si="68"/>
        <v>-1468367.0173525501</v>
      </c>
      <c r="SU24" s="1469">
        <f t="shared" si="68"/>
        <v>-1596733.9392826499</v>
      </c>
      <c r="SV24" s="1469">
        <f t="shared" si="68"/>
        <v>-2237962.5784026003</v>
      </c>
      <c r="SW24" s="1469">
        <f t="shared" si="68"/>
        <v>-3834696.5176852499</v>
      </c>
      <c r="SX24" s="1469">
        <f t="shared" si="68"/>
        <v>-2221443.9557646005</v>
      </c>
      <c r="SY24" s="1469">
        <f t="shared" si="68"/>
        <v>-6056140.4734498505</v>
      </c>
      <c r="SZ24" s="1469"/>
      <c r="TA24" s="1469"/>
      <c r="TB24" s="1468"/>
      <c r="TC24" s="1468"/>
      <c r="TD24" s="424"/>
      <c r="TE24" s="82">
        <f>ROW()</f>
        <v>24</v>
      </c>
      <c r="TF24" s="349"/>
      <c r="TG24" s="740"/>
      <c r="TH24" s="672"/>
      <c r="TI24" s="673"/>
      <c r="TJ24" s="674"/>
      <c r="TK24" s="674"/>
      <c r="TL24" s="674"/>
      <c r="TM24" s="674"/>
      <c r="TN24" s="674"/>
      <c r="TO24" s="674"/>
      <c r="TP24" s="674"/>
      <c r="TQ24" s="674"/>
      <c r="TR24" s="674"/>
      <c r="TS24"/>
      <c r="TT24"/>
      <c r="TU24"/>
      <c r="TV24"/>
      <c r="TW24" s="424"/>
      <c r="TX24" s="82">
        <f>ROW()</f>
        <v>24</v>
      </c>
      <c r="TY24" s="690" t="s">
        <v>332</v>
      </c>
      <c r="UA24" s="78">
        <f>SUM(UA21:UA23)</f>
        <v>0</v>
      </c>
      <c r="UB24" s="78">
        <f>SUM(UB21:UB23)</f>
        <v>0</v>
      </c>
      <c r="UQ24" s="521">
        <f>ROW()</f>
        <v>24</v>
      </c>
      <c r="UR24" s="1661" t="s">
        <v>333</v>
      </c>
      <c r="UT24" s="50">
        <f t="shared" ref="UT24:VD24" si="69">SUM(UT22:UT23)</f>
        <v>-1614927.4900000002</v>
      </c>
      <c r="UU24" s="50">
        <f t="shared" si="69"/>
        <v>1614927.4900000002</v>
      </c>
      <c r="UV24" s="50">
        <f t="shared" si="69"/>
        <v>0</v>
      </c>
      <c r="UW24" s="50">
        <f t="shared" si="69"/>
        <v>0</v>
      </c>
      <c r="UX24" s="50">
        <f t="shared" si="69"/>
        <v>0</v>
      </c>
      <c r="UY24" s="50">
        <f t="shared" si="69"/>
        <v>0</v>
      </c>
      <c r="UZ24" s="50">
        <f t="shared" si="69"/>
        <v>0</v>
      </c>
      <c r="VA24" s="750">
        <f t="shared" si="69"/>
        <v>3312025.0962618445</v>
      </c>
      <c r="VB24" s="750">
        <f t="shared" si="69"/>
        <v>3312025.0962618445</v>
      </c>
      <c r="VC24" s="50">
        <f t="shared" si="69"/>
        <v>0</v>
      </c>
      <c r="VD24" s="750">
        <f t="shared" si="69"/>
        <v>3312025.0962618445</v>
      </c>
      <c r="VJ24" s="521">
        <f>ROW()</f>
        <v>24</v>
      </c>
      <c r="VK24" s="102"/>
      <c r="VM24" s="741"/>
      <c r="VN24" s="741"/>
      <c r="VO24" s="741"/>
      <c r="VP24" s="741"/>
      <c r="VQ24" s="741"/>
      <c r="VR24" s="741"/>
      <c r="VS24" s="741"/>
      <c r="VT24" s="741"/>
      <c r="VU24" s="741"/>
      <c r="VV24" s="741"/>
      <c r="VW24" s="741"/>
    </row>
    <row r="25" spans="1:625" ht="16.5" thickTop="1" x14ac:dyDescent="0.25">
      <c r="A25" s="22">
        <f>ROW()</f>
        <v>25</v>
      </c>
      <c r="B25" t="s">
        <v>938</v>
      </c>
      <c r="C25" s="1550" t="s">
        <v>876</v>
      </c>
      <c r="D25" s="880"/>
      <c r="E25" s="880">
        <v>565.40000000000202</v>
      </c>
      <c r="F25" s="880"/>
      <c r="G25" s="641"/>
      <c r="H25" s="880"/>
      <c r="I25" s="641"/>
      <c r="J25" s="1052"/>
      <c r="K25" s="641"/>
      <c r="L25" s="641"/>
      <c r="M25" s="641"/>
      <c r="N25" s="619"/>
      <c r="O25" s="619"/>
      <c r="P25" s="619"/>
      <c r="Q25" s="619"/>
      <c r="R25" s="619"/>
      <c r="S25" s="22">
        <f>ROW()</f>
        <v>25</v>
      </c>
      <c r="T25" s="603" t="s">
        <v>937</v>
      </c>
      <c r="U25" s="1627"/>
      <c r="V25" s="668">
        <f t="shared" si="8"/>
        <v>-20587.419999999998</v>
      </c>
      <c r="W25" s="74">
        <v>20587.419999999998</v>
      </c>
      <c r="X25" s="74"/>
      <c r="Y25" s="74"/>
      <c r="Z25" s="74">
        <f t="shared" si="9"/>
        <v>0</v>
      </c>
      <c r="AA25" s="74"/>
      <c r="AB25" s="74">
        <f t="shared" si="10"/>
        <v>0</v>
      </c>
      <c r="AC25" s="74"/>
      <c r="AD25" s="74">
        <f t="shared" si="11"/>
        <v>0</v>
      </c>
      <c r="AE25" s="74"/>
      <c r="AF25" s="74">
        <f t="shared" si="12"/>
        <v>0</v>
      </c>
      <c r="AG25" s="74"/>
      <c r="AH25" s="74"/>
      <c r="AI25" s="74"/>
      <c r="AJ25" s="74"/>
      <c r="AK25" s="22">
        <f>ROW()</f>
        <v>25</v>
      </c>
      <c r="AL25" s="639" t="s">
        <v>258</v>
      </c>
      <c r="AM25" s="752"/>
      <c r="AN25" s="753">
        <f>SUM(AN22:AN24)</f>
        <v>1867696.7535632141</v>
      </c>
      <c r="AO25" s="753">
        <f>SUM(AO22:AO24)</f>
        <v>-22238.631039079519</v>
      </c>
      <c r="AP25" s="753">
        <f>SUM(AP22:AP24)</f>
        <v>1845458.1225241346</v>
      </c>
      <c r="AQ25" s="753">
        <f>SUM(AQ22:AQ24)</f>
        <v>-1086006.1291350233</v>
      </c>
      <c r="AR25" s="753">
        <f>SUM(AR22:AR24)</f>
        <v>3754950.1525218985</v>
      </c>
      <c r="AS25" s="754"/>
      <c r="AT25" s="754"/>
      <c r="AU25" s="754"/>
      <c r="AV25" s="754"/>
      <c r="AW25" s="754"/>
      <c r="AX25" s="754"/>
      <c r="AY25" s="754"/>
      <c r="AZ25" s="754"/>
      <c r="BA25" s="754"/>
      <c r="BB25" s="754"/>
      <c r="BC25" s="22">
        <f>ROW()</f>
        <v>25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 s="317"/>
      <c r="BV25" s="88"/>
      <c r="CB25" s="317"/>
      <c r="CJ25" s="1660"/>
      <c r="DE25" s="482"/>
      <c r="DF25" s="744"/>
      <c r="DG25" s="744"/>
      <c r="EO25" s="22">
        <f>ROW()</f>
        <v>25</v>
      </c>
      <c r="EP25" s="29" t="s">
        <v>283</v>
      </c>
      <c r="EQ25" s="56">
        <v>0.21</v>
      </c>
      <c r="ER25" s="756">
        <f t="shared" ref="ER25:FB25" si="70">-$EQ$25*ER23</f>
        <v>24968.144064032909</v>
      </c>
      <c r="ES25" s="756">
        <f t="shared" si="70"/>
        <v>3630.726977202231</v>
      </c>
      <c r="ET25" s="756">
        <f t="shared" si="70"/>
        <v>28598.871041235139</v>
      </c>
      <c r="EU25" s="756">
        <f t="shared" si="70"/>
        <v>-54116.907163354612</v>
      </c>
      <c r="EV25" s="756">
        <f t="shared" si="70"/>
        <v>-25518.036122119473</v>
      </c>
      <c r="EW25" s="756">
        <f t="shared" si="70"/>
        <v>0</v>
      </c>
      <c r="EX25" s="756">
        <f t="shared" si="70"/>
        <v>-25518.036122119473</v>
      </c>
      <c r="EY25" s="756">
        <f t="shared" si="70"/>
        <v>0</v>
      </c>
      <c r="EZ25" s="756">
        <f t="shared" si="70"/>
        <v>-25518.036122119473</v>
      </c>
      <c r="FA25" s="756">
        <f t="shared" si="70"/>
        <v>0</v>
      </c>
      <c r="FB25" s="756">
        <f t="shared" si="70"/>
        <v>-25518.036122119473</v>
      </c>
      <c r="FC25" s="756"/>
      <c r="FD25" s="756"/>
      <c r="FE25" s="756"/>
      <c r="FF25" s="756"/>
      <c r="FX25" s="30"/>
      <c r="FY25" s="22">
        <f>ROW()</f>
        <v>25</v>
      </c>
      <c r="FZ25" s="1217" t="s">
        <v>327</v>
      </c>
      <c r="GB25" s="42">
        <v>1222352.8563616807</v>
      </c>
      <c r="GC25" s="42">
        <v>-347581.16605476255</v>
      </c>
      <c r="GD25" s="42">
        <f t="shared" si="14"/>
        <v>874771.69030691811</v>
      </c>
      <c r="GE25" s="42">
        <v>68731.311649185256</v>
      </c>
      <c r="GF25" s="42">
        <f t="shared" si="15"/>
        <v>943503.00195610337</v>
      </c>
      <c r="GG25" s="42">
        <v>30118.048431473668</v>
      </c>
      <c r="GH25" s="42">
        <f t="shared" si="16"/>
        <v>973621.05038757704</v>
      </c>
      <c r="GI25" s="42">
        <v>7144.4767995857401</v>
      </c>
      <c r="GJ25" s="42">
        <f t="shared" si="17"/>
        <v>980765.52718716278</v>
      </c>
      <c r="GK25" s="42">
        <v>565.25385706778616</v>
      </c>
      <c r="GL25" s="42">
        <f t="shared" si="18"/>
        <v>981330.78104423056</v>
      </c>
      <c r="GM25" s="42"/>
      <c r="GN25" s="42"/>
      <c r="GO25" s="42"/>
      <c r="GP25" s="42"/>
      <c r="GQ25" s="22">
        <f>ROW()</f>
        <v>25</v>
      </c>
      <c r="GR25" s="766" t="s">
        <v>23</v>
      </c>
      <c r="GS25" s="767"/>
      <c r="GT25" s="722"/>
      <c r="GU25" s="722"/>
      <c r="GV25" s="722"/>
      <c r="GW25" s="722"/>
      <c r="GX25" s="722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2">
        <f>ROW()</f>
        <v>25</v>
      </c>
      <c r="IB25" s="1659" t="s">
        <v>352</v>
      </c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482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U25" s="22">
        <f>ROW()</f>
        <v>25</v>
      </c>
      <c r="KV25" s="73" t="s">
        <v>327</v>
      </c>
      <c r="KW25" s="1639"/>
      <c r="KX25" s="739">
        <v>17665692.85673961</v>
      </c>
      <c r="KY25" s="739">
        <v>2036434.6902016662</v>
      </c>
      <c r="KZ25" s="746">
        <f t="shared" si="20"/>
        <v>19702127.546941277</v>
      </c>
      <c r="LA25" s="739">
        <v>0</v>
      </c>
      <c r="LB25" s="746">
        <f t="shared" si="21"/>
        <v>19702127.546941277</v>
      </c>
      <c r="LC25" s="739">
        <v>0</v>
      </c>
      <c r="LD25" s="746">
        <f t="shared" si="22"/>
        <v>19702127.546941277</v>
      </c>
      <c r="LE25" s="739">
        <v>0</v>
      </c>
      <c r="LF25" s="746">
        <f t="shared" si="23"/>
        <v>19702127.546941277</v>
      </c>
      <c r="LG25" s="739">
        <v>0</v>
      </c>
      <c r="LH25" s="746">
        <f t="shared" si="24"/>
        <v>19702127.546941277</v>
      </c>
      <c r="LI25" s="739">
        <v>0</v>
      </c>
      <c r="LJ25" s="746"/>
      <c r="LK25" s="739">
        <v>0</v>
      </c>
      <c r="LL25" s="746">
        <f t="shared" si="25"/>
        <v>0</v>
      </c>
      <c r="LM25" s="22"/>
      <c r="LP25" s="317"/>
      <c r="LR25" s="317"/>
      <c r="LS25" s="317"/>
      <c r="LT25" s="317"/>
      <c r="LU25" s="317"/>
      <c r="LV25" s="317"/>
      <c r="LW25" s="317"/>
      <c r="LX25" s="317"/>
      <c r="LY25" s="317"/>
      <c r="LZ25" s="317"/>
      <c r="MA25" s="317"/>
      <c r="MB25" s="317"/>
      <c r="MC25" s="317"/>
      <c r="MD25" s="317"/>
      <c r="ME25" s="22">
        <f>ROW()</f>
        <v>25</v>
      </c>
      <c r="MF25" s="555" t="s">
        <v>331</v>
      </c>
      <c r="MH25" s="50">
        <f t="shared" ref="MH25:MR25" si="71">SUM(MH20:MH24)</f>
        <v>194187256.84186488</v>
      </c>
      <c r="MI25" s="50">
        <f t="shared" si="71"/>
        <v>8638418.5426058415</v>
      </c>
      <c r="MJ25" s="50">
        <f t="shared" si="71"/>
        <v>202825675.3844707</v>
      </c>
      <c r="MK25" s="50">
        <f t="shared" si="71"/>
        <v>0</v>
      </c>
      <c r="ML25" s="50">
        <f t="shared" si="71"/>
        <v>202825675.3844707</v>
      </c>
      <c r="MM25" s="50">
        <f t="shared" si="71"/>
        <v>0</v>
      </c>
      <c r="MN25" s="50">
        <f t="shared" si="71"/>
        <v>202825675.3844707</v>
      </c>
      <c r="MO25" s="50">
        <f t="shared" si="71"/>
        <v>0</v>
      </c>
      <c r="MP25" s="50">
        <f t="shared" si="71"/>
        <v>202825675.3844707</v>
      </c>
      <c r="MQ25" s="50">
        <f t="shared" si="71"/>
        <v>0</v>
      </c>
      <c r="MR25" s="50">
        <f t="shared" si="71"/>
        <v>202825675.3844707</v>
      </c>
      <c r="MS25" s="50"/>
      <c r="MT25" s="50"/>
      <c r="MU25" s="50"/>
      <c r="MV25" s="50"/>
      <c r="MW25" s="22"/>
      <c r="MX25" s="1393"/>
      <c r="MY25" s="1393"/>
      <c r="MZ25" s="1225"/>
      <c r="NA25" s="1225"/>
      <c r="NB25" s="1225"/>
      <c r="NC25" s="1658"/>
      <c r="ND25" s="1658" t="s">
        <v>180</v>
      </c>
      <c r="NE25" s="1658"/>
      <c r="NF25" s="1658" t="s">
        <v>180</v>
      </c>
      <c r="NG25" s="1658"/>
      <c r="NH25" s="1658" t="s">
        <v>181</v>
      </c>
      <c r="NI25" s="1658"/>
      <c r="NJ25" s="1658" t="s">
        <v>179</v>
      </c>
      <c r="NO25" s="22">
        <f>ROW()</f>
        <v>25</v>
      </c>
      <c r="NP25" s="559"/>
      <c r="NQ25" s="29"/>
      <c r="NR25" s="759"/>
      <c r="NS25" s="759"/>
      <c r="NT25" s="759"/>
      <c r="NU25" s="759"/>
      <c r="NV25" s="759"/>
      <c r="NW25" s="759"/>
      <c r="NX25" s="759"/>
      <c r="NY25" s="759"/>
      <c r="NZ25" s="759"/>
      <c r="OA25" s="759"/>
      <c r="OB25" s="759"/>
      <c r="OC25" s="759"/>
      <c r="OD25" s="759"/>
      <c r="OE25" s="759"/>
      <c r="OF25" s="759"/>
      <c r="OG25" s="482">
        <f>ROW()</f>
        <v>25</v>
      </c>
      <c r="OH25" s="1" t="s">
        <v>306</v>
      </c>
      <c r="OI25" s="573"/>
      <c r="OJ25" s="600"/>
      <c r="OK25" s="600"/>
      <c r="OL25" s="600"/>
      <c r="OM25" s="600"/>
      <c r="ON25" s="600"/>
      <c r="OO25" s="600"/>
      <c r="OP25" s="600"/>
      <c r="OQ25" s="600"/>
      <c r="OR25" s="600"/>
      <c r="OS25" s="600"/>
      <c r="OT25" s="600"/>
      <c r="OU25" s="667"/>
      <c r="OV25" s="667"/>
      <c r="OW25" s="42"/>
      <c r="OX25" s="667"/>
      <c r="OY25" s="22">
        <f>ROW()</f>
        <v>25</v>
      </c>
      <c r="OZ25" s="644" t="s">
        <v>923</v>
      </c>
      <c r="PA25" s="644"/>
      <c r="PB25" s="63">
        <v>-5543518.685478935</v>
      </c>
      <c r="PC25" s="63">
        <v>3569220.8296170239</v>
      </c>
      <c r="PD25" s="63">
        <f>SUM(PB25:PC25)</f>
        <v>-1974297.8558619111</v>
      </c>
      <c r="PE25" s="63">
        <v>-3569220.8296170239</v>
      </c>
      <c r="PF25" s="1451">
        <f>SUM(PD25:PE25)</f>
        <v>-5543518.685478935</v>
      </c>
      <c r="PG25" s="63">
        <v>0</v>
      </c>
      <c r="PH25" s="1451">
        <f>SUM(PF25:PG25)</f>
        <v>-5543518.685478935</v>
      </c>
      <c r="PI25" s="63">
        <v>0</v>
      </c>
      <c r="PJ25" s="1438">
        <f>SUM(PH25:PI25)</f>
        <v>-5543518.685478935</v>
      </c>
      <c r="PK25" s="63">
        <v>0</v>
      </c>
      <c r="PL25" s="1438">
        <f>SUM(PJ25:PK25)</f>
        <v>-5543518.685478935</v>
      </c>
      <c r="PM25" s="1444"/>
      <c r="PN25" s="1444"/>
      <c r="PO25" s="63"/>
      <c r="PP25" s="63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J25" s="616"/>
      <c r="QK25" s="616"/>
      <c r="QL25" s="616"/>
      <c r="RB25" s="394">
        <f>ROW()</f>
        <v>25</v>
      </c>
      <c r="RC25" s="616" t="s">
        <v>331</v>
      </c>
      <c r="RD25" s="616"/>
      <c r="RE25" s="1490"/>
      <c r="RF25" s="1490"/>
      <c r="RG25" s="1471">
        <f t="shared" ref="RG25:RO25" si="72">SUM(RG21:RG24)</f>
        <v>193790199.03447071</v>
      </c>
      <c r="RH25" s="1471">
        <f t="shared" si="72"/>
        <v>377748.07468491048</v>
      </c>
      <c r="RI25" s="1471">
        <f t="shared" si="72"/>
        <v>194167947.10915563</v>
      </c>
      <c r="RJ25" s="1471">
        <f t="shared" si="72"/>
        <v>-1968389.0846907347</v>
      </c>
      <c r="RK25" s="1471">
        <f t="shared" si="72"/>
        <v>192199558.02446488</v>
      </c>
      <c r="RL25" s="1471">
        <f t="shared" si="72"/>
        <v>67398212.778005093</v>
      </c>
      <c r="RM25" s="1471">
        <f t="shared" si="72"/>
        <v>259597770.80246997</v>
      </c>
      <c r="RN25" s="1471">
        <f t="shared" si="72"/>
        <v>-9019326.4874949716</v>
      </c>
      <c r="RO25" s="1471">
        <f t="shared" si="72"/>
        <v>250578444.31497499</v>
      </c>
      <c r="RP25" s="1471"/>
      <c r="RQ25" s="1471"/>
      <c r="RR25" s="1471"/>
      <c r="RS25" s="1471"/>
      <c r="RT25" s="521">
        <f>ROW()</f>
        <v>25</v>
      </c>
      <c r="RU25" s="1480"/>
      <c r="RV25" s="520"/>
      <c r="RW25" s="606"/>
      <c r="RX25" s="606"/>
      <c r="RY25" s="606"/>
      <c r="RZ25" s="606"/>
      <c r="SA25" s="606"/>
      <c r="SB25" s="606"/>
      <c r="SC25" s="606"/>
      <c r="SD25" s="606"/>
      <c r="SE25" s="606"/>
      <c r="SF25" s="606"/>
      <c r="SG25" s="606"/>
      <c r="SH25" s="606"/>
      <c r="SI25" s="606"/>
      <c r="SJ25" s="606"/>
      <c r="SK25" s="606"/>
      <c r="SL25" s="82">
        <f>ROW()</f>
        <v>25</v>
      </c>
      <c r="SM25" s="616"/>
      <c r="SN25" s="1484"/>
      <c r="SO25" s="1487"/>
      <c r="SP25" s="1487"/>
      <c r="SQ25" s="1487"/>
      <c r="SR25" s="1487"/>
      <c r="SS25" s="1487"/>
      <c r="ST25" s="1487"/>
      <c r="SU25" s="1487"/>
      <c r="SV25" s="1487"/>
      <c r="SW25" s="1487"/>
      <c r="SX25" s="1487"/>
      <c r="SY25" s="1487"/>
      <c r="SZ25" s="1487"/>
      <c r="TA25" s="1487"/>
      <c r="TB25" s="1486"/>
      <c r="TC25" s="1486"/>
      <c r="TD25" s="424"/>
      <c r="TE25" s="82">
        <f>ROW()</f>
        <v>25</v>
      </c>
      <c r="TF25" s="318" t="s">
        <v>340</v>
      </c>
      <c r="TG25" s="761"/>
      <c r="TH25" s="762">
        <f t="shared" ref="TH25:TR25" si="73">-TH21-TH23</f>
        <v>-69091.03</v>
      </c>
      <c r="TI25" s="762">
        <f t="shared" si="73"/>
        <v>69091.03</v>
      </c>
      <c r="TJ25" s="762">
        <f t="shared" si="73"/>
        <v>0</v>
      </c>
      <c r="TK25" s="762">
        <f t="shared" si="73"/>
        <v>0</v>
      </c>
      <c r="TL25" s="762">
        <f t="shared" si="73"/>
        <v>0</v>
      </c>
      <c r="TM25" s="762">
        <f t="shared" si="73"/>
        <v>0</v>
      </c>
      <c r="TN25" s="762">
        <f t="shared" si="73"/>
        <v>0</v>
      </c>
      <c r="TO25" s="762">
        <f t="shared" si="73"/>
        <v>-48980</v>
      </c>
      <c r="TP25" s="762">
        <f t="shared" si="73"/>
        <v>-48980</v>
      </c>
      <c r="TQ25" s="762">
        <f t="shared" si="73"/>
        <v>0</v>
      </c>
      <c r="TR25" s="762">
        <f t="shared" si="73"/>
        <v>-48980</v>
      </c>
      <c r="TS25"/>
      <c r="TT25"/>
      <c r="TU25"/>
      <c r="TV25"/>
      <c r="TW25" s="424"/>
      <c r="TX25" s="82">
        <f>ROW()</f>
        <v>25</v>
      </c>
      <c r="TY25" s="477"/>
      <c r="UA25" s="576"/>
      <c r="UB25" s="576"/>
      <c r="UQ25" s="521">
        <f>ROW()</f>
        <v>25</v>
      </c>
      <c r="UR25" s="1657"/>
      <c r="VJ25" s="521">
        <f>ROW()</f>
        <v>25</v>
      </c>
      <c r="VK25" s="102"/>
      <c r="VM25" s="102"/>
      <c r="VN25" s="102"/>
      <c r="VO25" s="102"/>
      <c r="VP25" s="102"/>
      <c r="VQ25" s="102"/>
      <c r="VR25" s="102"/>
      <c r="VS25" s="102"/>
      <c r="VT25" s="102"/>
      <c r="VU25" s="102"/>
      <c r="VV25" s="102"/>
      <c r="VW25" s="102"/>
    </row>
    <row r="26" spans="1:625" ht="15.75" thickBot="1" x14ac:dyDescent="0.3">
      <c r="A26" s="22">
        <f>ROW()</f>
        <v>26</v>
      </c>
      <c r="B26" t="s">
        <v>936</v>
      </c>
      <c r="C26" s="1550" t="s">
        <v>876</v>
      </c>
      <c r="D26" s="880"/>
      <c r="E26" s="880">
        <v>1264106.10987873</v>
      </c>
      <c r="F26" s="880"/>
      <c r="G26" s="641"/>
      <c r="H26" s="880"/>
      <c r="I26" s="641"/>
      <c r="J26" s="1052"/>
      <c r="K26" s="641"/>
      <c r="L26" s="641"/>
      <c r="M26" s="641"/>
      <c r="N26" s="619"/>
      <c r="O26" s="619"/>
      <c r="P26" s="619"/>
      <c r="Q26" s="619"/>
      <c r="R26" s="619"/>
      <c r="S26" s="22">
        <f>ROW()</f>
        <v>26</v>
      </c>
      <c r="T26" s="603" t="s">
        <v>343</v>
      </c>
      <c r="V26" s="668">
        <f t="shared" si="8"/>
        <v>10761434.945314044</v>
      </c>
      <c r="W26" s="74">
        <v>-10761434.945314044</v>
      </c>
      <c r="X26" s="74"/>
      <c r="Y26" s="74"/>
      <c r="Z26" s="74">
        <f t="shared" si="9"/>
        <v>0</v>
      </c>
      <c r="AA26" s="74"/>
      <c r="AB26" s="74">
        <f t="shared" si="10"/>
        <v>0</v>
      </c>
      <c r="AC26" s="74"/>
      <c r="AD26" s="74">
        <f t="shared" si="11"/>
        <v>0</v>
      </c>
      <c r="AE26" s="74"/>
      <c r="AF26" s="74">
        <f t="shared" si="12"/>
        <v>0</v>
      </c>
      <c r="AG26" s="74"/>
      <c r="AH26" s="74"/>
      <c r="AI26" s="74"/>
      <c r="AJ26" s="74"/>
      <c r="AK26" s="22">
        <f>ROW()</f>
        <v>26</v>
      </c>
      <c r="AL26" s="639"/>
      <c r="AM26" s="752"/>
      <c r="AN26" s="754"/>
      <c r="AO26" s="754"/>
      <c r="AP26" s="754"/>
      <c r="AQ26" s="754"/>
      <c r="AR26" s="754"/>
      <c r="AS26" s="754"/>
      <c r="AT26" s="754"/>
      <c r="AU26" s="754"/>
      <c r="AV26" s="754"/>
      <c r="AW26" s="754"/>
      <c r="AX26" s="754"/>
      <c r="AY26" s="754"/>
      <c r="AZ26" s="754"/>
      <c r="BA26" s="754"/>
      <c r="BB26" s="754"/>
      <c r="BC26" s="22">
        <f>ROW()</f>
        <v>26</v>
      </c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65" t="s">
        <v>30</v>
      </c>
      <c r="BV26"/>
      <c r="BW26"/>
      <c r="BX26"/>
      <c r="BY26"/>
      <c r="BZ26"/>
      <c r="CA26"/>
      <c r="CB26"/>
      <c r="DE26" s="1"/>
      <c r="DF26" s="1"/>
      <c r="DG26" s="1"/>
      <c r="EO26" s="22">
        <f>ROW()</f>
        <v>26</v>
      </c>
      <c r="EP26" s="29"/>
      <c r="EQ26" s="23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X26" s="30"/>
      <c r="FY26" s="22">
        <f>ROW()</f>
        <v>26</v>
      </c>
      <c r="FZ26" s="4" t="s">
        <v>337</v>
      </c>
      <c r="GA26" s="4"/>
      <c r="GB26" s="626">
        <f t="shared" ref="GB26:GL26" si="74">SUM(GB17:GB25)</f>
        <v>4028052.6473396188</v>
      </c>
      <c r="GC26" s="626">
        <f t="shared" si="74"/>
        <v>-1285971.1549736932</v>
      </c>
      <c r="GD26" s="626">
        <f t="shared" si="74"/>
        <v>2742081.4923659251</v>
      </c>
      <c r="GE26" s="626">
        <f t="shared" si="74"/>
        <v>215283.01097739013</v>
      </c>
      <c r="GF26" s="626">
        <f t="shared" si="74"/>
        <v>2957364.5033433153</v>
      </c>
      <c r="GG26" s="626">
        <f t="shared" si="74"/>
        <v>94404.097623297188</v>
      </c>
      <c r="GH26" s="626">
        <f t="shared" si="74"/>
        <v>3051768.6009666128</v>
      </c>
      <c r="GI26" s="626">
        <f t="shared" si="74"/>
        <v>22394.380275563664</v>
      </c>
      <c r="GJ26" s="626">
        <f t="shared" si="74"/>
        <v>3074162.9812421761</v>
      </c>
      <c r="GK26" s="626">
        <f t="shared" si="74"/>
        <v>1771.7896190997421</v>
      </c>
      <c r="GL26" s="626">
        <f t="shared" si="74"/>
        <v>3075934.7708612764</v>
      </c>
      <c r="GM26" s="626"/>
      <c r="GN26" s="626"/>
      <c r="GO26" s="626"/>
      <c r="GP26" s="626"/>
      <c r="GQ26" s="22">
        <f>ROW()</f>
        <v>26</v>
      </c>
      <c r="GR26" s="778" t="s">
        <v>351</v>
      </c>
      <c r="GS26" s="482"/>
      <c r="GT26" s="553">
        <f>+GT23+GT20+GT17</f>
        <v>7741464.2708000001</v>
      </c>
      <c r="GU26" s="553">
        <f>+GU23+GU20+GU17</f>
        <v>410687.99874076032</v>
      </c>
      <c r="GV26" s="553">
        <f>+GV23+GV20+GV17</f>
        <v>8152152.2695407607</v>
      </c>
      <c r="GW26" s="553">
        <f>+GW23+GW20+GW17</f>
        <v>0</v>
      </c>
      <c r="GX26" s="722">
        <f t="shared" ref="GX26:HD26" si="75">+GV26</f>
        <v>8152152.2695407607</v>
      </c>
      <c r="GY26" s="722">
        <f t="shared" si="75"/>
        <v>0</v>
      </c>
      <c r="GZ26" s="722">
        <f t="shared" si="75"/>
        <v>8152152.2695407607</v>
      </c>
      <c r="HA26" s="722">
        <f t="shared" si="75"/>
        <v>0</v>
      </c>
      <c r="HB26" s="722">
        <f t="shared" si="75"/>
        <v>8152152.2695407607</v>
      </c>
      <c r="HC26" s="722">
        <f t="shared" si="75"/>
        <v>0</v>
      </c>
      <c r="HD26" s="722">
        <f t="shared" si="75"/>
        <v>8152152.2695407607</v>
      </c>
      <c r="HE26" s="722"/>
      <c r="HF26" s="722"/>
      <c r="HG26" s="722"/>
      <c r="HH26" s="722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30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U26" s="22">
        <f>ROW()</f>
        <v>26</v>
      </c>
      <c r="KV26" s="971" t="s">
        <v>339</v>
      </c>
      <c r="KW26" s="957"/>
      <c r="KX26" s="697">
        <f t="shared" ref="KX26:LL26" si="76">SUM(KX17:KX25)</f>
        <v>58214248.790019445</v>
      </c>
      <c r="KY26" s="697">
        <f t="shared" si="76"/>
        <v>3541219.1484670783</v>
      </c>
      <c r="KZ26" s="697">
        <f t="shared" si="76"/>
        <v>61755467.938486516</v>
      </c>
      <c r="LA26" s="697">
        <f t="shared" si="76"/>
        <v>0</v>
      </c>
      <c r="LB26" s="697">
        <f t="shared" si="76"/>
        <v>61755467.938486516</v>
      </c>
      <c r="LC26" s="697">
        <f t="shared" si="76"/>
        <v>0</v>
      </c>
      <c r="LD26" s="697">
        <f t="shared" si="76"/>
        <v>61755467.938486516</v>
      </c>
      <c r="LE26" s="697">
        <f t="shared" si="76"/>
        <v>0</v>
      </c>
      <c r="LF26" s="697">
        <f t="shared" si="76"/>
        <v>61755467.938486516</v>
      </c>
      <c r="LG26" s="697">
        <f t="shared" si="76"/>
        <v>0</v>
      </c>
      <c r="LH26" s="697">
        <f t="shared" si="76"/>
        <v>61755467.938486516</v>
      </c>
      <c r="LI26" s="697">
        <f t="shared" si="76"/>
        <v>0</v>
      </c>
      <c r="LJ26" s="697">
        <f t="shared" si="76"/>
        <v>0</v>
      </c>
      <c r="LK26" s="697">
        <f t="shared" si="76"/>
        <v>0</v>
      </c>
      <c r="LL26" s="697">
        <f t="shared" si="76"/>
        <v>0</v>
      </c>
      <c r="LM26" s="22"/>
      <c r="LP26" s="317"/>
      <c r="LR26" s="317"/>
      <c r="LS26" s="317"/>
      <c r="LT26" s="317"/>
      <c r="LU26" s="317"/>
      <c r="LV26" s="317"/>
      <c r="LW26" s="317"/>
      <c r="LX26" s="317"/>
      <c r="LY26" s="317"/>
      <c r="LZ26" s="317"/>
      <c r="MA26" s="317"/>
      <c r="MB26" s="317"/>
      <c r="MC26" s="317"/>
      <c r="MD26" s="317"/>
      <c r="ME26" s="22">
        <f>ROW()</f>
        <v>26</v>
      </c>
      <c r="MJ26"/>
      <c r="MK26"/>
      <c r="ML26"/>
      <c r="MM26"/>
      <c r="MN26"/>
      <c r="MO26"/>
      <c r="MP26"/>
      <c r="MQ26"/>
      <c r="MR26"/>
      <c r="MS26"/>
      <c r="MT26"/>
      <c r="MU26"/>
      <c r="MV26"/>
      <c r="MW26" s="22"/>
      <c r="MX26" s="924"/>
      <c r="MY26" s="924"/>
      <c r="MZ26" s="938"/>
      <c r="NA26" s="924"/>
      <c r="NB26" s="924"/>
      <c r="NC26" s="111"/>
      <c r="ND26" s="111"/>
      <c r="NE26" s="111"/>
      <c r="NF26" s="111"/>
      <c r="NG26" s="111"/>
      <c r="NH26" s="111"/>
      <c r="NI26" s="111"/>
      <c r="NJ26" s="112"/>
      <c r="NO26" s="22">
        <f>ROW()</f>
        <v>26</v>
      </c>
      <c r="NP26" s="791" t="s">
        <v>359</v>
      </c>
      <c r="NQ26" s="792"/>
      <c r="NR26" s="63">
        <f t="shared" ref="NR26:OF26" si="77">SUM(NR24)</f>
        <v>0</v>
      </c>
      <c r="NS26" s="63">
        <f t="shared" si="77"/>
        <v>0</v>
      </c>
      <c r="NT26" s="63">
        <f t="shared" si="77"/>
        <v>0</v>
      </c>
      <c r="NU26" s="63">
        <f t="shared" si="77"/>
        <v>0</v>
      </c>
      <c r="NV26" s="63">
        <f t="shared" si="77"/>
        <v>0</v>
      </c>
      <c r="NW26" s="63">
        <f t="shared" si="77"/>
        <v>0</v>
      </c>
      <c r="NX26" s="794">
        <f t="shared" si="77"/>
        <v>198594995.23869264</v>
      </c>
      <c r="NY26" s="63">
        <f t="shared" si="77"/>
        <v>9876635.6887413189</v>
      </c>
      <c r="NZ26" s="747">
        <f t="shared" si="77"/>
        <v>208471630.92743394</v>
      </c>
      <c r="OA26" s="63">
        <f t="shared" si="77"/>
        <v>8243138.6731712464</v>
      </c>
      <c r="OB26" s="747">
        <f t="shared" si="77"/>
        <v>216714769.60060516</v>
      </c>
      <c r="OC26" s="63">
        <f t="shared" si="77"/>
        <v>0</v>
      </c>
      <c r="OD26" s="63">
        <f t="shared" si="77"/>
        <v>0</v>
      </c>
      <c r="OE26" s="63">
        <f t="shared" si="77"/>
        <v>0</v>
      </c>
      <c r="OF26" s="63">
        <f t="shared" si="77"/>
        <v>0</v>
      </c>
      <c r="OG26" s="482">
        <f>ROW()</f>
        <v>26</v>
      </c>
      <c r="OH26" s="50" t="s">
        <v>345</v>
      </c>
      <c r="OI26" s="50"/>
      <c r="OJ26" s="772"/>
      <c r="OK26" s="772"/>
      <c r="OL26" s="772"/>
      <c r="OM26" s="772"/>
      <c r="ON26" s="772"/>
      <c r="OO26" s="772"/>
      <c r="OP26" s="772"/>
      <c r="OQ26" s="772"/>
      <c r="OR26" s="772"/>
      <c r="OS26" s="772"/>
      <c r="OT26" s="772"/>
      <c r="OU26" s="42"/>
      <c r="OV26" s="42"/>
      <c r="OW26" s="42"/>
      <c r="OX26" s="42"/>
      <c r="OY26" s="22">
        <f>ROW()</f>
        <v>26</v>
      </c>
      <c r="OZ26" s="644"/>
      <c r="PA26" s="644"/>
      <c r="PB26" s="63"/>
      <c r="PC26" s="63"/>
      <c r="PD26" s="63"/>
      <c r="PE26" s="1451"/>
      <c r="PF26" s="1451"/>
      <c r="PG26" s="1451"/>
      <c r="PH26" s="1451"/>
      <c r="PI26" s="1451"/>
      <c r="PJ26" s="1438"/>
      <c r="PK26" s="1451"/>
      <c r="PL26" s="1438"/>
      <c r="PM26" s="1444"/>
      <c r="PN26" s="1444"/>
      <c r="PO26" s="63"/>
      <c r="PP26" s="63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J26" s="424"/>
      <c r="QK26" s="424"/>
      <c r="QL26" s="424"/>
      <c r="RB26" s="394">
        <f>ROW()</f>
        <v>26</v>
      </c>
      <c r="RC26" s="616"/>
      <c r="RD26" s="616"/>
      <c r="RE26" s="1480"/>
      <c r="RF26" s="1480"/>
      <c r="RG26" s="1471"/>
      <c r="RH26" s="1471"/>
      <c r="RI26" s="1471"/>
      <c r="RJ26" s="1471"/>
      <c r="RK26" s="1471"/>
      <c r="RL26" s="1471"/>
      <c r="RM26" s="1471"/>
      <c r="RN26" s="1471"/>
      <c r="RO26" s="1471"/>
      <c r="RP26" s="1471"/>
      <c r="RQ26" s="1471"/>
      <c r="RR26" s="1471"/>
      <c r="RS26" s="1471"/>
      <c r="RT26" s="521">
        <f>ROW()</f>
        <v>26</v>
      </c>
      <c r="RU26" s="1480" t="s">
        <v>258</v>
      </c>
      <c r="RV26" s="520"/>
      <c r="RW26" s="606"/>
      <c r="RX26" s="606"/>
      <c r="RY26" s="606">
        <f t="shared" ref="RY26:SG26" si="78">RY24</f>
        <v>0</v>
      </c>
      <c r="RZ26" s="606">
        <f t="shared" si="78"/>
        <v>-42632.08</v>
      </c>
      <c r="SA26" s="606">
        <f t="shared" si="78"/>
        <v>-42632.08</v>
      </c>
      <c r="SB26" s="606">
        <f t="shared" si="78"/>
        <v>-254648.25999999995</v>
      </c>
      <c r="SC26" s="606">
        <f t="shared" si="78"/>
        <v>-297280.33999999997</v>
      </c>
      <c r="SD26" s="606">
        <f t="shared" si="78"/>
        <v>-629245.79000000108</v>
      </c>
      <c r="SE26" s="606">
        <f t="shared" si="78"/>
        <v>-926526.13000000105</v>
      </c>
      <c r="SF26" s="606">
        <f t="shared" si="78"/>
        <v>-629245.79000000108</v>
      </c>
      <c r="SG26" s="606">
        <f t="shared" si="78"/>
        <v>-1555771.9200000023</v>
      </c>
      <c r="SH26" s="606"/>
      <c r="SI26" s="606"/>
      <c r="SJ26" s="606"/>
      <c r="SK26" s="606"/>
      <c r="SL26" s="82">
        <f>ROW()</f>
        <v>26</v>
      </c>
      <c r="SM26" s="616" t="s">
        <v>240</v>
      </c>
      <c r="SN26" s="1484"/>
      <c r="SO26" s="1483"/>
      <c r="SP26" s="1483"/>
      <c r="SQ26" s="1483"/>
      <c r="SR26" s="1483">
        <f t="shared" ref="SR26:SY26" si="79">-SR22-SR24</f>
        <v>-482904.13487989997</v>
      </c>
      <c r="SS26" s="1483">
        <f t="shared" si="79"/>
        <v>-482904.13487989997</v>
      </c>
      <c r="ST26" s="1483">
        <f t="shared" si="79"/>
        <v>-5523856.8748024497</v>
      </c>
      <c r="SU26" s="1483">
        <f t="shared" si="79"/>
        <v>-6006761.0096823499</v>
      </c>
      <c r="SV26" s="1483">
        <f t="shared" si="79"/>
        <v>-8419002.0806574002</v>
      </c>
      <c r="SW26" s="1483">
        <f t="shared" si="79"/>
        <v>-14425763.09033975</v>
      </c>
      <c r="SX26" s="1483">
        <f t="shared" si="79"/>
        <v>-8356860.595495401</v>
      </c>
      <c r="SY26" s="1483">
        <f t="shared" si="79"/>
        <v>-22782623.685835153</v>
      </c>
      <c r="SZ26" s="1483"/>
      <c r="TA26" s="1483"/>
      <c r="TB26" s="1482"/>
      <c r="TC26" s="1482"/>
      <c r="TD26" s="424"/>
      <c r="TE26" s="82">
        <f>ROW()</f>
        <v>26</v>
      </c>
      <c r="TK26"/>
      <c r="TL26"/>
      <c r="TM26"/>
      <c r="TN26"/>
      <c r="TO26"/>
      <c r="TP26"/>
      <c r="TQ26"/>
      <c r="TR26"/>
      <c r="TS26"/>
      <c r="TT26"/>
      <c r="TU26"/>
      <c r="TV26"/>
      <c r="TW26" s="424"/>
      <c r="TX26" s="82">
        <f>ROW()</f>
        <v>26</v>
      </c>
      <c r="TY26" s="477" t="s">
        <v>346</v>
      </c>
      <c r="UA26" s="78"/>
      <c r="UB26" s="78"/>
      <c r="UC26" s="78"/>
      <c r="UD26" s="78"/>
      <c r="UE26" s="78"/>
      <c r="UF26" s="78"/>
      <c r="UG26" s="78"/>
      <c r="UH26" s="78"/>
      <c r="UI26" s="78"/>
      <c r="UJ26" s="78"/>
      <c r="UK26" s="78"/>
      <c r="UL26" s="78"/>
      <c r="UM26" s="78"/>
      <c r="UN26" s="78"/>
      <c r="UO26" s="78"/>
      <c r="UQ26" s="521">
        <f>ROW()</f>
        <v>26</v>
      </c>
      <c r="UR26" s="555" t="s">
        <v>276</v>
      </c>
      <c r="US26" s="695">
        <v>0.21</v>
      </c>
      <c r="UT26" s="659">
        <f t="shared" ref="UT26:UZ26" si="80">-$US$26*UT24</f>
        <v>339134.77290000004</v>
      </c>
      <c r="UU26" s="659">
        <f t="shared" si="80"/>
        <v>-339134.77290000004</v>
      </c>
      <c r="UV26" s="659">
        <f t="shared" si="80"/>
        <v>0</v>
      </c>
      <c r="UW26" s="659">
        <f t="shared" si="80"/>
        <v>0</v>
      </c>
      <c r="UX26" s="659">
        <f t="shared" si="80"/>
        <v>0</v>
      </c>
      <c r="UY26" s="659">
        <f t="shared" si="80"/>
        <v>0</v>
      </c>
      <c r="UZ26" s="659">
        <f t="shared" si="80"/>
        <v>0</v>
      </c>
      <c r="VA26" s="774">
        <f>-$VA$24*US26</f>
        <v>-695525.27021498734</v>
      </c>
      <c r="VB26" s="774">
        <f>-$VB$24*US26</f>
        <v>-695525.27021498734</v>
      </c>
      <c r="VC26" s="659">
        <f>-$VC$24*US26</f>
        <v>0</v>
      </c>
      <c r="VD26" s="774">
        <f>-$VD$24*US26</f>
        <v>-695525.27021498734</v>
      </c>
      <c r="VJ26" s="521">
        <f>ROW()</f>
        <v>26</v>
      </c>
      <c r="VK26" s="522"/>
      <c r="VL26" s="102"/>
      <c r="VM26" s="102"/>
      <c r="VN26" s="102"/>
      <c r="VO26" s="102"/>
      <c r="VP26" s="102"/>
      <c r="VQ26" s="102"/>
      <c r="VR26" s="102"/>
      <c r="VS26" s="102"/>
      <c r="VT26" s="102"/>
      <c r="VU26" s="102"/>
      <c r="VV26" s="102"/>
      <c r="VW26" s="102"/>
    </row>
    <row r="27" spans="1:625" ht="16.5" customHeight="1" thickTop="1" thickBot="1" x14ac:dyDescent="0.3">
      <c r="A27" s="22">
        <f>ROW()</f>
        <v>27</v>
      </c>
      <c r="B27" t="s">
        <v>935</v>
      </c>
      <c r="C27" s="1550" t="s">
        <v>876</v>
      </c>
      <c r="D27" s="1392"/>
      <c r="E27" s="1392"/>
      <c r="F27" s="880"/>
      <c r="G27" s="1392">
        <v>-11478597.794676207</v>
      </c>
      <c r="H27" s="880"/>
      <c r="I27" s="641"/>
      <c r="J27" s="1052"/>
      <c r="K27" s="641"/>
      <c r="L27" s="641"/>
      <c r="M27" s="641"/>
      <c r="N27" s="619"/>
      <c r="O27" s="619"/>
      <c r="P27" s="619"/>
      <c r="Q27" s="619"/>
      <c r="R27" s="619"/>
      <c r="S27" s="22">
        <f>ROW()</f>
        <v>27</v>
      </c>
      <c r="T27" s="603" t="s">
        <v>348</v>
      </c>
      <c r="U27" s="1627"/>
      <c r="V27" s="668">
        <f t="shared" si="8"/>
        <v>-10273081.529999999</v>
      </c>
      <c r="W27" s="74">
        <v>10273081.529999999</v>
      </c>
      <c r="X27" s="74"/>
      <c r="Y27" s="74"/>
      <c r="Z27" s="74">
        <f t="shared" si="9"/>
        <v>0</v>
      </c>
      <c r="AA27" s="74"/>
      <c r="AB27" s="74">
        <f t="shared" si="10"/>
        <v>0</v>
      </c>
      <c r="AC27" s="74"/>
      <c r="AD27" s="74">
        <f t="shared" si="11"/>
        <v>0</v>
      </c>
      <c r="AE27" s="74"/>
      <c r="AF27" s="74">
        <f t="shared" si="12"/>
        <v>0</v>
      </c>
      <c r="AG27" s="74"/>
      <c r="AH27" s="74"/>
      <c r="AI27" s="74"/>
      <c r="AJ27" s="74"/>
      <c r="AK27" s="22">
        <f>ROW()</f>
        <v>27</v>
      </c>
      <c r="AL27" s="28" t="s">
        <v>349</v>
      </c>
      <c r="AM27" s="776"/>
      <c r="AN27" s="747">
        <f>AN20-AN25</f>
        <v>38471326.001581803</v>
      </c>
      <c r="AO27" s="747">
        <f>AO20-AO25</f>
        <v>-458077.374124625</v>
      </c>
      <c r="AP27" s="747">
        <f>AP20-AP25</f>
        <v>38013248.627457172</v>
      </c>
      <c r="AQ27" s="747">
        <f>AQ20-AQ25</f>
        <v>-22369849.791707814</v>
      </c>
      <c r="AR27" s="747">
        <f>AR20-AR25</f>
        <v>77345485.107130349</v>
      </c>
      <c r="AS27" s="619"/>
      <c r="AT27" s="619"/>
      <c r="AU27" s="619"/>
      <c r="AV27" s="619"/>
      <c r="AW27" s="619"/>
      <c r="AX27" s="619"/>
      <c r="AY27" s="619"/>
      <c r="AZ27" s="619"/>
      <c r="BA27" s="619"/>
      <c r="BB27" s="619"/>
      <c r="BC27" s="22">
        <f>ROW()</f>
        <v>27</v>
      </c>
      <c r="BD27" s="814" t="s">
        <v>934</v>
      </c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V27"/>
      <c r="BW27"/>
      <c r="BX27"/>
      <c r="BY27"/>
      <c r="BZ27"/>
      <c r="CA27"/>
      <c r="CB27"/>
      <c r="DE27" s="482"/>
      <c r="DF27" s="1"/>
      <c r="DG27" s="1"/>
      <c r="DH27" s="1"/>
      <c r="DI27" s="1"/>
      <c r="DJ27" s="1"/>
      <c r="DK27" s="1"/>
      <c r="DL27" s="1"/>
      <c r="EO27" s="22">
        <f>ROW()</f>
        <v>27</v>
      </c>
      <c r="EP27" s="28" t="s">
        <v>292</v>
      </c>
      <c r="EQ27" s="28"/>
      <c r="ER27" s="725">
        <f t="shared" ref="ER27:FB27" si="81">-ER23-ER25</f>
        <v>93927.780050409521</v>
      </c>
      <c r="ES27" s="725">
        <f t="shared" si="81"/>
        <v>13658.449104713156</v>
      </c>
      <c r="ET27" s="725">
        <f t="shared" si="81"/>
        <v>107586.22915512268</v>
      </c>
      <c r="EU27" s="725">
        <f t="shared" si="81"/>
        <v>-203582.65075738163</v>
      </c>
      <c r="EV27" s="725">
        <f t="shared" si="81"/>
        <v>-95996.421602258968</v>
      </c>
      <c r="EW27" s="725">
        <f t="shared" si="81"/>
        <v>0</v>
      </c>
      <c r="EX27" s="725">
        <f t="shared" si="81"/>
        <v>-95996.421602258968</v>
      </c>
      <c r="EY27" s="725">
        <f t="shared" si="81"/>
        <v>0</v>
      </c>
      <c r="EZ27" s="725">
        <f t="shared" si="81"/>
        <v>-95996.421602258968</v>
      </c>
      <c r="FA27" s="725">
        <f t="shared" si="81"/>
        <v>0</v>
      </c>
      <c r="FB27" s="725">
        <f t="shared" si="81"/>
        <v>-95996.421602258968</v>
      </c>
      <c r="FC27" s="725"/>
      <c r="FD27" s="725"/>
      <c r="FE27" s="725"/>
      <c r="FF27" s="725"/>
      <c r="FX27" s="30"/>
      <c r="FY27" s="22">
        <f>ROW()</f>
        <v>27</v>
      </c>
      <c r="FZ27" s="20"/>
      <c r="GA27" s="20"/>
      <c r="GB27" s="21"/>
      <c r="GC27" s="21">
        <f>+GD27-GB27</f>
        <v>0</v>
      </c>
      <c r="GD27" s="21">
        <v>0</v>
      </c>
      <c r="GE27" s="21">
        <f>+GF27-GD27</f>
        <v>0</v>
      </c>
      <c r="GF27" s="21">
        <v>0</v>
      </c>
      <c r="GG27" s="21">
        <f>+GH27-GF27</f>
        <v>0</v>
      </c>
      <c r="GH27" s="21">
        <v>0</v>
      </c>
      <c r="GI27" s="21">
        <f>+GJ27-GH27</f>
        <v>0</v>
      </c>
      <c r="GJ27" s="21">
        <v>0</v>
      </c>
      <c r="GK27" s="21">
        <f>+GL27-GJ27</f>
        <v>0</v>
      </c>
      <c r="GL27" s="21">
        <v>0</v>
      </c>
      <c r="GM27" s="21"/>
      <c r="GN27" s="21"/>
      <c r="GO27" s="21"/>
      <c r="GP27" s="21"/>
      <c r="GQ27" s="22">
        <f>ROW()</f>
        <v>27</v>
      </c>
      <c r="GR27" s="788"/>
      <c r="GS27" s="755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U27" s="22">
        <f>ROW()</f>
        <v>27</v>
      </c>
      <c r="KV27" s="43"/>
      <c r="KW27" s="957"/>
      <c r="KX27" s="74"/>
      <c r="KY27" s="74"/>
      <c r="KZ27" s="637"/>
      <c r="LA27" s="74"/>
      <c r="LB27" s="637"/>
      <c r="LC27" s="74"/>
      <c r="LD27" s="637"/>
      <c r="LE27" s="74"/>
      <c r="LF27" s="637"/>
      <c r="LG27" s="74"/>
      <c r="LH27" s="637"/>
      <c r="LI27" s="74"/>
      <c r="LJ27" s="637"/>
      <c r="LK27" s="74"/>
      <c r="LL27" s="637"/>
      <c r="LM27" s="22"/>
      <c r="LP27" s="317"/>
      <c r="LR27" s="317"/>
      <c r="LS27" s="317"/>
      <c r="LT27" s="317"/>
      <c r="LU27" s="317"/>
      <c r="LV27" s="317"/>
      <c r="LW27" s="317"/>
      <c r="LX27" s="317"/>
      <c r="LY27" s="317"/>
      <c r="LZ27" s="317"/>
      <c r="MA27" s="317"/>
      <c r="MB27" s="317"/>
      <c r="MC27" s="317"/>
      <c r="MD27" s="317"/>
      <c r="ME27" s="22">
        <f>ROW()</f>
        <v>27</v>
      </c>
      <c r="MF27" s="555" t="s">
        <v>258</v>
      </c>
      <c r="MH27" s="50">
        <f t="shared" ref="MH27:MR27" si="82">MH25</f>
        <v>194187256.84186488</v>
      </c>
      <c r="MI27" s="50">
        <f t="shared" si="82"/>
        <v>8638418.5426058415</v>
      </c>
      <c r="MJ27" s="50">
        <f t="shared" si="82"/>
        <v>202825675.3844707</v>
      </c>
      <c r="MK27" s="50">
        <f t="shared" si="82"/>
        <v>0</v>
      </c>
      <c r="ML27" s="50">
        <f t="shared" si="82"/>
        <v>202825675.3844707</v>
      </c>
      <c r="MM27" s="50">
        <f t="shared" si="82"/>
        <v>0</v>
      </c>
      <c r="MN27" s="50">
        <f t="shared" si="82"/>
        <v>202825675.3844707</v>
      </c>
      <c r="MO27" s="50">
        <f t="shared" si="82"/>
        <v>0</v>
      </c>
      <c r="MP27" s="50">
        <f t="shared" si="82"/>
        <v>202825675.3844707</v>
      </c>
      <c r="MQ27" s="50">
        <f t="shared" si="82"/>
        <v>0</v>
      </c>
      <c r="MR27" s="50">
        <f t="shared" si="82"/>
        <v>202825675.3844707</v>
      </c>
      <c r="MS27" s="50"/>
      <c r="MT27" s="50"/>
      <c r="MU27" s="50"/>
      <c r="MV27" s="50"/>
      <c r="MW27" s="22"/>
      <c r="MX27" s="924"/>
      <c r="MY27" s="924"/>
      <c r="MZ27" s="20"/>
      <c r="NA27" s="20"/>
      <c r="NB27" s="20"/>
      <c r="NC27" s="779"/>
      <c r="ND27" s="780" t="s">
        <v>61</v>
      </c>
      <c r="NE27" s="126">
        <v>2024</v>
      </c>
      <c r="NF27" s="127" t="s">
        <v>62</v>
      </c>
      <c r="NG27" s="127">
        <v>2025</v>
      </c>
      <c r="NH27" s="127" t="s">
        <v>62</v>
      </c>
      <c r="NI27" s="127">
        <v>2026</v>
      </c>
      <c r="NJ27" s="1656" t="s">
        <v>62</v>
      </c>
      <c r="NO27" s="22">
        <f>ROW()</f>
        <v>27</v>
      </c>
      <c r="NP27" s="1655"/>
      <c r="NQ27" s="23"/>
      <c r="NR27" s="63"/>
      <c r="NS27" s="63"/>
      <c r="NT27" s="63"/>
      <c r="NU27" s="63"/>
      <c r="NV27" s="800"/>
      <c r="NW27" s="63"/>
      <c r="NX27" s="63"/>
      <c r="NY27" s="63"/>
      <c r="NZ27" s="800"/>
      <c r="OA27" s="63"/>
      <c r="OB27" s="800"/>
      <c r="OC27" s="800"/>
      <c r="OD27" s="800"/>
      <c r="OE27" s="63"/>
      <c r="OF27" s="800"/>
      <c r="OG27" s="482">
        <f>ROW()</f>
        <v>27</v>
      </c>
      <c r="OH27" s="50" t="s">
        <v>306</v>
      </c>
      <c r="OI27" s="50"/>
      <c r="OJ27" s="600"/>
      <c r="OK27" s="600"/>
      <c r="OL27" s="600"/>
      <c r="OM27" s="600"/>
      <c r="ON27" s="600"/>
      <c r="OO27" s="600"/>
      <c r="OP27" s="600"/>
      <c r="OQ27" s="600"/>
      <c r="OR27" s="600"/>
      <c r="OS27" s="600"/>
      <c r="OT27" s="600"/>
      <c r="OU27" s="706"/>
      <c r="OV27" s="706"/>
      <c r="OW27" s="706"/>
      <c r="OX27" s="706"/>
      <c r="OY27" s="22">
        <f>ROW()</f>
        <v>27</v>
      </c>
      <c r="OZ27" s="480" t="s">
        <v>933</v>
      </c>
      <c r="PA27" s="644"/>
      <c r="PB27" s="1575">
        <f t="shared" ref="PB27:PL27" si="83">SUM(PB24:PB26)</f>
        <v>-14340931.122981692</v>
      </c>
      <c r="PC27" s="1575">
        <f t="shared" si="83"/>
        <v>9233476.6029253639</v>
      </c>
      <c r="PD27" s="1575">
        <f t="shared" si="83"/>
        <v>-5107454.5200563278</v>
      </c>
      <c r="PE27" s="1575">
        <f t="shared" si="83"/>
        <v>-9233476.6029253639</v>
      </c>
      <c r="PF27" s="1652">
        <f t="shared" si="83"/>
        <v>-14340931.122981692</v>
      </c>
      <c r="PG27" s="1652">
        <f t="shared" si="83"/>
        <v>0</v>
      </c>
      <c r="PH27" s="1652">
        <f t="shared" si="83"/>
        <v>-14340931.122981692</v>
      </c>
      <c r="PI27" s="1652">
        <f t="shared" si="83"/>
        <v>0</v>
      </c>
      <c r="PJ27" s="1575">
        <f t="shared" si="83"/>
        <v>-14340931.122981692</v>
      </c>
      <c r="PK27" s="1652">
        <f t="shared" si="83"/>
        <v>0</v>
      </c>
      <c r="PL27" s="1575">
        <f t="shared" si="83"/>
        <v>-14340931.122981692</v>
      </c>
      <c r="PM27" s="1651"/>
      <c r="PN27" s="1651"/>
      <c r="PO27" s="69"/>
      <c r="PP27" s="69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J27" s="424"/>
      <c r="QK27" s="424"/>
      <c r="QL27" s="424"/>
      <c r="RB27" s="394">
        <f>ROW()</f>
        <v>27</v>
      </c>
      <c r="RC27" s="616" t="s">
        <v>258</v>
      </c>
      <c r="RD27" s="616"/>
      <c r="RE27" s="1490"/>
      <c r="RF27" s="1490"/>
      <c r="RG27" s="1471">
        <f t="shared" ref="RG27:RO27" si="84">RG25</f>
        <v>193790199.03447071</v>
      </c>
      <c r="RH27" s="1471">
        <f t="shared" si="84"/>
        <v>377748.07468491048</v>
      </c>
      <c r="RI27" s="1471">
        <f t="shared" si="84"/>
        <v>194167947.10915563</v>
      </c>
      <c r="RJ27" s="1471">
        <f t="shared" si="84"/>
        <v>-1968389.0846907347</v>
      </c>
      <c r="RK27" s="1471">
        <f t="shared" si="84"/>
        <v>192199558.02446488</v>
      </c>
      <c r="RL27" s="1471">
        <f t="shared" si="84"/>
        <v>67398212.778005093</v>
      </c>
      <c r="RM27" s="1471">
        <f t="shared" si="84"/>
        <v>259597770.80246997</v>
      </c>
      <c r="RN27" s="1471">
        <f t="shared" si="84"/>
        <v>-9019326.4874949716</v>
      </c>
      <c r="RO27" s="1471">
        <f t="shared" si="84"/>
        <v>250578444.31497499</v>
      </c>
      <c r="RP27" s="1471"/>
      <c r="RQ27" s="1471"/>
      <c r="RR27" s="1471"/>
      <c r="RS27" s="1471"/>
      <c r="RT27" s="521">
        <f>ROW()</f>
        <v>27</v>
      </c>
      <c r="RU27" s="1480"/>
      <c r="RV27" s="520"/>
      <c r="RW27" s="606"/>
      <c r="RX27" s="606"/>
      <c r="RY27" s="606"/>
      <c r="RZ27" s="606"/>
      <c r="SA27" s="606"/>
      <c r="SB27" s="606"/>
      <c r="SC27" s="606"/>
      <c r="SD27" s="606"/>
      <c r="SE27" s="606"/>
      <c r="SF27" s="606"/>
      <c r="SG27" s="606"/>
      <c r="SH27" s="606"/>
      <c r="SI27" s="606"/>
      <c r="SJ27" s="606"/>
      <c r="SK27" s="606"/>
      <c r="SL27" s="82">
        <f>ROW()</f>
        <v>27</v>
      </c>
      <c r="SM27" s="616"/>
      <c r="SN27" s="1484"/>
      <c r="SO27" s="1480"/>
      <c r="SP27" s="1480"/>
      <c r="SQ27" s="1480"/>
      <c r="SR27" s="1480"/>
      <c r="SS27" s="1480"/>
      <c r="ST27" s="1480"/>
      <c r="SU27" s="1480"/>
      <c r="SV27" s="1480"/>
      <c r="SW27" s="1480"/>
      <c r="SX27" s="1480"/>
      <c r="SY27" s="1480"/>
      <c r="SZ27" s="1480"/>
      <c r="TA27" s="1480"/>
      <c r="TB27" s="1500"/>
      <c r="TC27" s="1500"/>
      <c r="TD27" s="424"/>
      <c r="TE27" s="82">
        <f>ROW()</f>
        <v>27</v>
      </c>
      <c r="TK27"/>
      <c r="TL27"/>
      <c r="TM27"/>
      <c r="TN27"/>
      <c r="TO27"/>
      <c r="TP27"/>
      <c r="TQ27"/>
      <c r="TR27"/>
      <c r="TS27"/>
      <c r="TT27"/>
      <c r="TU27"/>
      <c r="TV27"/>
      <c r="TW27" s="424"/>
      <c r="TX27" s="82">
        <f>ROW()</f>
        <v>27</v>
      </c>
      <c r="TY27" s="20" t="s">
        <v>932</v>
      </c>
      <c r="UA27" s="78">
        <v>-357714</v>
      </c>
      <c r="UB27" s="78">
        <f>-UA27</f>
        <v>357714</v>
      </c>
      <c r="UC27" s="78"/>
      <c r="UD27" s="78"/>
      <c r="UE27" s="78"/>
      <c r="UF27" s="78"/>
      <c r="UG27" s="78"/>
      <c r="UH27" s="78"/>
      <c r="UI27" s="78"/>
      <c r="UJ27" s="78"/>
      <c r="UK27" s="78"/>
      <c r="UL27" s="78"/>
      <c r="UM27" s="78"/>
      <c r="UN27" s="78"/>
      <c r="UO27" s="78"/>
      <c r="UQ27" s="521">
        <f>ROW()</f>
        <v>27</v>
      </c>
      <c r="UR27" s="555" t="s">
        <v>292</v>
      </c>
      <c r="UT27" s="783">
        <f t="shared" ref="UT27:VD27" si="85">-UT24-UT26</f>
        <v>1275792.7171000002</v>
      </c>
      <c r="UU27" s="783">
        <f t="shared" si="85"/>
        <v>-1275792.7171000002</v>
      </c>
      <c r="UV27" s="783">
        <f t="shared" si="85"/>
        <v>0</v>
      </c>
      <c r="UW27" s="783">
        <f t="shared" si="85"/>
        <v>0</v>
      </c>
      <c r="UX27" s="783">
        <f t="shared" si="85"/>
        <v>0</v>
      </c>
      <c r="UY27" s="783">
        <f t="shared" si="85"/>
        <v>0</v>
      </c>
      <c r="UZ27" s="783">
        <f t="shared" si="85"/>
        <v>0</v>
      </c>
      <c r="VA27" s="784">
        <f t="shared" si="85"/>
        <v>-2616499.8260468571</v>
      </c>
      <c r="VB27" s="784">
        <f t="shared" si="85"/>
        <v>-2616499.8260468571</v>
      </c>
      <c r="VC27" s="783">
        <f t="shared" si="85"/>
        <v>0</v>
      </c>
      <c r="VD27" s="784">
        <f t="shared" si="85"/>
        <v>-2616499.8260468571</v>
      </c>
      <c r="VJ27" s="521">
        <f>ROW()</f>
        <v>27</v>
      </c>
      <c r="VK27" s="102"/>
      <c r="VM27" s="1653"/>
      <c r="VN27" s="1653"/>
      <c r="VO27" s="1654"/>
      <c r="VP27" s="1653"/>
      <c r="VQ27" s="1654"/>
      <c r="VR27" s="1653"/>
      <c r="VS27" s="1654"/>
      <c r="VT27" s="1653"/>
      <c r="VU27" s="1653"/>
      <c r="VV27" s="1653"/>
      <c r="VW27" s="1653"/>
    </row>
    <row r="28" spans="1:625" ht="15.75" thickTop="1" x14ac:dyDescent="0.25">
      <c r="A28" s="22">
        <f>ROW()</f>
        <v>28</v>
      </c>
      <c r="B28" t="s">
        <v>931</v>
      </c>
      <c r="C28" s="1550" t="s">
        <v>876</v>
      </c>
      <c r="D28" s="1392"/>
      <c r="E28" s="1392">
        <v>251691.05542156979</v>
      </c>
      <c r="F28" s="880"/>
      <c r="G28" s="641"/>
      <c r="H28" s="880"/>
      <c r="I28" s="641"/>
      <c r="J28" s="1052"/>
      <c r="K28" s="641"/>
      <c r="L28" s="641"/>
      <c r="M28" s="641"/>
      <c r="N28" s="1394"/>
      <c r="O28" s="619"/>
      <c r="P28" s="1394"/>
      <c r="Q28" s="619"/>
      <c r="R28" s="1394"/>
      <c r="S28" s="22">
        <f>ROW()</f>
        <v>28</v>
      </c>
      <c r="T28" s="603" t="s">
        <v>878</v>
      </c>
      <c r="V28" s="668">
        <f t="shared" si="8"/>
        <v>61857847.440000013</v>
      </c>
      <c r="W28" s="74">
        <v>-61857847.440000013</v>
      </c>
      <c r="X28" s="74"/>
      <c r="Y28" s="74"/>
      <c r="Z28" s="74">
        <f t="shared" si="9"/>
        <v>0</v>
      </c>
      <c r="AA28" s="74"/>
      <c r="AB28" s="74">
        <f t="shared" si="10"/>
        <v>0</v>
      </c>
      <c r="AC28" s="74"/>
      <c r="AD28" s="74">
        <f t="shared" si="11"/>
        <v>0</v>
      </c>
      <c r="AE28" s="74"/>
      <c r="AF28" s="74">
        <f t="shared" si="12"/>
        <v>0</v>
      </c>
      <c r="AG28" s="74"/>
      <c r="AH28" s="74"/>
      <c r="AI28" s="74"/>
      <c r="AJ28" s="74"/>
      <c r="AK28" s="22">
        <f>ROW()</f>
        <v>28</v>
      </c>
      <c r="AL28" s="28"/>
      <c r="AM28" s="729"/>
      <c r="AN28" s="668"/>
      <c r="AO28" s="668"/>
      <c r="AP28" s="668"/>
      <c r="AQ28" s="668"/>
      <c r="AR28" s="668"/>
      <c r="AS28" s="668"/>
      <c r="AT28" s="668"/>
      <c r="AU28" s="668"/>
      <c r="AV28" s="668"/>
      <c r="AW28" s="668"/>
      <c r="AX28" s="668"/>
      <c r="AY28" s="668"/>
      <c r="AZ28" s="668"/>
      <c r="BA28" s="668"/>
      <c r="BB28" s="66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V28"/>
      <c r="BW28"/>
      <c r="BX28"/>
      <c r="BY28"/>
      <c r="BZ28"/>
      <c r="CA28"/>
      <c r="CB28"/>
      <c r="DE28" s="1"/>
      <c r="DF28" s="1"/>
      <c r="DG28" s="1"/>
      <c r="DH28" s="1"/>
      <c r="DI28" s="1"/>
      <c r="DJ28" s="1"/>
      <c r="DK28" s="1"/>
      <c r="DL28" s="1"/>
      <c r="EO28" s="1"/>
      <c r="EP28" s="1"/>
      <c r="EQ28" s="1"/>
      <c r="ER28" s="1"/>
      <c r="ES28" s="1"/>
      <c r="ET28" s="1"/>
      <c r="EU28" s="1"/>
      <c r="EV28" s="1"/>
      <c r="FX28" s="30"/>
      <c r="FY28" s="22">
        <f>ROW()</f>
        <v>28</v>
      </c>
      <c r="FZ28" s="480" t="s">
        <v>350</v>
      </c>
      <c r="GA28" s="480"/>
      <c r="GB28" s="42">
        <v>354065.82770115254</v>
      </c>
      <c r="GC28" s="42">
        <v>-113036.86452218764</v>
      </c>
      <c r="GD28" s="42">
        <f>SUM(GB28:GC28)</f>
        <v>241028.96317896491</v>
      </c>
      <c r="GE28" s="42">
        <v>18923.376664912594</v>
      </c>
      <c r="GF28" s="42">
        <f>SUM(GD28:GE28)</f>
        <v>259952.3398438775</v>
      </c>
      <c r="GG28" s="42">
        <v>8298.1201810878229</v>
      </c>
      <c r="GH28" s="42">
        <f>SUM(GF28:GG28)</f>
        <v>268250.46002496534</v>
      </c>
      <c r="GI28" s="42">
        <v>1968.4660262220461</v>
      </c>
      <c r="GJ28" s="42">
        <f>SUM(GH28:GI28)</f>
        <v>270218.92605118739</v>
      </c>
      <c r="GK28" s="42">
        <v>155.74030751886735</v>
      </c>
      <c r="GL28" s="42">
        <f>SUM(GJ28:GK28)</f>
        <v>270374.66635870625</v>
      </c>
      <c r="GM28" s="42"/>
      <c r="GN28" s="42"/>
      <c r="GO28" s="42"/>
      <c r="GP28" s="42"/>
      <c r="GQ28" s="22">
        <f>ROW()</f>
        <v>28</v>
      </c>
      <c r="GR28" s="778" t="s">
        <v>366</v>
      </c>
      <c r="GS28" s="798">
        <v>0.46577095547807479</v>
      </c>
      <c r="GT28" s="74">
        <f>+GT26*$GS$28</f>
        <v>3605749.2102098935</v>
      </c>
      <c r="GU28" s="722">
        <f>+GV28-GT28</f>
        <v>191286.54157686234</v>
      </c>
      <c r="GV28" s="74">
        <f>+GV26*$GS$28</f>
        <v>3797035.7517867559</v>
      </c>
      <c r="GW28" s="722">
        <f>+GX28-GV28</f>
        <v>0</v>
      </c>
      <c r="GX28" s="74">
        <f t="shared" ref="GX28:HH28" si="86">+GX26*$GS$28</f>
        <v>3797035.7517867559</v>
      </c>
      <c r="GY28" s="74">
        <f t="shared" si="86"/>
        <v>0</v>
      </c>
      <c r="GZ28" s="74">
        <f t="shared" si="86"/>
        <v>3797035.7517867559</v>
      </c>
      <c r="HA28" s="74">
        <f t="shared" si="86"/>
        <v>0</v>
      </c>
      <c r="HB28" s="74">
        <f t="shared" si="86"/>
        <v>3797035.7517867559</v>
      </c>
      <c r="HC28" s="74">
        <f t="shared" si="86"/>
        <v>0</v>
      </c>
      <c r="HD28" s="74">
        <f t="shared" si="86"/>
        <v>3797035.7517867559</v>
      </c>
      <c r="HE28" s="74">
        <f t="shared" si="86"/>
        <v>0</v>
      </c>
      <c r="HF28" s="74">
        <f t="shared" si="86"/>
        <v>0</v>
      </c>
      <c r="HG28" s="74">
        <f t="shared" si="86"/>
        <v>0</v>
      </c>
      <c r="HH28" s="74">
        <f t="shared" si="86"/>
        <v>0</v>
      </c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/>
      <c r="IT28"/>
      <c r="IU28"/>
      <c r="IV28"/>
      <c r="IW28"/>
      <c r="IX28"/>
      <c r="IY28"/>
      <c r="IZ28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 s="482"/>
      <c r="KU28" s="22">
        <f>ROW()</f>
        <v>28</v>
      </c>
      <c r="KV28" s="73" t="s">
        <v>353</v>
      </c>
      <c r="KW28" s="957"/>
      <c r="KX28" s="42">
        <v>4192011.2666414767</v>
      </c>
      <c r="KY28" s="42">
        <v>161103.54499382243</v>
      </c>
      <c r="KZ28" s="746">
        <f>SUM(KX28:KY28)</f>
        <v>4353114.8116352987</v>
      </c>
      <c r="LA28" s="42">
        <v>0</v>
      </c>
      <c r="LB28" s="746">
        <f>SUM(KZ28:LA28)</f>
        <v>4353114.8116352987</v>
      </c>
      <c r="LC28" s="42">
        <v>0</v>
      </c>
      <c r="LD28" s="746">
        <f>SUM(LB28:LC28)</f>
        <v>4353114.8116352987</v>
      </c>
      <c r="LE28" s="42">
        <v>0</v>
      </c>
      <c r="LF28" s="746">
        <f>SUM(LD28:LE28)</f>
        <v>4353114.8116352987</v>
      </c>
      <c r="LG28" s="42">
        <v>0</v>
      </c>
      <c r="LH28" s="746">
        <f>SUM(LF28:LG28)</f>
        <v>4353114.8116352987</v>
      </c>
      <c r="LI28" s="42">
        <v>0</v>
      </c>
      <c r="LJ28" s="746"/>
      <c r="LK28" s="42">
        <v>0</v>
      </c>
      <c r="LL28" s="746">
        <f>SUM(LJ28:LK28)</f>
        <v>0</v>
      </c>
      <c r="LM28" s="22"/>
      <c r="LP28" s="317"/>
      <c r="LR28" s="317"/>
      <c r="LS28" s="317"/>
      <c r="LT28" s="317"/>
      <c r="LU28" s="317"/>
      <c r="LV28" s="317"/>
      <c r="LW28" s="317"/>
      <c r="LX28" s="317"/>
      <c r="LY28" s="317"/>
      <c r="LZ28" s="317"/>
      <c r="MA28" s="317"/>
      <c r="MB28" s="317"/>
      <c r="MC28" s="317"/>
      <c r="MD28" s="317"/>
      <c r="ME28" s="22">
        <f>ROW()</f>
        <v>28</v>
      </c>
      <c r="MH28"/>
      <c r="MI28" s="50"/>
      <c r="MJ28" s="50"/>
      <c r="MK28" s="50"/>
      <c r="ML28" s="50"/>
      <c r="MM28" s="50"/>
      <c r="MN28" s="50"/>
      <c r="MO28" s="50"/>
      <c r="MP28" s="50"/>
      <c r="MQ28" s="50"/>
      <c r="MR28" s="50"/>
      <c r="MS28" s="50"/>
      <c r="MT28" s="50"/>
      <c r="MU28" s="50"/>
      <c r="MV28" s="50"/>
      <c r="MW28" s="22"/>
      <c r="MX28" s="20"/>
      <c r="MY28" s="490"/>
      <c r="MZ28" s="100"/>
      <c r="NA28" s="942"/>
      <c r="NB28" s="100"/>
      <c r="NC28" s="789" t="s">
        <v>70</v>
      </c>
      <c r="ND28" s="790" t="s">
        <v>62</v>
      </c>
      <c r="NE28" s="140" t="s">
        <v>71</v>
      </c>
      <c r="NF28" s="141" t="s">
        <v>66</v>
      </c>
      <c r="NG28" s="141" t="s">
        <v>9</v>
      </c>
      <c r="NH28" s="141" t="s">
        <v>66</v>
      </c>
      <c r="NI28" s="141" t="s">
        <v>10</v>
      </c>
      <c r="NJ28" s="1649" t="s">
        <v>66</v>
      </c>
      <c r="NO28" s="22">
        <f>ROW()</f>
        <v>28</v>
      </c>
      <c r="NP28" s="810"/>
      <c r="OG28" s="482">
        <f>ROW()</f>
        <v>28</v>
      </c>
      <c r="OH28" s="549" t="s">
        <v>360</v>
      </c>
      <c r="OI28" s="549"/>
      <c r="OJ28" s="561">
        <v>-2906116.24</v>
      </c>
      <c r="OK28" s="561">
        <f>OL28-OJ28</f>
        <v>0</v>
      </c>
      <c r="OL28" s="561">
        <v>-2906116.24</v>
      </c>
      <c r="OM28" s="561">
        <f>ON28-OL28</f>
        <v>2906116.24</v>
      </c>
      <c r="ON28" s="561">
        <v>0</v>
      </c>
      <c r="OO28" s="561"/>
      <c r="OP28" s="561"/>
      <c r="OQ28" s="561"/>
      <c r="OR28" s="561"/>
      <c r="OS28" s="561"/>
      <c r="OT28" s="561"/>
      <c r="OU28" s="738"/>
      <c r="OV28" s="738"/>
      <c r="OW28" s="738"/>
      <c r="OX28" s="738"/>
      <c r="OY28" s="22">
        <f>ROW()</f>
        <v>28</v>
      </c>
      <c r="OZ28" s="480" t="s">
        <v>306</v>
      </c>
      <c r="PA28" s="644"/>
      <c r="PB28" s="1650"/>
      <c r="PC28" s="1139"/>
      <c r="PD28" s="1139"/>
      <c r="PE28" s="1652"/>
      <c r="PF28" s="1652"/>
      <c r="PG28" s="1652"/>
      <c r="PH28" s="1652"/>
      <c r="PI28" s="1652"/>
      <c r="PJ28" s="1575"/>
      <c r="PK28" s="1652"/>
      <c r="PL28" s="1575"/>
      <c r="PM28" s="1651"/>
      <c r="PN28" s="1651"/>
      <c r="PO28" s="1650"/>
      <c r="PP28" s="1650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J28" s="424"/>
      <c r="QK28" s="424"/>
      <c r="QL28" s="424"/>
      <c r="RB28" s="394">
        <f>ROW()</f>
        <v>28</v>
      </c>
      <c r="RC28" s="616"/>
      <c r="RD28" s="616"/>
      <c r="RE28" s="1480"/>
      <c r="RF28" s="1480"/>
      <c r="RG28" s="1471"/>
      <c r="RH28" s="1471"/>
      <c r="RI28" s="1471"/>
      <c r="RJ28" s="1471"/>
      <c r="RK28" s="1471"/>
      <c r="RL28" s="1471"/>
      <c r="RM28" s="1471"/>
      <c r="RN28" s="1471"/>
      <c r="RO28" s="1471"/>
      <c r="RP28" s="1471"/>
      <c r="RQ28" s="1471"/>
      <c r="RR28" s="1471"/>
      <c r="RS28" s="1471"/>
      <c r="RT28" s="521">
        <f>ROW()</f>
        <v>28</v>
      </c>
      <c r="RU28" s="1480" t="s">
        <v>259</v>
      </c>
      <c r="RV28" s="795">
        <v>0.21</v>
      </c>
      <c r="RW28" s="669"/>
      <c r="RX28" s="669"/>
      <c r="RY28" s="669">
        <f t="shared" ref="RY28:SG28" si="87">RY26*-$RV$28</f>
        <v>0</v>
      </c>
      <c r="RZ28" s="669">
        <f t="shared" si="87"/>
        <v>8952.7368000000006</v>
      </c>
      <c r="SA28" s="669">
        <f t="shared" si="87"/>
        <v>8952.7368000000006</v>
      </c>
      <c r="SB28" s="669">
        <f t="shared" si="87"/>
        <v>53476.13459999999</v>
      </c>
      <c r="SC28" s="669">
        <f t="shared" si="87"/>
        <v>62428.871399999989</v>
      </c>
      <c r="SD28" s="669">
        <f t="shared" si="87"/>
        <v>132141.61590000024</v>
      </c>
      <c r="SE28" s="669">
        <f t="shared" si="87"/>
        <v>194570.48730000021</v>
      </c>
      <c r="SF28" s="669">
        <f t="shared" si="87"/>
        <v>132141.61590000024</v>
      </c>
      <c r="SG28" s="669">
        <f t="shared" si="87"/>
        <v>326712.10320000048</v>
      </c>
      <c r="SH28" s="669"/>
      <c r="SI28" s="669"/>
      <c r="SJ28" s="669"/>
      <c r="SK28" s="669"/>
      <c r="SL28" s="82">
        <f>ROW()</f>
        <v>28</v>
      </c>
      <c r="SM28" s="616" t="s">
        <v>361</v>
      </c>
      <c r="SN28" s="1484"/>
      <c r="SO28" s="1475"/>
      <c r="SP28" s="1475"/>
      <c r="SQ28" s="1475"/>
      <c r="SR28" s="1475">
        <v>64907450.781774998</v>
      </c>
      <c r="SS28" s="1475">
        <f>SR28</f>
        <v>64907450.781774998</v>
      </c>
      <c r="ST28" s="1475">
        <v>135484651.20414501</v>
      </c>
      <c r="SU28" s="1475">
        <f>ST28+SS28</f>
        <v>200392101.98592001</v>
      </c>
      <c r="SV28" s="1475">
        <v>61776287.73843497</v>
      </c>
      <c r="SW28" s="1475">
        <f>SV28+SU28</f>
        <v>262168389.72435498</v>
      </c>
      <c r="SX28" s="1475">
        <v>148518084.85406506</v>
      </c>
      <c r="SY28" s="1475">
        <f>SX28+SW28</f>
        <v>410686474.57842004</v>
      </c>
      <c r="SZ28" s="1475"/>
      <c r="TA28" s="1475"/>
      <c r="TB28" s="1474"/>
      <c r="TC28" s="1474"/>
      <c r="TD28" s="424"/>
      <c r="TE28" s="82">
        <f>ROW()</f>
        <v>28</v>
      </c>
      <c r="TK28"/>
      <c r="TL28"/>
      <c r="TM28"/>
      <c r="TN28"/>
      <c r="TO28"/>
      <c r="TP28"/>
      <c r="TQ28"/>
      <c r="TR28"/>
      <c r="TS28"/>
      <c r="TT28"/>
      <c r="TU28"/>
      <c r="TV28"/>
      <c r="TW28" s="424"/>
      <c r="TX28" s="82">
        <f>ROW()</f>
        <v>28</v>
      </c>
      <c r="TY28" s="20"/>
      <c r="UA28" s="78"/>
      <c r="UB28" s="78"/>
      <c r="UC28" s="78"/>
      <c r="UD28" s="78"/>
      <c r="UE28" s="78"/>
      <c r="UF28" s="78"/>
      <c r="UG28" s="78"/>
      <c r="UH28" s="78"/>
      <c r="UI28" s="78"/>
      <c r="UJ28" s="78"/>
      <c r="UK28" s="78"/>
      <c r="UL28" s="78"/>
      <c r="UM28" s="78"/>
      <c r="UN28" s="78"/>
      <c r="UO28" s="78"/>
      <c r="UQ28" s="65" t="s">
        <v>30</v>
      </c>
      <c r="VJ28" s="521">
        <f>ROW()</f>
        <v>28</v>
      </c>
      <c r="VK28" s="102"/>
      <c r="VM28" s="633"/>
      <c r="VN28" s="633"/>
      <c r="VO28" s="64"/>
      <c r="VP28" s="633"/>
      <c r="VQ28" s="64"/>
      <c r="VR28" s="633"/>
      <c r="VS28" s="64"/>
      <c r="VT28" s="633"/>
      <c r="VU28" s="633"/>
      <c r="VV28" s="633"/>
      <c r="VW28" s="633"/>
    </row>
    <row r="29" spans="1:625" ht="15.75" thickBot="1" x14ac:dyDescent="0.3">
      <c r="A29" s="22">
        <f>ROW()</f>
        <v>29</v>
      </c>
      <c r="B29" t="s">
        <v>930</v>
      </c>
      <c r="C29" s="1550" t="s">
        <v>876</v>
      </c>
      <c r="D29" s="1392"/>
      <c r="E29" s="1392"/>
      <c r="F29" s="880"/>
      <c r="G29" s="641">
        <v>-2964723.5896382895</v>
      </c>
      <c r="H29" s="880"/>
      <c r="I29" s="641"/>
      <c r="J29" s="1052"/>
      <c r="K29" s="641"/>
      <c r="L29" s="641"/>
      <c r="M29" s="641"/>
      <c r="N29" s="1394"/>
      <c r="O29" s="619"/>
      <c r="P29" s="1394"/>
      <c r="Q29" s="619"/>
      <c r="R29" s="1394"/>
      <c r="S29" s="22">
        <f>ROW()</f>
        <v>29</v>
      </c>
      <c r="T29" s="603" t="s">
        <v>929</v>
      </c>
      <c r="U29" s="1627"/>
      <c r="V29" s="668">
        <f t="shared" si="8"/>
        <v>0</v>
      </c>
      <c r="W29" s="74"/>
      <c r="X29" s="74"/>
      <c r="Y29" s="74"/>
      <c r="Z29" s="74">
        <f t="shared" si="9"/>
        <v>0</v>
      </c>
      <c r="AA29" s="74"/>
      <c r="AB29" s="74">
        <f t="shared" si="10"/>
        <v>0</v>
      </c>
      <c r="AC29" s="74"/>
      <c r="AD29" s="74">
        <f t="shared" si="11"/>
        <v>0</v>
      </c>
      <c r="AE29" s="74"/>
      <c r="AF29" s="74">
        <f t="shared" si="12"/>
        <v>0</v>
      </c>
      <c r="AG29" s="74"/>
      <c r="AH29" s="74"/>
      <c r="AI29" s="74"/>
      <c r="AJ29" s="74"/>
      <c r="AK29" s="22">
        <f>ROW()</f>
        <v>29</v>
      </c>
      <c r="AL29" s="28" t="s">
        <v>283</v>
      </c>
      <c r="AM29" s="752">
        <v>0.21</v>
      </c>
      <c r="AN29" s="750">
        <f>AN27*AM$29</f>
        <v>8078978.4603321785</v>
      </c>
      <c r="AO29" s="750">
        <f>AO$27*AM$29</f>
        <v>-96196.248566171242</v>
      </c>
      <c r="AP29" s="750">
        <f>AP27*AM$29</f>
        <v>7982782.2117660055</v>
      </c>
      <c r="AQ29" s="750">
        <f>AQ$27*AM$29</f>
        <v>-4697668.4562586406</v>
      </c>
      <c r="AR29" s="750">
        <f>AR27*AM29</f>
        <v>16242551.872497372</v>
      </c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V29"/>
      <c r="BW29"/>
      <c r="BX29"/>
      <c r="BY29"/>
      <c r="BZ29"/>
      <c r="CA29"/>
      <c r="CB29"/>
      <c r="DE29" s="1"/>
      <c r="DF29" s="1"/>
      <c r="DG29" s="1"/>
      <c r="DH29" s="1"/>
      <c r="DI29" s="1"/>
      <c r="DJ29" s="1"/>
      <c r="DK29" s="1"/>
      <c r="DL29" s="1"/>
      <c r="FY29" s="22">
        <f>ROW()</f>
        <v>29</v>
      </c>
      <c r="FZ29" s="480" t="s">
        <v>357</v>
      </c>
      <c r="GA29" s="480"/>
      <c r="GB29" s="626">
        <f t="shared" ref="GB29:GL29" si="88">SUM(GB26:GB28)</f>
        <v>4382118.4750407711</v>
      </c>
      <c r="GC29" s="626">
        <f t="shared" si="88"/>
        <v>-1399008.0194958809</v>
      </c>
      <c r="GD29" s="626">
        <f t="shared" si="88"/>
        <v>2983110.4555448899</v>
      </c>
      <c r="GE29" s="626">
        <f t="shared" si="88"/>
        <v>234206.38764230272</v>
      </c>
      <c r="GF29" s="626">
        <f t="shared" si="88"/>
        <v>3217316.8431871929</v>
      </c>
      <c r="GG29" s="626">
        <f t="shared" si="88"/>
        <v>102702.21780438501</v>
      </c>
      <c r="GH29" s="626">
        <f t="shared" si="88"/>
        <v>3320019.0609915783</v>
      </c>
      <c r="GI29" s="626">
        <f t="shared" si="88"/>
        <v>24362.84630178571</v>
      </c>
      <c r="GJ29" s="626">
        <f t="shared" si="88"/>
        <v>3344381.9072933635</v>
      </c>
      <c r="GK29" s="626">
        <f t="shared" si="88"/>
        <v>1927.5299266186096</v>
      </c>
      <c r="GL29" s="626">
        <f t="shared" si="88"/>
        <v>3346309.4372199825</v>
      </c>
      <c r="GM29" s="626"/>
      <c r="GN29" s="626"/>
      <c r="GO29" s="626"/>
      <c r="GP29" s="626"/>
      <c r="GQ29" s="22">
        <f>ROW()</f>
        <v>29</v>
      </c>
      <c r="GR29" s="788"/>
      <c r="GS29" s="755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/>
      <c r="IT29"/>
      <c r="IU29"/>
      <c r="IV29"/>
      <c r="IW29"/>
      <c r="IX29"/>
      <c r="IY29"/>
      <c r="IZ29"/>
      <c r="JA29" s="74"/>
      <c r="JB29" s="74"/>
      <c r="JC29" s="74"/>
      <c r="JD29" s="74"/>
      <c r="JE29" s="74"/>
      <c r="JF29" s="74"/>
      <c r="JG29" s="74"/>
      <c r="JH29" s="74"/>
      <c r="JI29" s="74"/>
      <c r="JJ29" s="74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U29" s="22">
        <f>ROW()</f>
        <v>29</v>
      </c>
      <c r="KV29" s="971" t="s">
        <v>358</v>
      </c>
      <c r="KW29" s="1639"/>
      <c r="KX29" s="697">
        <f t="shared" ref="KX29:LL29" si="89">SUM(KX26:KX28)</f>
        <v>62406260.05666092</v>
      </c>
      <c r="KY29" s="697">
        <f t="shared" si="89"/>
        <v>3702322.6934609008</v>
      </c>
      <c r="KZ29" s="697">
        <f t="shared" si="89"/>
        <v>66108582.750121817</v>
      </c>
      <c r="LA29" s="697">
        <f t="shared" si="89"/>
        <v>0</v>
      </c>
      <c r="LB29" s="697">
        <f t="shared" si="89"/>
        <v>66108582.750121817</v>
      </c>
      <c r="LC29" s="697">
        <f t="shared" si="89"/>
        <v>0</v>
      </c>
      <c r="LD29" s="697">
        <f t="shared" si="89"/>
        <v>66108582.750121817</v>
      </c>
      <c r="LE29" s="697">
        <f t="shared" si="89"/>
        <v>0</v>
      </c>
      <c r="LF29" s="697">
        <f t="shared" si="89"/>
        <v>66108582.750121817</v>
      </c>
      <c r="LG29" s="697">
        <f t="shared" si="89"/>
        <v>0</v>
      </c>
      <c r="LH29" s="697">
        <f t="shared" si="89"/>
        <v>66108582.750121817</v>
      </c>
      <c r="LI29" s="697">
        <f t="shared" si="89"/>
        <v>0</v>
      </c>
      <c r="LJ29" s="697">
        <f t="shared" si="89"/>
        <v>0</v>
      </c>
      <c r="LK29" s="697">
        <f t="shared" si="89"/>
        <v>0</v>
      </c>
      <c r="LL29" s="697">
        <f t="shared" si="89"/>
        <v>0</v>
      </c>
      <c r="LM29" s="22"/>
      <c r="LP29" s="317"/>
      <c r="LR29" s="317"/>
      <c r="LS29" s="317"/>
      <c r="LT29" s="317"/>
      <c r="LU29" s="317"/>
      <c r="LV29" s="317"/>
      <c r="LW29" s="317"/>
      <c r="LX29" s="317"/>
      <c r="LY29" s="317"/>
      <c r="LZ29" s="317"/>
      <c r="MA29" s="317"/>
      <c r="MB29" s="317"/>
      <c r="MC29" s="317"/>
      <c r="MD29" s="317"/>
      <c r="ME29" s="22">
        <f>ROW()</f>
        <v>29</v>
      </c>
      <c r="MF29" s="555" t="s">
        <v>259</v>
      </c>
      <c r="MG29" s="56">
        <v>0.21</v>
      </c>
      <c r="MH29" s="50">
        <f t="shared" ref="MH29:MR29" si="90">-MH27*$MG$29</f>
        <v>-40779323.936791621</v>
      </c>
      <c r="MI29" s="50">
        <f t="shared" si="90"/>
        <v>-1814067.8939472267</v>
      </c>
      <c r="MJ29" s="50">
        <f t="shared" si="90"/>
        <v>-42593391.830738842</v>
      </c>
      <c r="MK29" s="50">
        <f t="shared" si="90"/>
        <v>0</v>
      </c>
      <c r="ML29" s="50">
        <f t="shared" si="90"/>
        <v>-42593391.830738842</v>
      </c>
      <c r="MM29" s="50">
        <f t="shared" si="90"/>
        <v>0</v>
      </c>
      <c r="MN29" s="50">
        <f t="shared" si="90"/>
        <v>-42593391.830738842</v>
      </c>
      <c r="MO29" s="50">
        <f t="shared" si="90"/>
        <v>0</v>
      </c>
      <c r="MP29" s="50">
        <f t="shared" si="90"/>
        <v>-42593391.830738842</v>
      </c>
      <c r="MQ29" s="50">
        <f t="shared" si="90"/>
        <v>0</v>
      </c>
      <c r="MR29" s="50">
        <f t="shared" si="90"/>
        <v>-42593391.830738842</v>
      </c>
      <c r="MS29" s="50"/>
      <c r="MT29" s="50"/>
      <c r="MU29" s="50"/>
      <c r="MV29" s="50"/>
      <c r="MW29" s="22"/>
      <c r="MX29" s="515"/>
      <c r="MY29" s="491"/>
      <c r="MZ29" s="100"/>
      <c r="NA29" s="100"/>
      <c r="NB29" s="100"/>
      <c r="NC29" s="789" t="s">
        <v>182</v>
      </c>
      <c r="ND29" s="790" t="s">
        <v>69</v>
      </c>
      <c r="NE29" s="140" t="s">
        <v>183</v>
      </c>
      <c r="NF29" s="141" t="s">
        <v>72</v>
      </c>
      <c r="NG29" s="141" t="s">
        <v>183</v>
      </c>
      <c r="NH29" s="141" t="s">
        <v>73</v>
      </c>
      <c r="NI29" s="141" t="s">
        <v>183</v>
      </c>
      <c r="NJ29" s="1649" t="s">
        <v>73</v>
      </c>
      <c r="NO29" s="22">
        <f>ROW()</f>
        <v>29</v>
      </c>
      <c r="NP29" s="810" t="s">
        <v>380</v>
      </c>
      <c r="NQ29" s="798"/>
      <c r="NR29" s="64">
        <f t="shared" ref="NR29:OB29" si="91">-NR26</f>
        <v>0</v>
      </c>
      <c r="NS29" s="64">
        <f t="shared" si="91"/>
        <v>0</v>
      </c>
      <c r="NT29" s="64">
        <f t="shared" si="91"/>
        <v>0</v>
      </c>
      <c r="NU29" s="64">
        <f t="shared" si="91"/>
        <v>0</v>
      </c>
      <c r="NV29" s="64">
        <f t="shared" si="91"/>
        <v>0</v>
      </c>
      <c r="NW29" s="64">
        <f t="shared" si="91"/>
        <v>0</v>
      </c>
      <c r="NX29" s="794">
        <f t="shared" si="91"/>
        <v>-198594995.23869264</v>
      </c>
      <c r="NY29" s="64">
        <f t="shared" si="91"/>
        <v>-9876635.6887413189</v>
      </c>
      <c r="NZ29" s="794">
        <f t="shared" si="91"/>
        <v>-208471630.92743394</v>
      </c>
      <c r="OA29" s="64">
        <f t="shared" si="91"/>
        <v>-8243138.6731712464</v>
      </c>
      <c r="OB29" s="794">
        <f t="shared" si="91"/>
        <v>-216714769.60060516</v>
      </c>
      <c r="OC29" s="64"/>
      <c r="OD29" s="64"/>
      <c r="OE29" s="64"/>
      <c r="OF29" s="64"/>
      <c r="OG29" s="482">
        <f>ROW()</f>
        <v>29</v>
      </c>
      <c r="OH29" s="50" t="s">
        <v>306</v>
      </c>
      <c r="OI29" s="50"/>
      <c r="OJ29" s="667"/>
      <c r="OK29" s="667"/>
      <c r="OL29" s="667"/>
      <c r="OM29" s="667"/>
      <c r="ON29" s="667"/>
      <c r="OO29" s="667"/>
      <c r="OP29" s="667"/>
      <c r="OQ29" s="667"/>
      <c r="OR29" s="667"/>
      <c r="OS29" s="667"/>
      <c r="OT29" s="667"/>
      <c r="OU29" s="748"/>
      <c r="OV29" s="748"/>
      <c r="OW29" s="748"/>
      <c r="OX29" s="748"/>
      <c r="OY29" s="22">
        <f>ROW()</f>
        <v>29</v>
      </c>
      <c r="OZ29" s="480" t="s">
        <v>367</v>
      </c>
      <c r="PA29" s="644"/>
      <c r="PB29"/>
      <c r="PC29" s="19"/>
      <c r="PD29" s="19"/>
      <c r="PE29" s="1451"/>
      <c r="PF29" s="1451"/>
      <c r="PG29" s="1451"/>
      <c r="PH29" s="1451"/>
      <c r="PI29" s="1451"/>
      <c r="PJ29" s="1438"/>
      <c r="PK29" s="1451"/>
      <c r="PL29" s="1438"/>
      <c r="PM29" s="1444"/>
      <c r="PN29" s="1444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J29" s="424"/>
      <c r="QK29" s="424"/>
      <c r="QL29" s="424"/>
      <c r="RB29" s="394">
        <f>ROW()</f>
        <v>29</v>
      </c>
      <c r="RC29" s="616" t="s">
        <v>259</v>
      </c>
      <c r="RD29" s="1615">
        <v>0.21</v>
      </c>
      <c r="RE29" s="1648"/>
      <c r="RF29" s="1648"/>
      <c r="RG29" s="693">
        <f t="shared" ref="RG29:RO29" si="92">RG27*-$RD$29</f>
        <v>-40695941.797238849</v>
      </c>
      <c r="RH29" s="693">
        <f t="shared" si="92"/>
        <v>-79327.095683831198</v>
      </c>
      <c r="RI29" s="693">
        <f t="shared" si="92"/>
        <v>-40775268.892922677</v>
      </c>
      <c r="RJ29" s="693">
        <f t="shared" si="92"/>
        <v>413361.70778505428</v>
      </c>
      <c r="RK29" s="693">
        <f t="shared" si="92"/>
        <v>-40361907.185137622</v>
      </c>
      <c r="RL29" s="693">
        <f t="shared" si="92"/>
        <v>-14153624.683381069</v>
      </c>
      <c r="RM29" s="693">
        <f t="shared" si="92"/>
        <v>-54515531.868518688</v>
      </c>
      <c r="RN29" s="693">
        <f t="shared" si="92"/>
        <v>1894058.5623739439</v>
      </c>
      <c r="RO29" s="693">
        <f t="shared" si="92"/>
        <v>-52621473.306144744</v>
      </c>
      <c r="RP29" s="693"/>
      <c r="RQ29" s="693"/>
      <c r="RR29" s="693"/>
      <c r="RS29" s="693"/>
      <c r="RT29" s="521">
        <f>ROW()</f>
        <v>29</v>
      </c>
      <c r="RU29" s="1480"/>
      <c r="RV29" s="520"/>
      <c r="RW29" s="803"/>
      <c r="RX29" s="803"/>
      <c r="RY29" s="803"/>
      <c r="RZ29" s="803"/>
      <c r="SA29" s="803"/>
      <c r="SB29" s="803"/>
      <c r="SC29" s="803"/>
      <c r="SD29" s="803"/>
      <c r="SE29" s="803"/>
      <c r="SF29" s="803"/>
      <c r="SG29" s="803"/>
      <c r="SH29" s="803"/>
      <c r="SI29" s="803"/>
      <c r="SJ29" s="803"/>
      <c r="SK29" s="803"/>
      <c r="SL29" s="82">
        <f>ROW()</f>
        <v>29</v>
      </c>
      <c r="SM29" s="616" t="s">
        <v>369</v>
      </c>
      <c r="SN29" s="1484"/>
      <c r="SO29" s="1471"/>
      <c r="SP29" s="1471"/>
      <c r="SQ29" s="1471"/>
      <c r="SR29" s="1471">
        <v>-611271.05680999998</v>
      </c>
      <c r="SS29" s="1471">
        <f>SR29</f>
        <v>-611271.05680999998</v>
      </c>
      <c r="ST29" s="1471">
        <v>-7603494.9489650009</v>
      </c>
      <c r="SU29" s="1471">
        <f>ST29+SS29</f>
        <v>-8214766.0057750009</v>
      </c>
      <c r="SV29" s="1471">
        <v>-8504153.2246999964</v>
      </c>
      <c r="SW29" s="1471">
        <f>SV29+SU29</f>
        <v>-16718919.230474997</v>
      </c>
      <c r="SX29" s="1471">
        <v>-23582994.780954998</v>
      </c>
      <c r="SY29" s="1471">
        <f>SX29+SW29</f>
        <v>-40301914.011429995</v>
      </c>
      <c r="SZ29" s="1471"/>
      <c r="TA29" s="1471"/>
      <c r="TB29" s="1470"/>
      <c r="TC29" s="1470"/>
      <c r="TD29" s="424"/>
      <c r="TE29" s="82">
        <f>ROW()</f>
        <v>29</v>
      </c>
      <c r="TK29"/>
      <c r="TL29"/>
      <c r="TM29"/>
      <c r="TN29"/>
      <c r="TO29"/>
      <c r="TP29"/>
      <c r="TQ29"/>
      <c r="TR29"/>
      <c r="TS29"/>
      <c r="TT29"/>
      <c r="TU29"/>
      <c r="TV29"/>
      <c r="TW29" s="424"/>
      <c r="TX29" s="82">
        <f>ROW()</f>
        <v>29</v>
      </c>
      <c r="TY29" s="20" t="s">
        <v>928</v>
      </c>
      <c r="UA29" s="78">
        <v>-1797873.5130000003</v>
      </c>
      <c r="UB29" s="78">
        <f>-UA29</f>
        <v>1797873.5130000003</v>
      </c>
      <c r="UC29" s="78"/>
      <c r="UD29" s="78"/>
      <c r="UE29" s="78"/>
      <c r="UF29" s="78"/>
      <c r="UG29" s="78"/>
      <c r="UH29" s="78"/>
      <c r="UI29" s="78"/>
      <c r="UJ29" s="78"/>
      <c r="UK29" s="78"/>
      <c r="UL29" s="78"/>
      <c r="UM29" s="78"/>
      <c r="UN29" s="78"/>
      <c r="UO29" s="78"/>
      <c r="VJ29" s="521">
        <f>ROW()</f>
        <v>29</v>
      </c>
      <c r="VK29" s="655"/>
      <c r="VM29" s="656"/>
      <c r="VN29" s="656"/>
      <c r="VO29" s="656"/>
      <c r="VP29" s="656"/>
      <c r="VQ29" s="656"/>
      <c r="VR29" s="656"/>
      <c r="VS29" s="656"/>
      <c r="VT29" s="656"/>
      <c r="VU29" s="656"/>
      <c r="VV29" s="656"/>
      <c r="VW29" s="656"/>
    </row>
    <row r="30" spans="1:625" ht="16.5" thickTop="1" thickBot="1" x14ac:dyDescent="0.3">
      <c r="A30" s="22">
        <f>ROW()</f>
        <v>30</v>
      </c>
      <c r="B30" t="s">
        <v>927</v>
      </c>
      <c r="C30" s="1550" t="s">
        <v>876</v>
      </c>
      <c r="D30" s="1392"/>
      <c r="E30" s="1392"/>
      <c r="F30" s="880"/>
      <c r="G30" s="641">
        <v>1560436.0505579826</v>
      </c>
      <c r="H30" s="880"/>
      <c r="I30" s="641"/>
      <c r="J30" s="1052"/>
      <c r="K30" s="641"/>
      <c r="L30" s="641"/>
      <c r="M30" s="641"/>
      <c r="N30" s="1394"/>
      <c r="O30" s="619"/>
      <c r="P30" s="1394"/>
      <c r="Q30" s="619"/>
      <c r="R30" s="1394"/>
      <c r="S30" s="22">
        <f>ROW()</f>
        <v>30</v>
      </c>
      <c r="T30" s="603" t="s">
        <v>901</v>
      </c>
      <c r="U30" s="1627"/>
      <c r="V30" s="668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22">
        <f>ROW()</f>
        <v>30</v>
      </c>
      <c r="AL30" s="28" t="s">
        <v>240</v>
      </c>
      <c r="AN30" s="804">
        <f>AN27-AN29</f>
        <v>30392347.541249625</v>
      </c>
      <c r="AO30" s="804">
        <f>AO27-AO29</f>
        <v>-361881.12555845373</v>
      </c>
      <c r="AP30" s="804">
        <f>AP27-AP29</f>
        <v>30030466.415691167</v>
      </c>
      <c r="AQ30" s="804">
        <f>AQ27-AQ29</f>
        <v>-17672181.335449174</v>
      </c>
      <c r="AR30" s="804">
        <f>AR27-AR29</f>
        <v>61102933.234632976</v>
      </c>
      <c r="AS30" s="708"/>
      <c r="AT30" s="708"/>
      <c r="AU30" s="708"/>
      <c r="AV30" s="708"/>
      <c r="AW30" s="708"/>
      <c r="AX30" s="708"/>
      <c r="AY30" s="708"/>
      <c r="AZ30" s="708"/>
      <c r="BA30" s="708"/>
      <c r="BB30" s="708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V30"/>
      <c r="BW30"/>
      <c r="BX30"/>
      <c r="BY30"/>
      <c r="BZ30"/>
      <c r="CA30"/>
      <c r="CB30"/>
      <c r="DE30" s="1"/>
      <c r="DF30" s="1"/>
      <c r="DG30" s="1"/>
      <c r="DH30" s="1"/>
      <c r="DI30" s="1"/>
      <c r="DJ30" s="1"/>
      <c r="DK30" s="1"/>
      <c r="DL30" s="1"/>
      <c r="FY30" s="22">
        <f>ROW()</f>
        <v>30</v>
      </c>
      <c r="GB30" s="74"/>
      <c r="GC30" s="74">
        <f>+GD30-GB30</f>
        <v>0</v>
      </c>
      <c r="GD30" s="74">
        <v>0</v>
      </c>
      <c r="GE30" s="74">
        <f>+GF30-GD30</f>
        <v>0</v>
      </c>
      <c r="GF30" s="74">
        <v>0</v>
      </c>
      <c r="GG30" s="74">
        <f>+GH30-GF30</f>
        <v>0</v>
      </c>
      <c r="GH30" s="74">
        <v>0</v>
      </c>
      <c r="GI30" s="74">
        <f>+GJ30-GH30</f>
        <v>0</v>
      </c>
      <c r="GJ30" s="74">
        <v>0</v>
      </c>
      <c r="GK30" s="74">
        <f>+GL30-GJ30</f>
        <v>0</v>
      </c>
      <c r="GL30" s="74">
        <v>0</v>
      </c>
      <c r="GM30" s="74"/>
      <c r="GN30" s="74"/>
      <c r="GO30" s="74"/>
      <c r="GP30" s="74"/>
      <c r="GQ30" s="22">
        <f>ROW()</f>
        <v>30</v>
      </c>
      <c r="GR30" s="4" t="s">
        <v>243</v>
      </c>
      <c r="GS30" s="480"/>
      <c r="GT30" s="538">
        <f>SUM(GT28:GT29)</f>
        <v>3605749.2102098935</v>
      </c>
      <c r="GU30" s="538">
        <f>SUM(GU28:GU29)</f>
        <v>191286.54157686234</v>
      </c>
      <c r="GV30" s="538">
        <f>SUM(GV28:GV29)</f>
        <v>3797035.7517867559</v>
      </c>
      <c r="GW30" s="538">
        <f>SUM(GW28:GW29)</f>
        <v>0</v>
      </c>
      <c r="GX30" s="1084">
        <f t="shared" ref="GX30:HD30" si="93">+GV30</f>
        <v>3797035.7517867559</v>
      </c>
      <c r="GY30" s="1084">
        <f t="shared" si="93"/>
        <v>0</v>
      </c>
      <c r="GZ30" s="1084">
        <f t="shared" si="93"/>
        <v>3797035.7517867559</v>
      </c>
      <c r="HA30" s="1084">
        <f t="shared" si="93"/>
        <v>0</v>
      </c>
      <c r="HB30" s="1084">
        <f t="shared" si="93"/>
        <v>3797035.7517867559</v>
      </c>
      <c r="HC30" s="1084">
        <f t="shared" si="93"/>
        <v>0</v>
      </c>
      <c r="HD30" s="1084">
        <f t="shared" si="93"/>
        <v>3797035.7517867559</v>
      </c>
      <c r="HE30" s="1084"/>
      <c r="HF30" s="1084"/>
      <c r="HG30" s="1084"/>
      <c r="HH30" s="1084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78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78"/>
      <c r="IS30"/>
      <c r="IT30"/>
      <c r="IU30"/>
      <c r="IV30"/>
      <c r="IW30"/>
      <c r="IX30"/>
      <c r="IY30"/>
      <c r="IZ30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U30" s="22">
        <f>ROW()</f>
        <v>30</v>
      </c>
      <c r="KV30" s="971"/>
      <c r="KW30" s="1639"/>
      <c r="LD30" s="807"/>
      <c r="LF30" s="807"/>
      <c r="LH30" s="807"/>
      <c r="LJ30" s="807"/>
      <c r="LL30" s="807"/>
      <c r="LM30" s="22"/>
      <c r="LP30" s="317"/>
      <c r="LR30" s="317"/>
      <c r="LS30" s="317"/>
      <c r="LT30" s="317"/>
      <c r="LU30" s="317"/>
      <c r="LV30" s="317"/>
      <c r="LW30" s="317"/>
      <c r="LX30" s="317"/>
      <c r="LY30" s="317"/>
      <c r="LZ30" s="317"/>
      <c r="MA30" s="317"/>
      <c r="MB30" s="317"/>
      <c r="MC30" s="317"/>
      <c r="MD30" s="317"/>
      <c r="ME30" s="22">
        <f>ROW()</f>
        <v>30</v>
      </c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2"/>
      <c r="MX30" s="508"/>
      <c r="MY30" s="509"/>
      <c r="MZ30" s="100"/>
      <c r="NA30" s="100"/>
      <c r="NB30" s="100"/>
      <c r="NC30" s="808" t="s">
        <v>75</v>
      </c>
      <c r="ND30" s="809" t="s">
        <v>76</v>
      </c>
      <c r="NE30" s="153" t="s">
        <v>75</v>
      </c>
      <c r="NF30" s="154" t="s">
        <v>9</v>
      </c>
      <c r="NG30" s="154" t="s">
        <v>75</v>
      </c>
      <c r="NH30" s="154" t="s">
        <v>9</v>
      </c>
      <c r="NI30" s="154" t="s">
        <v>75</v>
      </c>
      <c r="NJ30" s="1647" t="s">
        <v>10</v>
      </c>
      <c r="NO30" s="22">
        <f>ROW()</f>
        <v>30</v>
      </c>
      <c r="NP30" s="810" t="s">
        <v>283</v>
      </c>
      <c r="NQ30" s="822">
        <v>0.21</v>
      </c>
      <c r="NR30" s="647">
        <f t="shared" ref="NR30:OB30" si="94">NR29*$NQ$30</f>
        <v>0</v>
      </c>
      <c r="NS30" s="647">
        <f t="shared" si="94"/>
        <v>0</v>
      </c>
      <c r="NT30" s="647">
        <f t="shared" si="94"/>
        <v>0</v>
      </c>
      <c r="NU30" s="647">
        <f t="shared" si="94"/>
        <v>0</v>
      </c>
      <c r="NV30" s="647">
        <f t="shared" si="94"/>
        <v>0</v>
      </c>
      <c r="NW30" s="647">
        <f t="shared" si="94"/>
        <v>0</v>
      </c>
      <c r="NX30" s="823">
        <f t="shared" si="94"/>
        <v>-41704949.000125453</v>
      </c>
      <c r="NY30" s="647">
        <f t="shared" si="94"/>
        <v>-2074093.494635677</v>
      </c>
      <c r="NZ30" s="823">
        <f t="shared" si="94"/>
        <v>-43779042.494761124</v>
      </c>
      <c r="OA30" s="647">
        <f t="shared" si="94"/>
        <v>-1731059.1213659616</v>
      </c>
      <c r="OB30" s="823">
        <f t="shared" si="94"/>
        <v>-45510101.616127081</v>
      </c>
      <c r="OC30" s="647"/>
      <c r="OD30" s="647"/>
      <c r="OE30" s="647"/>
      <c r="OF30" s="647"/>
      <c r="OG30" s="482">
        <f>ROW()</f>
        <v>30</v>
      </c>
      <c r="OH30" s="624" t="s">
        <v>108</v>
      </c>
      <c r="OI30" s="624"/>
      <c r="OJ30" s="660">
        <f>OJ28</f>
        <v>-2906116.24</v>
      </c>
      <c r="OK30" s="660">
        <f>OK28</f>
        <v>0</v>
      </c>
      <c r="OL30" s="660">
        <f>OL28</f>
        <v>-2906116.24</v>
      </c>
      <c r="OM30" s="660">
        <f>OM28</f>
        <v>2906116.24</v>
      </c>
      <c r="ON30" s="660">
        <f>ON28</f>
        <v>0</v>
      </c>
      <c r="OO30" s="660"/>
      <c r="OP30" s="660"/>
      <c r="OQ30" s="660"/>
      <c r="OR30" s="660"/>
      <c r="OS30" s="660"/>
      <c r="OT30" s="660"/>
      <c r="OU30" s="600"/>
      <c r="OV30" s="600"/>
      <c r="OW30" s="600"/>
      <c r="OX30" s="600"/>
      <c r="OY30" s="22">
        <f>ROW()</f>
        <v>30</v>
      </c>
      <c r="OZ30" s="644" t="s">
        <v>926</v>
      </c>
      <c r="PA30" s="644"/>
      <c r="PB30" s="63">
        <v>-10778377.35967225</v>
      </c>
      <c r="PC30" s="624">
        <v>6939709.4452638375</v>
      </c>
      <c r="PD30" s="63">
        <f>SUM(PB30:PC30)</f>
        <v>-3838667.9144084128</v>
      </c>
      <c r="PE30" s="63">
        <v>-6939709.4452638375</v>
      </c>
      <c r="PF30" s="1451">
        <f>SUM(PD30:PE30)</f>
        <v>-10778377.35967225</v>
      </c>
      <c r="PG30" s="63">
        <v>0</v>
      </c>
      <c r="PH30" s="1451">
        <f>SUM(PF30:PG30)</f>
        <v>-10778377.35967225</v>
      </c>
      <c r="PI30" s="63">
        <v>0</v>
      </c>
      <c r="PJ30" s="1442">
        <f>SUM(PH30:PI30)</f>
        <v>-10778377.35967225</v>
      </c>
      <c r="PK30" s="63">
        <v>0</v>
      </c>
      <c r="PL30" s="1442">
        <f>SUM(PJ30:PK30)</f>
        <v>-10778377.35967225</v>
      </c>
      <c r="PM30" s="1444"/>
      <c r="PN30" s="1444"/>
      <c r="PO30" s="63"/>
      <c r="PP30" s="63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J30" s="424"/>
      <c r="QK30" s="424"/>
      <c r="QL30" s="424"/>
      <c r="QM30" s="424"/>
      <c r="QN30" s="424"/>
      <c r="QO30" s="424"/>
      <c r="QP30" s="424"/>
      <c r="QQ30" s="424"/>
      <c r="QR30" s="424"/>
      <c r="QS30" s="424"/>
      <c r="QT30" s="424"/>
      <c r="QU30" s="424"/>
      <c r="QV30" s="424"/>
      <c r="QW30" s="424"/>
      <c r="QX30" s="424"/>
      <c r="QY30" s="424"/>
      <c r="QZ30" s="424"/>
      <c r="RA30" s="424"/>
      <c r="RB30" s="394">
        <f>ROW()</f>
        <v>30</v>
      </c>
      <c r="RC30" s="616"/>
      <c r="RD30" s="616"/>
      <c r="RE30" s="1480"/>
      <c r="RF30" s="1480"/>
      <c r="RG30" s="1480"/>
      <c r="RH30" s="1480"/>
      <c r="RI30" s="1480"/>
      <c r="RJ30" s="1480"/>
      <c r="RK30" s="1480"/>
      <c r="RL30" s="1480"/>
      <c r="RM30" s="1480"/>
      <c r="RN30" s="1480"/>
      <c r="RO30" s="1480"/>
      <c r="RP30" s="1480"/>
      <c r="RQ30" s="1480"/>
      <c r="RR30" s="1480"/>
      <c r="RS30" s="1480"/>
      <c r="RT30" s="521">
        <f>ROW()</f>
        <v>30</v>
      </c>
      <c r="RU30" s="616" t="s">
        <v>240</v>
      </c>
      <c r="RV30" s="520"/>
      <c r="RW30" s="773"/>
      <c r="RX30" s="773"/>
      <c r="RY30" s="773">
        <f t="shared" ref="RY30:SG30" si="95">-RY26-RY28</f>
        <v>0</v>
      </c>
      <c r="RZ30" s="773">
        <f t="shared" si="95"/>
        <v>33679.343200000003</v>
      </c>
      <c r="SA30" s="773">
        <f t="shared" si="95"/>
        <v>33679.343200000003</v>
      </c>
      <c r="SB30" s="773">
        <f t="shared" si="95"/>
        <v>201172.12539999996</v>
      </c>
      <c r="SC30" s="773">
        <f t="shared" si="95"/>
        <v>234851.46859999996</v>
      </c>
      <c r="SD30" s="773">
        <f t="shared" si="95"/>
        <v>497104.17410000088</v>
      </c>
      <c r="SE30" s="773">
        <f t="shared" si="95"/>
        <v>731955.6427000009</v>
      </c>
      <c r="SF30" s="773">
        <f t="shared" si="95"/>
        <v>497104.17410000088</v>
      </c>
      <c r="SG30" s="773">
        <f t="shared" si="95"/>
        <v>1229059.8168000018</v>
      </c>
      <c r="SH30" s="773"/>
      <c r="SI30" s="773"/>
      <c r="SJ30" s="773"/>
      <c r="SK30" s="773"/>
      <c r="SL30" s="82">
        <f>ROW()</f>
        <v>30</v>
      </c>
      <c r="SM30" s="616" t="s">
        <v>375</v>
      </c>
      <c r="SN30" s="1484"/>
      <c r="SO30" s="1469"/>
      <c r="SP30" s="1469"/>
      <c r="SQ30" s="1469"/>
      <c r="SR30" s="1469">
        <v>-499595.74821500003</v>
      </c>
      <c r="SS30" s="1469">
        <f>SR30</f>
        <v>-499595.74821500003</v>
      </c>
      <c r="ST30" s="1469">
        <v>-1403655.6096900003</v>
      </c>
      <c r="SU30" s="1469">
        <f>ST30+SS30</f>
        <v>-1903251.3579050004</v>
      </c>
      <c r="SV30" s="1469">
        <v>-1104684.0901149998</v>
      </c>
      <c r="SW30" s="1469">
        <f>SV30+SU30</f>
        <v>-3007935.44802</v>
      </c>
      <c r="SX30" s="1469">
        <v>-2527668.855455</v>
      </c>
      <c r="SY30" s="1469">
        <f>SX30+SW30</f>
        <v>-5535604.303475</v>
      </c>
      <c r="SZ30" s="1469"/>
      <c r="TA30" s="1469"/>
      <c r="TB30" s="1468"/>
      <c r="TC30" s="1468"/>
      <c r="TD30" s="424"/>
      <c r="TE30" s="82">
        <f>ROW()</f>
        <v>30</v>
      </c>
      <c r="TK30"/>
      <c r="TL30"/>
      <c r="TM30"/>
      <c r="TN30"/>
      <c r="TO30"/>
      <c r="TP30"/>
      <c r="TQ30"/>
      <c r="TR30"/>
      <c r="TS30"/>
      <c r="TT30"/>
      <c r="TU30"/>
      <c r="TV30"/>
      <c r="TW30" s="424"/>
      <c r="TX30" s="82">
        <f>ROW()</f>
        <v>30</v>
      </c>
      <c r="TY30" s="20"/>
      <c r="UA30" s="78"/>
      <c r="UB30" s="78"/>
      <c r="UC30" s="78"/>
      <c r="UD30" s="78"/>
      <c r="UE30" s="78"/>
      <c r="UF30" s="78"/>
      <c r="UG30" s="78"/>
      <c r="UH30" s="78"/>
      <c r="UI30" s="78"/>
      <c r="UJ30" s="78"/>
      <c r="UK30" s="78"/>
      <c r="UL30" s="78"/>
      <c r="UM30" s="78"/>
      <c r="UN30" s="78"/>
      <c r="UO30" s="78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J30" s="521">
        <f>ROW()</f>
        <v>30</v>
      </c>
      <c r="VK30" s="655"/>
      <c r="VM30" s="74"/>
      <c r="VN30" s="74"/>
      <c r="VO30" s="74"/>
      <c r="VP30" s="74"/>
      <c r="VQ30" s="74"/>
      <c r="VR30" s="74"/>
      <c r="VS30" s="74"/>
      <c r="VT30" s="74"/>
      <c r="VU30" s="74"/>
      <c r="VV30" s="74"/>
      <c r="VW30" s="74"/>
    </row>
    <row r="31" spans="1:625" ht="16.5" thickTop="1" thickBot="1" x14ac:dyDescent="0.3">
      <c r="A31" s="22">
        <f>ROW()</f>
        <v>31</v>
      </c>
      <c r="B31" t="s">
        <v>925</v>
      </c>
      <c r="C31" s="1550" t="s">
        <v>876</v>
      </c>
      <c r="D31" s="1392"/>
      <c r="E31" s="1392"/>
      <c r="F31" s="880"/>
      <c r="G31" s="641">
        <v>-44651001.892138109</v>
      </c>
      <c r="H31" s="880"/>
      <c r="I31" s="641"/>
      <c r="J31" s="1052"/>
      <c r="K31" s="641"/>
      <c r="L31" s="641"/>
      <c r="M31" s="641"/>
      <c r="N31" s="1394"/>
      <c r="O31" s="619"/>
      <c r="P31" s="1394"/>
      <c r="Q31" s="619"/>
      <c r="R31" s="1394"/>
      <c r="S31" s="22">
        <f>ROW()</f>
        <v>31</v>
      </c>
      <c r="T31" s="603" t="s">
        <v>924</v>
      </c>
      <c r="U31" s="1627"/>
      <c r="V31" s="668">
        <f>-W31</f>
        <v>0</v>
      </c>
      <c r="W31" s="74">
        <v>0</v>
      </c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22">
        <f>ROW()</f>
        <v>31</v>
      </c>
      <c r="AY31" s="50"/>
      <c r="AZ31" s="50"/>
      <c r="BA31" s="50"/>
      <c r="BB31" s="50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V31"/>
      <c r="BW31"/>
      <c r="BX31"/>
      <c r="BY31"/>
      <c r="BZ31"/>
      <c r="CA31"/>
      <c r="CB31"/>
      <c r="DE31" s="1"/>
      <c r="DF31" s="1"/>
      <c r="DG31" s="1"/>
      <c r="DH31" s="1"/>
      <c r="DI31" s="1"/>
      <c r="DJ31" s="1"/>
      <c r="DK31" s="1"/>
      <c r="DL31" s="1"/>
      <c r="FY31" s="22">
        <f>ROW()</f>
        <v>31</v>
      </c>
      <c r="FZ31" s="722" t="s">
        <v>283</v>
      </c>
      <c r="GA31" s="610">
        <v>0.21</v>
      </c>
      <c r="GB31" s="1646">
        <f t="shared" ref="GB31:GL31" si="96">-$GA$31*GB29</f>
        <v>-920244.87975856184</v>
      </c>
      <c r="GC31" s="1646">
        <f t="shared" si="96"/>
        <v>293791.68409413501</v>
      </c>
      <c r="GD31" s="1646">
        <f t="shared" si="96"/>
        <v>-626453.19566442689</v>
      </c>
      <c r="GE31" s="1646">
        <f t="shared" si="96"/>
        <v>-49183.341404883569</v>
      </c>
      <c r="GF31" s="1646">
        <f t="shared" si="96"/>
        <v>-675636.53706931043</v>
      </c>
      <c r="GG31" s="1646">
        <f t="shared" si="96"/>
        <v>-21567.465738920851</v>
      </c>
      <c r="GH31" s="1646">
        <f t="shared" si="96"/>
        <v>-697204.00280823139</v>
      </c>
      <c r="GI31" s="1646">
        <f t="shared" si="96"/>
        <v>-5116.1977233749985</v>
      </c>
      <c r="GJ31" s="1646">
        <f t="shared" si="96"/>
        <v>-702320.20053160633</v>
      </c>
      <c r="GK31" s="1646">
        <f t="shared" si="96"/>
        <v>-404.78128458990801</v>
      </c>
      <c r="GL31" s="1646">
        <f t="shared" si="96"/>
        <v>-702724.98181619635</v>
      </c>
      <c r="GM31" s="1646"/>
      <c r="GN31" s="1646"/>
      <c r="GO31" s="1646"/>
      <c r="GP31" s="1646"/>
      <c r="GQ31" s="22">
        <f>ROW()</f>
        <v>31</v>
      </c>
      <c r="GR31" s="4"/>
      <c r="GS31" s="480"/>
      <c r="GT31" s="26"/>
      <c r="GU31" s="26"/>
      <c r="GV31" s="26"/>
      <c r="GW31" s="26"/>
      <c r="GX31" s="20"/>
      <c r="GY31" s="543"/>
      <c r="GZ31" s="543"/>
      <c r="HA31" s="543"/>
      <c r="HB31" s="543"/>
      <c r="HC31" s="543"/>
      <c r="HD31" s="543"/>
      <c r="HE31" s="543"/>
      <c r="HF31" s="543"/>
      <c r="HG31" s="543"/>
      <c r="HH31" s="543"/>
      <c r="HI31" s="543"/>
      <c r="HJ31" s="543"/>
      <c r="HK31" s="543"/>
      <c r="HL31" s="543"/>
      <c r="HM31" s="543"/>
      <c r="HN31" s="543"/>
      <c r="HO31" s="543"/>
      <c r="HP31" s="543"/>
      <c r="HQ31" s="543"/>
      <c r="HR31" s="543"/>
      <c r="HS31" s="543"/>
      <c r="HT31" s="543"/>
      <c r="HU31" s="543"/>
      <c r="HV31" s="543"/>
      <c r="HW31" s="543"/>
      <c r="HX31" s="543"/>
      <c r="HY31" s="543"/>
      <c r="HZ31" s="543"/>
      <c r="IA31" s="543"/>
      <c r="IB31" s="543"/>
      <c r="IC31" s="543"/>
      <c r="ID31" s="543"/>
      <c r="IE31" s="543"/>
      <c r="IF31" s="543"/>
      <c r="IG31" s="543"/>
      <c r="IH31" s="543"/>
      <c r="II31" s="543"/>
      <c r="IJ31" s="543"/>
      <c r="IK31" s="543"/>
      <c r="IL31" s="543"/>
      <c r="IM31" s="543"/>
      <c r="IN31" s="543"/>
      <c r="IO31" s="543"/>
      <c r="IP31" s="543"/>
      <c r="IQ31" s="543"/>
      <c r="IR31" s="543"/>
      <c r="IS31"/>
      <c r="IT31"/>
      <c r="IU31"/>
      <c r="IV31"/>
      <c r="IW31"/>
      <c r="IX31"/>
      <c r="IY31"/>
      <c r="IZ31"/>
      <c r="JA31" s="543"/>
      <c r="JB31" s="543"/>
      <c r="JC31" s="543"/>
      <c r="JD31" s="543"/>
      <c r="JE31" s="543"/>
      <c r="JF31" s="543"/>
      <c r="JG31" s="543"/>
      <c r="JH31" s="543"/>
      <c r="JI31" s="543"/>
      <c r="JJ31" s="543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U31" s="22">
        <f>ROW()</f>
        <v>31</v>
      </c>
      <c r="KV31" s="1645" t="s">
        <v>374</v>
      </c>
      <c r="KW31" s="1639"/>
      <c r="KX31" s="807">
        <f t="shared" ref="KX31:LL31" si="97">+KX29</f>
        <v>62406260.05666092</v>
      </c>
      <c r="KY31" s="807">
        <f t="shared" si="97"/>
        <v>3702322.6934609008</v>
      </c>
      <c r="KZ31" s="807">
        <f t="shared" si="97"/>
        <v>66108582.750121817</v>
      </c>
      <c r="LA31" s="807">
        <f t="shared" si="97"/>
        <v>0</v>
      </c>
      <c r="LB31" s="807">
        <f t="shared" si="97"/>
        <v>66108582.750121817</v>
      </c>
      <c r="LC31" s="807">
        <f t="shared" si="97"/>
        <v>0</v>
      </c>
      <c r="LD31" s="807">
        <f t="shared" si="97"/>
        <v>66108582.750121817</v>
      </c>
      <c r="LE31" s="807">
        <f t="shared" si="97"/>
        <v>0</v>
      </c>
      <c r="LF31" s="807">
        <f t="shared" si="97"/>
        <v>66108582.750121817</v>
      </c>
      <c r="LG31" s="807">
        <f t="shared" si="97"/>
        <v>0</v>
      </c>
      <c r="LH31" s="807">
        <f t="shared" si="97"/>
        <v>66108582.750121817</v>
      </c>
      <c r="LI31" s="807">
        <f t="shared" si="97"/>
        <v>0</v>
      </c>
      <c r="LJ31" s="807">
        <f t="shared" si="97"/>
        <v>0</v>
      </c>
      <c r="LK31" s="807">
        <f t="shared" si="97"/>
        <v>0</v>
      </c>
      <c r="LL31" s="807">
        <f t="shared" si="97"/>
        <v>0</v>
      </c>
      <c r="LM31" s="22"/>
      <c r="LP31" s="317"/>
      <c r="LQ31" s="317"/>
      <c r="LR31" s="317"/>
      <c r="LS31" s="317"/>
      <c r="LT31" s="317"/>
      <c r="LU31" s="317"/>
      <c r="LV31" s="317"/>
      <c r="LW31" s="317"/>
      <c r="LX31" s="317"/>
      <c r="LY31" s="317"/>
      <c r="LZ31" s="317"/>
      <c r="MA31" s="317"/>
      <c r="MB31" s="317"/>
      <c r="MC31" s="317"/>
      <c r="MD31" s="317"/>
      <c r="ME31" s="22">
        <f>ROW()</f>
        <v>31</v>
      </c>
      <c r="MF31" s="555" t="s">
        <v>240</v>
      </c>
      <c r="MH31" s="725">
        <f t="shared" ref="MH31:MR31" si="98">-MH27-MH29</f>
        <v>-153407932.90507326</v>
      </c>
      <c r="MI31" s="725">
        <f t="shared" si="98"/>
        <v>-6824350.6486586146</v>
      </c>
      <c r="MJ31" s="725">
        <f t="shared" si="98"/>
        <v>-160232283.55373186</v>
      </c>
      <c r="MK31" s="725">
        <f t="shared" si="98"/>
        <v>0</v>
      </c>
      <c r="ML31" s="725">
        <f t="shared" si="98"/>
        <v>-160232283.55373186</v>
      </c>
      <c r="MM31" s="725">
        <f t="shared" si="98"/>
        <v>0</v>
      </c>
      <c r="MN31" s="725">
        <f t="shared" si="98"/>
        <v>-160232283.55373186</v>
      </c>
      <c r="MO31" s="725">
        <f t="shared" si="98"/>
        <v>0</v>
      </c>
      <c r="MP31" s="725">
        <f t="shared" si="98"/>
        <v>-160232283.55373186</v>
      </c>
      <c r="MQ31" s="725">
        <f t="shared" si="98"/>
        <v>0</v>
      </c>
      <c r="MR31" s="725">
        <f t="shared" si="98"/>
        <v>-160232283.55373186</v>
      </c>
      <c r="MS31" s="725"/>
      <c r="MT31" s="725"/>
      <c r="MU31" s="725"/>
      <c r="MV31" s="725"/>
      <c r="MW31" s="22"/>
      <c r="MX31" s="20"/>
      <c r="MY31" s="20"/>
      <c r="MZ31" s="20"/>
      <c r="NA31" s="20"/>
      <c r="NB31" s="20"/>
      <c r="NC31" s="77"/>
      <c r="ND31" s="77"/>
      <c r="NE31" s="77"/>
      <c r="NF31" s="77"/>
      <c r="NG31" s="77"/>
      <c r="NH31" s="77"/>
      <c r="NI31" s="77"/>
      <c r="NJ31" s="77"/>
      <c r="NO31" s="22">
        <f>ROW()</f>
        <v>31</v>
      </c>
      <c r="NP31" s="810" t="s">
        <v>240</v>
      </c>
      <c r="NQ31" s="23"/>
      <c r="NR31" s="824">
        <f t="shared" ref="NR31:OF31" si="99">NR29-NR30</f>
        <v>0</v>
      </c>
      <c r="NS31" s="824">
        <f t="shared" si="99"/>
        <v>0</v>
      </c>
      <c r="NT31" s="824">
        <f t="shared" si="99"/>
        <v>0</v>
      </c>
      <c r="NU31" s="824">
        <f t="shared" si="99"/>
        <v>0</v>
      </c>
      <c r="NV31" s="824">
        <f t="shared" si="99"/>
        <v>0</v>
      </c>
      <c r="NW31" s="824">
        <f t="shared" si="99"/>
        <v>0</v>
      </c>
      <c r="NX31" s="704">
        <f t="shared" si="99"/>
        <v>-156890046.23856717</v>
      </c>
      <c r="NY31" s="1644">
        <f t="shared" si="99"/>
        <v>-7802542.1941056419</v>
      </c>
      <c r="NZ31" s="704">
        <f t="shared" si="99"/>
        <v>-164692588.4326728</v>
      </c>
      <c r="OA31" s="1644">
        <f t="shared" si="99"/>
        <v>-6512079.5518052848</v>
      </c>
      <c r="OB31" s="704">
        <f t="shared" si="99"/>
        <v>-171204667.98447809</v>
      </c>
      <c r="OC31" s="1644">
        <f t="shared" si="99"/>
        <v>0</v>
      </c>
      <c r="OD31" s="824">
        <f t="shared" si="99"/>
        <v>0</v>
      </c>
      <c r="OE31" s="1644">
        <f t="shared" si="99"/>
        <v>0</v>
      </c>
      <c r="OF31" s="824">
        <f t="shared" si="99"/>
        <v>0</v>
      </c>
      <c r="OG31" s="482">
        <f>ROW()</f>
        <v>31</v>
      </c>
      <c r="OH31" s="1" t="s">
        <v>306</v>
      </c>
      <c r="OJ31" s="818"/>
      <c r="OK31" s="818"/>
      <c r="OL31" s="818"/>
      <c r="OM31" s="818"/>
      <c r="ON31" s="818"/>
      <c r="OO31" s="818"/>
      <c r="OP31" s="818"/>
      <c r="OQ31" s="818"/>
      <c r="OR31" s="818"/>
      <c r="OS31" s="818"/>
      <c r="OT31" s="818"/>
      <c r="OU31" s="772"/>
      <c r="OV31" s="772"/>
      <c r="OW31" s="772"/>
      <c r="OX31" s="772"/>
      <c r="OY31" s="22">
        <f>ROW()</f>
        <v>31</v>
      </c>
      <c r="OZ31" s="644" t="s">
        <v>923</v>
      </c>
      <c r="PA31" s="644"/>
      <c r="PB31" s="63">
        <v>-1875456.2128876231</v>
      </c>
      <c r="PC31" s="63">
        <v>1207521.3884653552</v>
      </c>
      <c r="PD31" s="63">
        <f>SUM(PB31:PC31)</f>
        <v>-667934.82442226796</v>
      </c>
      <c r="PE31" s="63">
        <v>-1207521.3884653552</v>
      </c>
      <c r="PF31" s="1451">
        <f>SUM(PD31:PE31)</f>
        <v>-1875456.2128876231</v>
      </c>
      <c r="PG31" s="63">
        <v>0</v>
      </c>
      <c r="PH31" s="1451">
        <f>SUM(PF31:PG31)</f>
        <v>-1875456.2128876231</v>
      </c>
      <c r="PI31" s="63">
        <v>0</v>
      </c>
      <c r="PJ31" s="1442">
        <f>SUM(PH31:PI31)</f>
        <v>-1875456.2128876231</v>
      </c>
      <c r="PK31" s="63">
        <v>0</v>
      </c>
      <c r="PL31" s="1442">
        <f>SUM(PJ31:PK31)</f>
        <v>-1875456.2128876231</v>
      </c>
      <c r="PM31" s="1444"/>
      <c r="PN31" s="1444"/>
      <c r="PO31" s="63"/>
      <c r="PP31" s="63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J31" s="424"/>
      <c r="QK31" s="424"/>
      <c r="QL31" s="424"/>
      <c r="QM31" s="424"/>
      <c r="QN31" s="424"/>
      <c r="QO31" s="424"/>
      <c r="QP31" s="424"/>
      <c r="QQ31" s="424"/>
      <c r="QR31" s="424"/>
      <c r="QS31" s="424"/>
      <c r="QT31" s="424"/>
      <c r="QU31" s="424"/>
      <c r="QV31" s="424"/>
      <c r="QW31" s="424"/>
      <c r="QX31" s="424"/>
      <c r="QY31" s="424"/>
      <c r="QZ31" s="424"/>
      <c r="RA31" s="424"/>
      <c r="RB31" s="394">
        <f>ROW()</f>
        <v>31</v>
      </c>
      <c r="RC31" s="616" t="s">
        <v>240</v>
      </c>
      <c r="RD31" s="616"/>
      <c r="RE31" s="1467"/>
      <c r="RF31" s="1467"/>
      <c r="RG31" s="1467">
        <f t="shared" ref="RG31:RO31" si="100">-RG27-RG29</f>
        <v>-153094257.23723185</v>
      </c>
      <c r="RH31" s="1467">
        <f t="shared" si="100"/>
        <v>-298420.97900107928</v>
      </c>
      <c r="RI31" s="1467">
        <f t="shared" si="100"/>
        <v>-153392678.21623296</v>
      </c>
      <c r="RJ31" s="1467">
        <f t="shared" si="100"/>
        <v>1555027.3769056804</v>
      </c>
      <c r="RK31" s="1467">
        <f t="shared" si="100"/>
        <v>-151837650.83932725</v>
      </c>
      <c r="RL31" s="1467">
        <f t="shared" si="100"/>
        <v>-53244588.094624028</v>
      </c>
      <c r="RM31" s="1467">
        <f t="shared" si="100"/>
        <v>-205082238.93395129</v>
      </c>
      <c r="RN31" s="1467">
        <f t="shared" si="100"/>
        <v>7125267.925121028</v>
      </c>
      <c r="RO31" s="1467">
        <f t="shared" si="100"/>
        <v>-197956971.00883025</v>
      </c>
      <c r="RP31" s="1467"/>
      <c r="RQ31" s="1467"/>
      <c r="RR31" s="1467"/>
      <c r="RS31" s="1467"/>
      <c r="RT31" s="521">
        <f>ROW()</f>
        <v>31</v>
      </c>
      <c r="RU31" s="1480"/>
      <c r="RV31" s="520"/>
      <c r="RW31" s="520"/>
      <c r="RX31" s="520"/>
      <c r="RY31" s="520"/>
      <c r="RZ31" s="520"/>
      <c r="SA31" s="520"/>
      <c r="SB31" s="520"/>
      <c r="SC31" s="520"/>
      <c r="SD31" s="520"/>
      <c r="SE31" s="520"/>
      <c r="SF31" s="520"/>
      <c r="SG31" s="520"/>
      <c r="SH31" s="520"/>
      <c r="SI31" s="520"/>
      <c r="SJ31" s="520"/>
      <c r="SK31" s="520"/>
      <c r="SL31" s="82">
        <f>ROW()</f>
        <v>31</v>
      </c>
      <c r="SM31" s="616" t="s">
        <v>382</v>
      </c>
      <c r="SN31" s="1484"/>
      <c r="SO31" s="1467"/>
      <c r="SP31" s="1467"/>
      <c r="SQ31" s="1467"/>
      <c r="SR31" s="1467">
        <f t="shared" ref="SR31:SY31" si="101">SUM(SR28:SR30)</f>
        <v>63796583.976750001</v>
      </c>
      <c r="SS31" s="1467">
        <f t="shared" si="101"/>
        <v>63796583.976750001</v>
      </c>
      <c r="ST31" s="1467">
        <f t="shared" si="101"/>
        <v>126477500.64549002</v>
      </c>
      <c r="SU31" s="1467">
        <f t="shared" si="101"/>
        <v>190274084.62224001</v>
      </c>
      <c r="SV31" s="1467">
        <f t="shared" si="101"/>
        <v>52167450.423619971</v>
      </c>
      <c r="SW31" s="1467">
        <f t="shared" si="101"/>
        <v>242441535.04585996</v>
      </c>
      <c r="SX31" s="1467">
        <f t="shared" si="101"/>
        <v>122407421.21765506</v>
      </c>
      <c r="SY31" s="1467">
        <f t="shared" si="101"/>
        <v>364848956.263515</v>
      </c>
      <c r="SZ31" s="1467"/>
      <c r="TA31" s="1467"/>
      <c r="TB31" s="1466"/>
      <c r="TC31" s="1466"/>
      <c r="TD31" s="424"/>
      <c r="TE31" s="82">
        <f>ROW()</f>
        <v>31</v>
      </c>
      <c r="TK31"/>
      <c r="TL31"/>
      <c r="TM31"/>
      <c r="TN31"/>
      <c r="TO31"/>
      <c r="TP31"/>
      <c r="TQ31"/>
      <c r="TR31"/>
      <c r="TS31"/>
      <c r="TT31"/>
      <c r="TU31"/>
      <c r="TV31"/>
      <c r="TW31" s="424"/>
      <c r="TX31" s="82">
        <f>ROW()</f>
        <v>31</v>
      </c>
      <c r="TY31" s="20"/>
      <c r="UA31" s="78"/>
      <c r="UB31" s="78"/>
      <c r="UC31" s="78"/>
      <c r="UD31" s="78"/>
      <c r="UE31" s="78"/>
      <c r="UF31" s="78"/>
      <c r="UG31" s="78"/>
      <c r="UH31" s="78"/>
      <c r="UI31" s="78"/>
      <c r="UJ31" s="78"/>
      <c r="UK31" s="78"/>
      <c r="UL31" s="78"/>
      <c r="UM31" s="78"/>
      <c r="UN31" s="78"/>
      <c r="UO31" s="78"/>
      <c r="UR31" s="1566"/>
      <c r="US31" s="1566"/>
      <c r="UT31" s="1225"/>
      <c r="UU31" s="1225"/>
      <c r="UV31" s="1225"/>
      <c r="UW31" s="1225"/>
      <c r="UX31" s="1225"/>
      <c r="UY31" s="1225"/>
      <c r="UZ31" s="1225"/>
      <c r="VA31" s="1225"/>
      <c r="VB31" s="1225"/>
      <c r="VC31" s="1225"/>
      <c r="VD31" s="1225"/>
      <c r="VJ31" s="521">
        <f>ROW()</f>
        <v>31</v>
      </c>
      <c r="VK31" s="694"/>
      <c r="VL31" s="695">
        <v>0.21</v>
      </c>
      <c r="VM31" s="633"/>
      <c r="VN31" s="633"/>
      <c r="VO31" s="633"/>
      <c r="VP31" s="633"/>
      <c r="VQ31" s="633"/>
      <c r="VR31" s="633"/>
      <c r="VS31" s="633"/>
      <c r="VT31" s="633"/>
      <c r="VU31" s="633"/>
      <c r="VV31" s="633"/>
      <c r="VW31" s="633"/>
    </row>
    <row r="32" spans="1:625" ht="16.5" thickTop="1" thickBot="1" x14ac:dyDescent="0.3">
      <c r="A32" s="22">
        <f>ROW()</f>
        <v>32</v>
      </c>
      <c r="B32" t="s">
        <v>922</v>
      </c>
      <c r="C32" s="1550" t="s">
        <v>876</v>
      </c>
      <c r="D32" s="1392"/>
      <c r="E32" s="1392">
        <v>21521924.117577225</v>
      </c>
      <c r="F32" s="880"/>
      <c r="G32" s="641"/>
      <c r="H32" s="880"/>
      <c r="I32" s="641"/>
      <c r="J32" s="1052"/>
      <c r="K32" s="641"/>
      <c r="L32" s="641"/>
      <c r="M32" s="641"/>
      <c r="N32" s="1394"/>
      <c r="O32" s="619"/>
      <c r="P32" s="1394"/>
      <c r="Q32" s="619"/>
      <c r="R32" s="1394"/>
      <c r="S32" s="22">
        <f>ROW()</f>
        <v>32</v>
      </c>
      <c r="T32" s="41" t="s">
        <v>921</v>
      </c>
      <c r="U32" s="1627"/>
      <c r="V32" s="668">
        <f>-W32</f>
        <v>0</v>
      </c>
      <c r="W32" s="74">
        <v>0</v>
      </c>
      <c r="X32" s="739"/>
      <c r="Y32" s="739"/>
      <c r="Z32" s="739">
        <f>SUM(X32:Y32)</f>
        <v>0</v>
      </c>
      <c r="AA32" s="739"/>
      <c r="AB32" s="739">
        <f>SUM(Z32:AA32)</f>
        <v>0</v>
      </c>
      <c r="AC32" s="739"/>
      <c r="AD32" s="739">
        <f>SUM(AB32:AC32)</f>
        <v>0</v>
      </c>
      <c r="AE32" s="739"/>
      <c r="AF32" s="739">
        <f>SUM(AD32:AE32)</f>
        <v>0</v>
      </c>
      <c r="AG32" s="739"/>
      <c r="AH32" s="739"/>
      <c r="AI32" s="739"/>
      <c r="AJ32" s="739"/>
      <c r="AK32" s="65" t="s">
        <v>30</v>
      </c>
      <c r="AL32" s="523"/>
      <c r="AM32" s="20"/>
      <c r="AN32" s="78"/>
      <c r="AO32" s="78"/>
      <c r="AP32" s="78"/>
      <c r="AQ32" s="50"/>
      <c r="AR32" s="50"/>
      <c r="AS32" s="50"/>
      <c r="AT32" s="50"/>
      <c r="AU32" s="50"/>
      <c r="AV32" s="50"/>
      <c r="AW32" s="50"/>
      <c r="AX32" s="50"/>
      <c r="BB32" s="51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V32"/>
      <c r="BW32"/>
      <c r="BX32"/>
      <c r="BY32"/>
      <c r="BZ32"/>
      <c r="CA32"/>
      <c r="CB32"/>
      <c r="DE32" s="1"/>
      <c r="DF32" s="1"/>
      <c r="DG32" s="1"/>
      <c r="DH32" s="1"/>
      <c r="DI32" s="1"/>
      <c r="DJ32" s="1"/>
      <c r="DK32" s="1"/>
      <c r="DL32" s="1"/>
      <c r="FY32" s="22">
        <f>ROW()</f>
        <v>32</v>
      </c>
      <c r="FZ32" s="480" t="s">
        <v>240</v>
      </c>
      <c r="GB32" s="816">
        <f t="shared" ref="GB32:GL32" si="102">-GB29-GB31</f>
        <v>-3461873.5952822091</v>
      </c>
      <c r="GC32" s="816">
        <f t="shared" si="102"/>
        <v>1105216.335401746</v>
      </c>
      <c r="GD32" s="816">
        <f t="shared" si="102"/>
        <v>-2356657.2598804631</v>
      </c>
      <c r="GE32" s="816">
        <f t="shared" si="102"/>
        <v>-185023.04623741916</v>
      </c>
      <c r="GF32" s="816">
        <f t="shared" si="102"/>
        <v>-2541680.3061178825</v>
      </c>
      <c r="GG32" s="816">
        <f t="shared" si="102"/>
        <v>-81134.752065464156</v>
      </c>
      <c r="GH32" s="816">
        <f t="shared" si="102"/>
        <v>-2622815.0581833469</v>
      </c>
      <c r="GI32" s="816">
        <f t="shared" si="102"/>
        <v>-19246.648578410714</v>
      </c>
      <c r="GJ32" s="816">
        <f t="shared" si="102"/>
        <v>-2642061.7067617569</v>
      </c>
      <c r="GK32" s="816">
        <f t="shared" si="102"/>
        <v>-1522.7486420287016</v>
      </c>
      <c r="GL32" s="816">
        <f t="shared" si="102"/>
        <v>-2643584.4554037862</v>
      </c>
      <c r="GM32" s="816"/>
      <c r="GN32" s="816"/>
      <c r="GO32" s="816"/>
      <c r="GP32" s="816"/>
      <c r="GQ32" s="22">
        <f>ROW()</f>
        <v>32</v>
      </c>
      <c r="GR32" s="4" t="s">
        <v>261</v>
      </c>
      <c r="GS32" s="480"/>
      <c r="GT32" s="51">
        <f t="shared" ref="GT32:HH32" si="103">+GT30</f>
        <v>3605749.2102098935</v>
      </c>
      <c r="GU32" s="51">
        <f t="shared" si="103"/>
        <v>191286.54157686234</v>
      </c>
      <c r="GV32" s="51">
        <f t="shared" si="103"/>
        <v>3797035.7517867559</v>
      </c>
      <c r="GW32" s="51">
        <f t="shared" si="103"/>
        <v>0</v>
      </c>
      <c r="GX32" s="51">
        <f t="shared" si="103"/>
        <v>3797035.7517867559</v>
      </c>
      <c r="GY32" s="51">
        <f t="shared" si="103"/>
        <v>0</v>
      </c>
      <c r="GZ32" s="51">
        <f t="shared" si="103"/>
        <v>3797035.7517867559</v>
      </c>
      <c r="HA32" s="51">
        <f t="shared" si="103"/>
        <v>0</v>
      </c>
      <c r="HB32" s="51">
        <f t="shared" si="103"/>
        <v>3797035.7517867559</v>
      </c>
      <c r="HC32" s="51">
        <f t="shared" si="103"/>
        <v>0</v>
      </c>
      <c r="HD32" s="51">
        <f t="shared" si="103"/>
        <v>3797035.7517867559</v>
      </c>
      <c r="HE32" s="51">
        <f t="shared" si="103"/>
        <v>0</v>
      </c>
      <c r="HF32" s="51">
        <f t="shared" si="103"/>
        <v>0</v>
      </c>
      <c r="HG32" s="51">
        <f t="shared" si="103"/>
        <v>0</v>
      </c>
      <c r="HH32" s="51">
        <f t="shared" si="103"/>
        <v>0</v>
      </c>
      <c r="IS32"/>
      <c r="IT32"/>
      <c r="IU32"/>
      <c r="IV32"/>
      <c r="IW32"/>
      <c r="IX32"/>
      <c r="IY32"/>
      <c r="IZ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U32" s="22">
        <f>ROW()</f>
        <v>32</v>
      </c>
      <c r="KV32" s="971" t="s">
        <v>920</v>
      </c>
      <c r="KW32" s="1643">
        <v>0.21</v>
      </c>
      <c r="KX32" s="817">
        <f t="shared" ref="KX32:LL32" si="104">-KX31*$KW$32</f>
        <v>-13105314.611898793</v>
      </c>
      <c r="KY32" s="817">
        <f t="shared" si="104"/>
        <v>-777487.76562678919</v>
      </c>
      <c r="KZ32" s="817">
        <f t="shared" si="104"/>
        <v>-13882802.377525581</v>
      </c>
      <c r="LA32" s="817">
        <f t="shared" si="104"/>
        <v>0</v>
      </c>
      <c r="LB32" s="817">
        <f t="shared" si="104"/>
        <v>-13882802.377525581</v>
      </c>
      <c r="LC32" s="817">
        <f t="shared" si="104"/>
        <v>0</v>
      </c>
      <c r="LD32" s="817">
        <f t="shared" si="104"/>
        <v>-13882802.377525581</v>
      </c>
      <c r="LE32" s="817">
        <f t="shared" si="104"/>
        <v>0</v>
      </c>
      <c r="LF32" s="817">
        <f t="shared" si="104"/>
        <v>-13882802.377525581</v>
      </c>
      <c r="LG32" s="817">
        <f t="shared" si="104"/>
        <v>0</v>
      </c>
      <c r="LH32" s="817">
        <f t="shared" si="104"/>
        <v>-13882802.377525581</v>
      </c>
      <c r="LI32" s="817">
        <f t="shared" si="104"/>
        <v>0</v>
      </c>
      <c r="LJ32" s="817">
        <f t="shared" si="104"/>
        <v>0</v>
      </c>
      <c r="LK32" s="817">
        <f t="shared" si="104"/>
        <v>0</v>
      </c>
      <c r="LL32" s="817">
        <f t="shared" si="104"/>
        <v>0</v>
      </c>
      <c r="LP32" s="317"/>
      <c r="LQ32" s="317"/>
      <c r="LR32" s="317"/>
      <c r="LS32" s="317"/>
      <c r="LT32" s="317"/>
      <c r="LU32" s="317"/>
      <c r="LV32" s="317"/>
      <c r="LW32" s="317"/>
      <c r="LX32" s="317"/>
      <c r="LY32" s="317"/>
      <c r="LZ32" s="317"/>
      <c r="MA32" s="317"/>
      <c r="MB32" s="317"/>
      <c r="MC32" s="317"/>
      <c r="MD32" s="317"/>
      <c r="ME32" s="22">
        <f>ROW()</f>
        <v>32</v>
      </c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22"/>
      <c r="MX32" s="99"/>
      <c r="MY32" s="99"/>
      <c r="MZ32" s="99"/>
      <c r="NA32" s="99"/>
      <c r="NB32" s="99"/>
      <c r="NC32" s="1642"/>
      <c r="ND32" s="1642"/>
      <c r="NE32" s="1642"/>
      <c r="NF32" s="1642"/>
      <c r="NG32" s="1642"/>
      <c r="NH32" s="1642"/>
      <c r="NI32" s="1642"/>
      <c r="NJ32" s="1642"/>
      <c r="NO32" s="65" t="s">
        <v>30</v>
      </c>
      <c r="OG32" s="482">
        <f>ROW()</f>
        <v>32</v>
      </c>
      <c r="OH32" s="1" t="s">
        <v>313</v>
      </c>
      <c r="OJ32" s="667">
        <f>-OJ30</f>
        <v>2906116.24</v>
      </c>
      <c r="OK32" s="667">
        <f>-OK30</f>
        <v>0</v>
      </c>
      <c r="OL32" s="667">
        <f>-OL30</f>
        <v>2906116.24</v>
      </c>
      <c r="OM32" s="667">
        <f>-OM30</f>
        <v>-2906116.24</v>
      </c>
      <c r="ON32" s="667">
        <f>-ON30</f>
        <v>0</v>
      </c>
      <c r="OO32" s="667"/>
      <c r="OP32" s="667"/>
      <c r="OQ32" s="667"/>
      <c r="OR32" s="667"/>
      <c r="OS32" s="667"/>
      <c r="OT32" s="667"/>
      <c r="OU32" s="600"/>
      <c r="OV32" s="600"/>
      <c r="OW32" s="600"/>
      <c r="OX32" s="600"/>
      <c r="OY32" s="22">
        <f>ROW()</f>
        <v>32</v>
      </c>
      <c r="OZ32" s="644"/>
      <c r="PA32" s="644"/>
      <c r="PB32" s="63"/>
      <c r="PC32" s="63"/>
      <c r="PD32" s="63"/>
      <c r="PE32" s="63"/>
      <c r="PF32" s="1451"/>
      <c r="PG32" s="1451"/>
      <c r="PH32" s="1451"/>
      <c r="PI32" s="1442"/>
      <c r="PJ32" s="1442"/>
      <c r="PK32" s="1442"/>
      <c r="PL32" s="1442"/>
      <c r="PM32" s="846"/>
      <c r="PN32" s="846"/>
      <c r="PO32" s="63"/>
      <c r="PP32" s="63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J32" s="424"/>
      <c r="QK32" s="424"/>
      <c r="QL32" s="424"/>
      <c r="QM32" s="424"/>
      <c r="QN32" s="424"/>
      <c r="QO32" s="424"/>
      <c r="QP32" s="424"/>
      <c r="QQ32" s="424"/>
      <c r="QR32" s="424"/>
      <c r="QS32" s="424"/>
      <c r="QT32" s="424"/>
      <c r="QU32" s="424"/>
      <c r="QV32" s="424"/>
      <c r="QW32" s="424"/>
      <c r="QX32" s="424"/>
      <c r="QY32" s="424"/>
      <c r="QZ32" s="424"/>
      <c r="RA32" s="424"/>
      <c r="RB32" s="394">
        <f>ROW()</f>
        <v>32</v>
      </c>
      <c r="RC32" s="616"/>
      <c r="RD32" s="616"/>
      <c r="RE32" s="1480"/>
      <c r="RF32" s="1480"/>
      <c r="RG32" s="1480"/>
      <c r="RH32" s="1480"/>
      <c r="RI32" s="1480"/>
      <c r="RJ32" s="1480"/>
      <c r="RK32" s="1480"/>
      <c r="RL32" s="1480"/>
      <c r="RM32" s="1480"/>
      <c r="RN32" s="1480"/>
      <c r="RO32" s="1480"/>
      <c r="RP32" s="1480"/>
      <c r="RQ32" s="1480"/>
      <c r="RR32" s="1480"/>
      <c r="RS32" s="1480"/>
      <c r="RT32" s="521">
        <f>ROW()</f>
        <v>32</v>
      </c>
      <c r="RU32" s="616" t="s">
        <v>248</v>
      </c>
      <c r="RV32" s="520"/>
      <c r="RW32" s="520"/>
      <c r="RX32" s="520"/>
      <c r="RY32" s="520"/>
      <c r="RZ32" s="568"/>
      <c r="SA32" s="568"/>
      <c r="SB32" s="568"/>
      <c r="SC32" s="568"/>
      <c r="SD32" s="568"/>
      <c r="SE32" s="568"/>
      <c r="SF32" s="568"/>
      <c r="SG32" s="568"/>
      <c r="SH32" s="568"/>
      <c r="SI32" s="568"/>
      <c r="SJ32" s="568"/>
      <c r="SK32" s="568"/>
      <c r="SL32" s="82">
        <f>ROW()</f>
        <v>32</v>
      </c>
      <c r="SM32" s="616"/>
      <c r="SN32" s="1484"/>
      <c r="SO32" s="1480"/>
      <c r="SP32" s="1480"/>
      <c r="SQ32" s="1480"/>
      <c r="SR32" s="1480"/>
      <c r="SS32" s="1480"/>
      <c r="ST32" s="1480"/>
      <c r="SU32" s="1480"/>
      <c r="SV32" s="1480"/>
      <c r="SW32" s="1480"/>
      <c r="SX32" s="1480"/>
      <c r="SY32" s="1480"/>
      <c r="SZ32" s="1480"/>
      <c r="TA32" s="1480"/>
      <c r="TB32" s="1633"/>
      <c r="TC32" s="1633"/>
      <c r="TD32" s="424"/>
      <c r="TE32" s="82">
        <f>ROW()</f>
        <v>32</v>
      </c>
      <c r="TK32"/>
      <c r="TL32"/>
      <c r="TM32"/>
      <c r="TN32"/>
      <c r="TO32"/>
      <c r="TP32"/>
      <c r="TQ32"/>
      <c r="TR32"/>
      <c r="TS32"/>
      <c r="TT32"/>
      <c r="TU32"/>
      <c r="TV32"/>
      <c r="TW32" s="424"/>
      <c r="TX32" s="82">
        <f>ROW()</f>
        <v>32</v>
      </c>
      <c r="TY32" s="4" t="s">
        <v>919</v>
      </c>
      <c r="UA32" s="78">
        <v>129012602</v>
      </c>
      <c r="UB32" s="78">
        <f>-UA32</f>
        <v>-129012602</v>
      </c>
      <c r="UC32" s="78"/>
      <c r="UD32" s="78"/>
      <c r="UE32" s="78"/>
      <c r="UF32" s="78"/>
      <c r="UG32" s="78"/>
      <c r="UH32" s="78"/>
      <c r="UI32" s="78"/>
      <c r="UJ32" s="78"/>
      <c r="UK32" s="78"/>
      <c r="UL32" s="78"/>
      <c r="UM32" s="78"/>
      <c r="UN32" s="78"/>
      <c r="UO32" s="78"/>
      <c r="UR32" s="1559"/>
      <c r="US32" s="1559"/>
      <c r="UT32" s="938"/>
      <c r="UU32" s="924"/>
      <c r="UV32" s="924"/>
      <c r="UW32" s="924"/>
      <c r="UX32" s="924"/>
      <c r="UY32" s="924"/>
      <c r="UZ32" s="924"/>
      <c r="VA32" s="924"/>
      <c r="VB32" s="924"/>
      <c r="VC32" s="924"/>
      <c r="VD32" s="924"/>
      <c r="VJ32" s="521">
        <f>ROW()</f>
        <v>32</v>
      </c>
      <c r="VK32" s="694"/>
      <c r="VM32" s="715"/>
      <c r="VN32" s="715"/>
      <c r="VO32" s="715"/>
      <c r="VP32" s="715"/>
      <c r="VQ32" s="715"/>
      <c r="VR32" s="715"/>
      <c r="VS32" s="715"/>
      <c r="VT32" s="715"/>
      <c r="VU32" s="715"/>
      <c r="VV32" s="715"/>
      <c r="VW32" s="715"/>
    </row>
    <row r="33" spans="1:576" ht="16.5" thickTop="1" thickBot="1" x14ac:dyDescent="0.3">
      <c r="A33" s="22">
        <f>ROW()</f>
        <v>33</v>
      </c>
      <c r="B33" t="s">
        <v>918</v>
      </c>
      <c r="C33" s="1550" t="s">
        <v>876</v>
      </c>
      <c r="D33" s="1392"/>
      <c r="E33" s="1392">
        <v>-774015.48827239987</v>
      </c>
      <c r="F33" s="880"/>
      <c r="G33" s="641"/>
      <c r="H33" s="880"/>
      <c r="I33" s="641"/>
      <c r="J33" s="1052"/>
      <c r="K33" s="641"/>
      <c r="L33" s="641"/>
      <c r="M33" s="641"/>
      <c r="N33" s="1394"/>
      <c r="O33" s="619"/>
      <c r="P33" s="1394"/>
      <c r="Q33" s="619"/>
      <c r="R33" s="1394"/>
      <c r="S33" s="22">
        <f>ROW()</f>
        <v>33</v>
      </c>
      <c r="T33" s="1183" t="s">
        <v>390</v>
      </c>
      <c r="U33" s="603"/>
      <c r="V33" s="69">
        <f t="shared" ref="V33:AF33" si="105">SUM(V17:V32)</f>
        <v>716603346.3903172</v>
      </c>
      <c r="W33" s="69">
        <f t="shared" si="105"/>
        <v>-716603346.3903172</v>
      </c>
      <c r="X33" s="69">
        <f t="shared" si="105"/>
        <v>0</v>
      </c>
      <c r="Y33" s="69">
        <f t="shared" si="105"/>
        <v>0</v>
      </c>
      <c r="Z33" s="69">
        <f t="shared" si="105"/>
        <v>0</v>
      </c>
      <c r="AA33" s="69">
        <f t="shared" si="105"/>
        <v>0</v>
      </c>
      <c r="AB33" s="69">
        <f t="shared" si="105"/>
        <v>0</v>
      </c>
      <c r="AC33" s="69">
        <f t="shared" si="105"/>
        <v>0</v>
      </c>
      <c r="AD33" s="69">
        <f t="shared" si="105"/>
        <v>0</v>
      </c>
      <c r="AE33" s="69">
        <f t="shared" si="105"/>
        <v>0</v>
      </c>
      <c r="AF33" s="69">
        <f t="shared" si="105"/>
        <v>0</v>
      </c>
      <c r="AG33" s="69"/>
      <c r="AH33" s="69"/>
      <c r="AI33" s="69"/>
      <c r="AJ33" s="69"/>
      <c r="AL33" s="20"/>
      <c r="AM33" s="20"/>
      <c r="AN33" s="1534"/>
      <c r="AO33" s="1534"/>
      <c r="AP33" s="1534"/>
      <c r="AQ33" s="1641" t="s">
        <v>873</v>
      </c>
      <c r="AR33" s="1640"/>
      <c r="AS33" s="77"/>
      <c r="AT33" s="77"/>
      <c r="AU33" s="77"/>
      <c r="AV33" s="77"/>
      <c r="AW33" s="77"/>
      <c r="AX33" s="77"/>
      <c r="AY33" s="50"/>
      <c r="AZ33" s="50"/>
      <c r="BA33" s="50"/>
      <c r="BB33" s="50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V33"/>
      <c r="BW33"/>
      <c r="BX33"/>
      <c r="BY33"/>
      <c r="BZ33"/>
      <c r="CA33"/>
      <c r="CB33"/>
      <c r="DE33" s="1"/>
      <c r="DF33" s="1"/>
      <c r="DG33" s="1"/>
      <c r="DH33" s="1"/>
      <c r="DI33" s="1"/>
      <c r="DJ33" s="1"/>
      <c r="DK33" s="1"/>
      <c r="DL33" s="1"/>
      <c r="GF33" s="543"/>
      <c r="GQ33" s="22">
        <f>ROW()</f>
        <v>33</v>
      </c>
      <c r="GR33" s="4"/>
      <c r="GS33" s="480"/>
      <c r="IS33"/>
      <c r="IT33"/>
      <c r="IU33"/>
      <c r="IV33"/>
      <c r="IW33"/>
      <c r="IX33"/>
      <c r="IY33"/>
      <c r="IZ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U33" s="22">
        <f>ROW()</f>
        <v>33</v>
      </c>
      <c r="KV33" s="971" t="s">
        <v>240</v>
      </c>
      <c r="KW33" s="1639"/>
      <c r="KX33" s="821">
        <f t="shared" ref="KX33:LL33" si="106">-KX31-KX32</f>
        <v>-49300945.444762126</v>
      </c>
      <c r="KY33" s="821">
        <f t="shared" si="106"/>
        <v>-2924834.9278341117</v>
      </c>
      <c r="KZ33" s="821">
        <f t="shared" si="106"/>
        <v>-52225780.372596234</v>
      </c>
      <c r="LA33" s="821">
        <f t="shared" si="106"/>
        <v>0</v>
      </c>
      <c r="LB33" s="821">
        <f t="shared" si="106"/>
        <v>-52225780.372596234</v>
      </c>
      <c r="LC33" s="821">
        <f t="shared" si="106"/>
        <v>0</v>
      </c>
      <c r="LD33" s="821">
        <f t="shared" si="106"/>
        <v>-52225780.372596234</v>
      </c>
      <c r="LE33" s="821">
        <f t="shared" si="106"/>
        <v>0</v>
      </c>
      <c r="LF33" s="821">
        <f t="shared" si="106"/>
        <v>-52225780.372596234</v>
      </c>
      <c r="LG33" s="821">
        <f t="shared" si="106"/>
        <v>0</v>
      </c>
      <c r="LH33" s="821">
        <f t="shared" si="106"/>
        <v>-52225780.372596234</v>
      </c>
      <c r="LI33" s="821">
        <f t="shared" si="106"/>
        <v>0</v>
      </c>
      <c r="LJ33" s="821">
        <f t="shared" si="106"/>
        <v>0</v>
      </c>
      <c r="LK33" s="821">
        <f t="shared" si="106"/>
        <v>0</v>
      </c>
      <c r="LL33" s="821">
        <f t="shared" si="106"/>
        <v>0</v>
      </c>
      <c r="LP33" s="317"/>
      <c r="LQ33" s="317"/>
      <c r="LR33" s="317"/>
      <c r="LS33" s="317"/>
      <c r="LT33" s="317"/>
      <c r="LU33" s="317"/>
      <c r="LV33" s="317"/>
      <c r="LW33" s="317"/>
      <c r="LX33" s="317"/>
      <c r="LY33" s="317"/>
      <c r="LZ33" s="317"/>
      <c r="MA33" s="317"/>
      <c r="MB33" s="317"/>
      <c r="MC33" s="317"/>
      <c r="MD33" s="317"/>
      <c r="ME33" s="22">
        <f>ROW()</f>
        <v>33</v>
      </c>
      <c r="MF33" s="555" t="s">
        <v>248</v>
      </c>
      <c r="MH33" s="50"/>
      <c r="MI33" s="50"/>
      <c r="MJ33" s="50"/>
      <c r="MK33" s="50"/>
      <c r="ML33" s="50"/>
      <c r="MM33" s="50"/>
      <c r="MN33" s="50"/>
      <c r="MO33" s="50"/>
      <c r="MP33" s="50"/>
      <c r="MQ33" s="50"/>
      <c r="MR33" s="50"/>
      <c r="MS33" s="50"/>
      <c r="MT33" s="50"/>
      <c r="MU33" s="50"/>
      <c r="MV33" s="50"/>
      <c r="MW33" s="22"/>
      <c r="MX33" s="1569"/>
      <c r="MY33" s="99"/>
      <c r="MZ33" s="21"/>
      <c r="NA33" s="21"/>
      <c r="NB33" s="21"/>
      <c r="NC33" s="1638"/>
      <c r="ND33" s="1638">
        <v>5280909.4204400005</v>
      </c>
      <c r="NE33" s="1638"/>
      <c r="NF33" s="1638">
        <v>5280909.4204400005</v>
      </c>
      <c r="NG33" s="1638"/>
      <c r="NH33" s="1638">
        <v>5280909.4204400005</v>
      </c>
      <c r="NI33" s="1638"/>
      <c r="NJ33" s="1638">
        <v>5280909.4204400005</v>
      </c>
      <c r="NO33" s="523"/>
      <c r="NP33" s="917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G33" s="482">
        <f>ROW()</f>
        <v>33</v>
      </c>
      <c r="OH33" s="1" t="s">
        <v>306</v>
      </c>
      <c r="OJ33" s="667"/>
      <c r="OK33" s="667"/>
      <c r="OL33" s="667"/>
      <c r="OM33" s="667"/>
      <c r="ON33" s="667"/>
      <c r="OO33" s="667"/>
      <c r="OP33" s="667"/>
      <c r="OQ33" s="667"/>
      <c r="OR33" s="667"/>
      <c r="OS33" s="667"/>
      <c r="OT33" s="667"/>
      <c r="OU33" s="561"/>
      <c r="OV33" s="561"/>
      <c r="OW33" s="561"/>
      <c r="OX33" s="561"/>
      <c r="OY33" s="22">
        <f>ROW()</f>
        <v>33</v>
      </c>
      <c r="OZ33" s="480" t="s">
        <v>917</v>
      </c>
      <c r="PA33" s="644"/>
      <c r="PB33" s="1637">
        <f t="shared" ref="PB33:PL33" si="107">SUM(PB30:PB32)</f>
        <v>-12653833.572559873</v>
      </c>
      <c r="PC33" s="1637">
        <f t="shared" si="107"/>
        <v>8147230.8337291926</v>
      </c>
      <c r="PD33" s="1637">
        <f t="shared" si="107"/>
        <v>-4506602.738830681</v>
      </c>
      <c r="PE33" s="1637">
        <f t="shared" si="107"/>
        <v>-8147230.8337291926</v>
      </c>
      <c r="PF33" s="1636">
        <f t="shared" si="107"/>
        <v>-12653833.572559873</v>
      </c>
      <c r="PG33" s="1636">
        <f t="shared" si="107"/>
        <v>0</v>
      </c>
      <c r="PH33" s="1636">
        <f t="shared" si="107"/>
        <v>-12653833.572559873</v>
      </c>
      <c r="PI33" s="1635">
        <f t="shared" si="107"/>
        <v>0</v>
      </c>
      <c r="PJ33" s="1635">
        <f t="shared" si="107"/>
        <v>-12653833.572559873</v>
      </c>
      <c r="PK33" s="1635">
        <f t="shared" si="107"/>
        <v>0</v>
      </c>
      <c r="PL33" s="1635">
        <f t="shared" si="107"/>
        <v>-12653833.572559873</v>
      </c>
      <c r="PM33" s="1634"/>
      <c r="PN33" s="1634"/>
      <c r="PO33" s="69"/>
      <c r="PP33" s="69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J33" s="424"/>
      <c r="QK33" s="424"/>
      <c r="QL33" s="424"/>
      <c r="QM33" s="424"/>
      <c r="QN33" s="424"/>
      <c r="QO33" s="424"/>
      <c r="QP33" s="424"/>
      <c r="QQ33" s="424"/>
      <c r="QR33" s="424"/>
      <c r="QS33" s="424"/>
      <c r="QT33" s="424"/>
      <c r="QU33" s="424"/>
      <c r="QV33" s="424"/>
      <c r="QW33" s="424"/>
      <c r="QX33" s="424"/>
      <c r="QY33" s="424"/>
      <c r="QZ33" s="424"/>
      <c r="RA33" s="424"/>
      <c r="RB33" s="394">
        <f>ROW()</f>
        <v>33</v>
      </c>
      <c r="RC33" s="616" t="s">
        <v>248</v>
      </c>
      <c r="RD33" s="616"/>
      <c r="RE33" s="1480"/>
      <c r="RF33" s="1480"/>
      <c r="RG33" s="1480"/>
      <c r="RH33" s="1490"/>
      <c r="RI33" s="1490"/>
      <c r="RJ33" s="1490"/>
      <c r="RK33" s="1490"/>
      <c r="RL33" s="1490"/>
      <c r="RM33" s="1490"/>
      <c r="RN33" s="1490"/>
      <c r="RO33" s="1490"/>
      <c r="RP33" s="1490"/>
      <c r="RQ33" s="1490"/>
      <c r="RR33" s="1490"/>
      <c r="RS33" s="1490"/>
      <c r="RT33" s="521">
        <f>ROW()</f>
        <v>33</v>
      </c>
      <c r="RU33" s="616" t="s">
        <v>916</v>
      </c>
      <c r="RV33" s="520"/>
      <c r="RW33" s="570"/>
      <c r="RX33" s="570"/>
      <c r="RY33" s="570"/>
      <c r="RZ33" s="570">
        <f>SA33</f>
        <v>42632.08</v>
      </c>
      <c r="SA33" s="570">
        <v>42632.08</v>
      </c>
      <c r="SB33" s="570">
        <f>SC33-SA33</f>
        <v>297280.34000000003</v>
      </c>
      <c r="SC33" s="570">
        <v>339912.42000000004</v>
      </c>
      <c r="SD33" s="570">
        <f>SE33-SC33</f>
        <v>424163.73</v>
      </c>
      <c r="SE33" s="570">
        <v>764076.15</v>
      </c>
      <c r="SF33" s="570">
        <f>SG33-SE33</f>
        <v>1154341.1600000001</v>
      </c>
      <c r="SG33" s="570">
        <v>1918417.31</v>
      </c>
      <c r="SH33" s="570"/>
      <c r="SI33" s="570"/>
      <c r="SJ33" s="570"/>
      <c r="SK33" s="570"/>
      <c r="SL33" s="82">
        <f>ROW()</f>
        <v>33</v>
      </c>
      <c r="SM33" s="430" t="s">
        <v>915</v>
      </c>
      <c r="SN33" s="1484"/>
      <c r="SO33" s="1480"/>
      <c r="SP33" s="1480"/>
      <c r="SQ33" s="1480"/>
      <c r="SR33" s="1480"/>
      <c r="SS33" s="1480"/>
      <c r="ST33" s="1480"/>
      <c r="SU33" s="1480"/>
      <c r="SV33" s="1480"/>
      <c r="SW33" s="1480"/>
      <c r="SX33" s="1480"/>
      <c r="SY33" s="1480"/>
      <c r="SZ33" s="1480"/>
      <c r="TA33" s="1480"/>
      <c r="TB33" s="1633"/>
      <c r="TC33" s="1633"/>
      <c r="TD33" s="424"/>
      <c r="TE33" s="82">
        <f>ROW()</f>
        <v>33</v>
      </c>
      <c r="TK33"/>
      <c r="TL33"/>
      <c r="TM33"/>
      <c r="TN33"/>
      <c r="TO33"/>
      <c r="TP33"/>
      <c r="TQ33"/>
      <c r="TR33"/>
      <c r="TS33"/>
      <c r="TT33"/>
      <c r="TU33"/>
      <c r="TV33"/>
      <c r="TW33" s="424"/>
      <c r="TX33" s="82">
        <f>ROW()</f>
        <v>33</v>
      </c>
      <c r="TY33" s="17" t="s">
        <v>914</v>
      </c>
      <c r="TZ33" s="17"/>
      <c r="UA33" s="78">
        <v>-129012602</v>
      </c>
      <c r="UB33" s="651">
        <f>-UA33</f>
        <v>129012602</v>
      </c>
      <c r="UC33" s="651"/>
      <c r="UD33" s="651"/>
      <c r="UE33" s="651"/>
      <c r="UF33" s="651"/>
      <c r="UG33" s="651"/>
      <c r="UH33" s="651"/>
      <c r="UI33" s="651"/>
      <c r="UJ33" s="651"/>
      <c r="UK33" s="651"/>
      <c r="UL33" s="651"/>
      <c r="UM33" s="651"/>
      <c r="UN33" s="651"/>
      <c r="UO33" s="651"/>
      <c r="UR33" s="1559"/>
      <c r="US33" s="1559"/>
      <c r="UT33" s="20"/>
      <c r="UU33" s="20"/>
      <c r="UV33" s="20"/>
      <c r="UW33" s="939"/>
      <c r="UX33" s="940"/>
      <c r="UY33" s="100"/>
      <c r="UZ33" s="100"/>
      <c r="VA33" s="100"/>
      <c r="VB33" s="100"/>
      <c r="VC33" s="100"/>
      <c r="VD33" s="100"/>
    </row>
    <row r="34" spans="1:576" ht="15.75" thickTop="1" x14ac:dyDescent="0.25">
      <c r="A34" s="22">
        <f>ROW()</f>
        <v>34</v>
      </c>
      <c r="B34"/>
      <c r="C34" s="88"/>
      <c r="D34" s="1392"/>
      <c r="E34" s="1392"/>
      <c r="F34" s="880"/>
      <c r="G34" s="641"/>
      <c r="H34" s="880"/>
      <c r="I34" s="641"/>
      <c r="J34" s="1052"/>
      <c r="K34" s="641"/>
      <c r="L34" s="1617"/>
      <c r="M34" s="641"/>
      <c r="N34" s="1394"/>
      <c r="O34" s="619"/>
      <c r="P34" s="1394"/>
      <c r="Q34" s="619"/>
      <c r="R34" s="1394"/>
      <c r="S34" s="22">
        <f>ROW()</f>
        <v>34</v>
      </c>
      <c r="T34" s="1183"/>
      <c r="U34" s="603"/>
      <c r="V34" s="63"/>
      <c r="W34" s="74"/>
      <c r="AL34" s="1518"/>
      <c r="AM34" s="30"/>
      <c r="AN34" s="591"/>
      <c r="AO34" s="591"/>
      <c r="AP34" s="591"/>
      <c r="AQ34" s="1632">
        <v>-54372013.907062724</v>
      </c>
      <c r="AR34" s="1631">
        <v>187995441.67937583</v>
      </c>
      <c r="AS34" s="1631"/>
      <c r="AT34" s="1631"/>
      <c r="AU34" s="1631"/>
      <c r="AV34" s="1631"/>
      <c r="AW34" s="1631"/>
      <c r="AX34" s="1631"/>
      <c r="AY34" s="51"/>
      <c r="AZ34" s="51"/>
      <c r="BA34" s="51"/>
      <c r="BB34" s="51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V34"/>
      <c r="BW34"/>
      <c r="BX34"/>
      <c r="BY34"/>
      <c r="BZ34"/>
      <c r="CA34"/>
      <c r="CB34"/>
      <c r="DE34" s="1"/>
      <c r="DF34" s="1"/>
      <c r="DG34" s="1"/>
      <c r="DH34" s="1"/>
      <c r="DI34" s="1"/>
      <c r="DJ34" s="1"/>
      <c r="DK34" s="1"/>
      <c r="DL34" s="1"/>
      <c r="FY34" s="523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Q34" s="22">
        <f>ROW()</f>
        <v>34</v>
      </c>
      <c r="GR34" s="4" t="s">
        <v>283</v>
      </c>
      <c r="GS34" s="798">
        <v>0.21</v>
      </c>
      <c r="GT34" s="724">
        <f t="shared" ref="GT34:HH34" si="108">-GT32*$GS$34</f>
        <v>-757207.33414407761</v>
      </c>
      <c r="GU34" s="724">
        <f t="shared" si="108"/>
        <v>-40170.173731141091</v>
      </c>
      <c r="GV34" s="724">
        <f t="shared" si="108"/>
        <v>-797377.50787521875</v>
      </c>
      <c r="GW34" s="724">
        <f t="shared" si="108"/>
        <v>0</v>
      </c>
      <c r="GX34" s="724">
        <f t="shared" si="108"/>
        <v>-797377.50787521875</v>
      </c>
      <c r="GY34" s="724">
        <f t="shared" si="108"/>
        <v>0</v>
      </c>
      <c r="GZ34" s="724">
        <f t="shared" si="108"/>
        <v>-797377.50787521875</v>
      </c>
      <c r="HA34" s="724">
        <f t="shared" si="108"/>
        <v>0</v>
      </c>
      <c r="HB34" s="724">
        <f t="shared" si="108"/>
        <v>-797377.50787521875</v>
      </c>
      <c r="HC34" s="724">
        <f t="shared" si="108"/>
        <v>0</v>
      </c>
      <c r="HD34" s="724">
        <f t="shared" si="108"/>
        <v>-797377.50787521875</v>
      </c>
      <c r="HE34" s="724">
        <f t="shared" si="108"/>
        <v>0</v>
      </c>
      <c r="HF34" s="724">
        <f t="shared" si="108"/>
        <v>0</v>
      </c>
      <c r="HG34" s="724">
        <f t="shared" si="108"/>
        <v>0</v>
      </c>
      <c r="HH34" s="724">
        <f t="shared" si="108"/>
        <v>0</v>
      </c>
      <c r="IS34"/>
      <c r="IT34"/>
      <c r="IU34"/>
      <c r="IV34"/>
      <c r="IW34"/>
      <c r="IX34"/>
      <c r="IY34"/>
      <c r="IZ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LP34" s="317"/>
      <c r="LQ34" s="317"/>
      <c r="LR34" s="317"/>
      <c r="LS34" s="317"/>
      <c r="LT34" s="317"/>
      <c r="LU34" s="317"/>
      <c r="LV34" s="317"/>
      <c r="LW34" s="317"/>
      <c r="LX34" s="317"/>
      <c r="LY34" s="317"/>
      <c r="LZ34" s="317"/>
      <c r="MA34" s="317"/>
      <c r="MB34" s="317"/>
      <c r="MC34" s="317"/>
      <c r="MD34" s="317"/>
      <c r="ME34" s="22">
        <f>ROW()</f>
        <v>34</v>
      </c>
      <c r="MF34" s="555" t="s">
        <v>913</v>
      </c>
      <c r="MH34" s="549">
        <f t="shared" ref="MH34:MR34" si="109">-MH27</f>
        <v>-194187256.84186488</v>
      </c>
      <c r="MI34" s="549">
        <f t="shared" si="109"/>
        <v>-8638418.5426058415</v>
      </c>
      <c r="MJ34" s="549">
        <f t="shared" si="109"/>
        <v>-202825675.3844707</v>
      </c>
      <c r="MK34" s="549">
        <f t="shared" si="109"/>
        <v>0</v>
      </c>
      <c r="ML34" s="549">
        <f t="shared" si="109"/>
        <v>-202825675.3844707</v>
      </c>
      <c r="MM34" s="549">
        <f t="shared" si="109"/>
        <v>0</v>
      </c>
      <c r="MN34" s="549">
        <f t="shared" si="109"/>
        <v>-202825675.3844707</v>
      </c>
      <c r="MO34" s="549">
        <f t="shared" si="109"/>
        <v>0</v>
      </c>
      <c r="MP34" s="549">
        <f t="shared" si="109"/>
        <v>-202825675.3844707</v>
      </c>
      <c r="MQ34" s="549">
        <f t="shared" si="109"/>
        <v>0</v>
      </c>
      <c r="MR34" s="549">
        <f t="shared" si="109"/>
        <v>-202825675.3844707</v>
      </c>
      <c r="MS34" s="549"/>
      <c r="MT34" s="549"/>
      <c r="MU34" s="549"/>
      <c r="MV34" s="549"/>
      <c r="MW34" s="22"/>
      <c r="MX34" s="1569"/>
      <c r="MY34" s="99"/>
      <c r="MZ34" s="21"/>
      <c r="NA34" s="21"/>
      <c r="NB34" s="21"/>
      <c r="NC34" s="1608">
        <v>0</v>
      </c>
      <c r="ND34" s="1608">
        <v>5280909.4204400005</v>
      </c>
      <c r="NE34" s="1608">
        <v>0</v>
      </c>
      <c r="NF34" s="1608">
        <v>5280909.4204400005</v>
      </c>
      <c r="NG34" s="1608">
        <v>0</v>
      </c>
      <c r="NH34" s="1608">
        <v>5280909.4204400005</v>
      </c>
      <c r="NI34" s="1608">
        <v>0</v>
      </c>
      <c r="NJ34" s="1608">
        <v>5280909.4204400005</v>
      </c>
      <c r="NO34" s="30"/>
      <c r="NP34" s="1194"/>
      <c r="NQ34" s="547"/>
      <c r="NR34" s="800"/>
      <c r="NS34" s="800"/>
      <c r="NT34" s="800"/>
      <c r="NU34" s="800"/>
      <c r="NV34" s="800"/>
      <c r="NW34" s="800"/>
      <c r="NX34" s="800"/>
      <c r="NY34" s="800"/>
      <c r="NZ34" s="800"/>
      <c r="OA34" s="800"/>
      <c r="OB34" s="800"/>
      <c r="OG34" s="482">
        <f>ROW()</f>
        <v>34</v>
      </c>
      <c r="OH34" s="1" t="s">
        <v>283</v>
      </c>
      <c r="OI34" s="731">
        <v>0.21</v>
      </c>
      <c r="OJ34" s="685">
        <f>OJ32*-$OI$34</f>
        <v>-610284.41040000005</v>
      </c>
      <c r="OK34" s="685">
        <f>OK32*-$OI$34</f>
        <v>0</v>
      </c>
      <c r="OL34" s="685">
        <f>OL32*-$OI$34</f>
        <v>-610284.41040000005</v>
      </c>
      <c r="OM34" s="685">
        <f>OM32*-$OI$34</f>
        <v>610284.41040000005</v>
      </c>
      <c r="ON34" s="667"/>
      <c r="OO34" s="685"/>
      <c r="OP34" s="685"/>
      <c r="OQ34" s="685"/>
      <c r="OR34" s="685"/>
      <c r="OS34" s="685"/>
      <c r="OT34" s="685"/>
      <c r="OU34" s="667"/>
      <c r="OV34" s="667"/>
      <c r="OW34" s="667"/>
      <c r="OX34" s="667"/>
      <c r="OY34" s="22">
        <f>ROW()</f>
        <v>34</v>
      </c>
      <c r="OZ34" s="480"/>
      <c r="PA34" s="644"/>
      <c r="PB34" s="1438"/>
      <c r="PC34" s="1438"/>
      <c r="PD34" s="1438"/>
      <c r="PE34" s="1438"/>
      <c r="PF34" s="1451"/>
      <c r="PG34" s="1451"/>
      <c r="PH34" s="1451"/>
      <c r="PI34" s="1442"/>
      <c r="PJ34" s="1442"/>
      <c r="PK34" s="1442"/>
      <c r="PL34" s="1442"/>
      <c r="PM34" s="1613"/>
      <c r="PN34" s="1613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J34" s="424"/>
      <c r="QK34" s="424"/>
      <c r="QL34" s="424"/>
      <c r="QM34" s="424"/>
      <c r="QN34" s="424"/>
      <c r="QO34" s="424"/>
      <c r="QP34" s="424"/>
      <c r="QQ34" s="424"/>
      <c r="QR34" s="424"/>
      <c r="QS34" s="424"/>
      <c r="QT34" s="424"/>
      <c r="QU34" s="424"/>
      <c r="QV34" s="424"/>
      <c r="QW34" s="424"/>
      <c r="QX34" s="424"/>
      <c r="QY34" s="424"/>
      <c r="QZ34" s="424"/>
      <c r="RA34" s="424"/>
      <c r="RB34" s="394">
        <f>ROW()</f>
        <v>34</v>
      </c>
      <c r="RC34" s="616" t="s">
        <v>912</v>
      </c>
      <c r="RD34" s="616"/>
      <c r="RE34" s="1475"/>
      <c r="RF34" s="1475"/>
      <c r="RG34" s="1475">
        <v>-2136606366.3511758</v>
      </c>
      <c r="RH34" s="1475">
        <v>-87066192.781679153</v>
      </c>
      <c r="RI34" s="1475">
        <f>RG34+RH34</f>
        <v>-2223672559.1328549</v>
      </c>
      <c r="RJ34" s="1475">
        <v>-192199558.02446508</v>
      </c>
      <c r="RK34" s="1475">
        <f>RI34+RJ34</f>
        <v>-2415872117.15732</v>
      </c>
      <c r="RL34" s="1475">
        <v>-130226967.27970982</v>
      </c>
      <c r="RM34" s="1475">
        <f>RK34+RL34</f>
        <v>-2546099084.4370298</v>
      </c>
      <c r="RN34" s="1475">
        <v>-255077277.02818441</v>
      </c>
      <c r="RO34" s="1475">
        <f>RM34+RN34</f>
        <v>-2801176361.4652143</v>
      </c>
      <c r="RP34" s="1475"/>
      <c r="RQ34" s="1475"/>
      <c r="RR34" s="1475"/>
      <c r="RS34" s="1475"/>
      <c r="RT34" s="521">
        <f>ROW()</f>
        <v>34</v>
      </c>
      <c r="RU34" s="616" t="s">
        <v>392</v>
      </c>
      <c r="RV34" s="520"/>
      <c r="RW34" s="745"/>
      <c r="RX34" s="745"/>
      <c r="RY34" s="745"/>
      <c r="RZ34" s="745">
        <v>0</v>
      </c>
      <c r="SA34" s="745">
        <v>0</v>
      </c>
      <c r="SB34" s="745">
        <v>0</v>
      </c>
      <c r="SC34" s="745">
        <v>0</v>
      </c>
      <c r="SD34" s="745">
        <v>0</v>
      </c>
      <c r="SE34" s="745">
        <v>0</v>
      </c>
      <c r="SF34" s="745">
        <v>0</v>
      </c>
      <c r="SG34" s="745">
        <v>0</v>
      </c>
      <c r="SH34" s="745"/>
      <c r="SI34" s="745"/>
      <c r="SJ34" s="745"/>
      <c r="SK34" s="745"/>
      <c r="SL34" s="82">
        <f>ROW()</f>
        <v>34</v>
      </c>
      <c r="SM34" s="616" t="s">
        <v>866</v>
      </c>
      <c r="SN34" s="1484"/>
      <c r="SO34" s="653"/>
      <c r="SP34" s="653"/>
      <c r="SQ34" s="653"/>
      <c r="SR34" s="653">
        <v>403751.6999999999</v>
      </c>
      <c r="SS34" s="1475">
        <f>SR34</f>
        <v>403751.6999999999</v>
      </c>
      <c r="ST34" s="653">
        <v>2788911.22</v>
      </c>
      <c r="SU34" s="1475">
        <f>ST34+SS34</f>
        <v>3192662.92</v>
      </c>
      <c r="SV34" s="1475">
        <v>4652973.419999999</v>
      </c>
      <c r="SW34" s="1475">
        <f>SV34+SU34</f>
        <v>7845636.3399999989</v>
      </c>
      <c r="SX34" s="1475">
        <v>2294484.3099999977</v>
      </c>
      <c r="SY34" s="1475">
        <f>SX34+SW34</f>
        <v>10140120.649999997</v>
      </c>
      <c r="SZ34" s="1475"/>
      <c r="TA34" s="1475"/>
      <c r="TB34" s="1474"/>
      <c r="TC34" s="1474"/>
      <c r="TD34" s="424"/>
      <c r="TE34" s="82">
        <f>ROW()</f>
        <v>34</v>
      </c>
      <c r="TK34"/>
      <c r="TL34"/>
      <c r="TM34"/>
      <c r="TN34"/>
      <c r="TO34"/>
      <c r="TP34"/>
      <c r="TQ34"/>
      <c r="TR34"/>
      <c r="TS34"/>
      <c r="TT34"/>
      <c r="TU34"/>
      <c r="TV34"/>
      <c r="TW34" s="424"/>
      <c r="TX34" s="82">
        <f>ROW()</f>
        <v>34</v>
      </c>
      <c r="TY34" s="1630" t="s">
        <v>265</v>
      </c>
      <c r="TZ34" s="17"/>
      <c r="UA34" s="1629">
        <f>SUM(UA27:UA33)</f>
        <v>-2155587.5129999965</v>
      </c>
      <c r="UB34" s="651">
        <f>SUM(UB27:UB33)</f>
        <v>2155587.5129999965</v>
      </c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R34" s="1238"/>
      <c r="US34" s="1557"/>
      <c r="UT34" s="100"/>
      <c r="UU34" s="942"/>
      <c r="UV34" s="100"/>
      <c r="UW34" s="100"/>
      <c r="UX34" s="100"/>
      <c r="UY34" s="100"/>
      <c r="UZ34" s="100"/>
      <c r="VA34" s="100"/>
      <c r="VB34" s="100"/>
      <c r="VC34" s="100"/>
      <c r="VD34" s="100"/>
    </row>
    <row r="35" spans="1:576" ht="15.75" thickBot="1" x14ac:dyDescent="0.3">
      <c r="A35" s="22">
        <f>ROW()</f>
        <v>35</v>
      </c>
      <c r="B35" t="s">
        <v>911</v>
      </c>
      <c r="C35" s="88"/>
      <c r="D35" s="1392"/>
      <c r="E35" s="1392"/>
      <c r="F35" s="1396"/>
      <c r="G35" s="1397"/>
      <c r="H35" s="1396"/>
      <c r="I35" s="641">
        <v>-10379439.36891593</v>
      </c>
      <c r="J35" s="1052"/>
      <c r="K35" s="641">
        <v>-8527588.8853307366</v>
      </c>
      <c r="L35" s="1628"/>
      <c r="M35" s="641">
        <v>-2749024.8067777134</v>
      </c>
      <c r="N35" s="1394"/>
      <c r="O35" s="619"/>
      <c r="P35" s="1394"/>
      <c r="Q35" s="619"/>
      <c r="R35" s="1394"/>
      <c r="S35" s="22">
        <f>ROW()</f>
        <v>35</v>
      </c>
      <c r="T35" s="689" t="s">
        <v>281</v>
      </c>
      <c r="U35" s="1627"/>
      <c r="V35" s="690"/>
      <c r="W35" s="74"/>
      <c r="AK35" s="22"/>
      <c r="AL35" s="1527"/>
      <c r="AM35" s="1189"/>
      <c r="AN35" s="1189"/>
      <c r="AO35" s="1189"/>
      <c r="AP35" s="1189"/>
      <c r="AQ35" s="1626"/>
      <c r="AR35" s="1626"/>
      <c r="AS35" s="1626"/>
      <c r="AT35" s="1626"/>
      <c r="AU35" s="1626"/>
      <c r="AV35" s="1626"/>
      <c r="AW35" s="1626"/>
      <c r="AX35" s="1626"/>
      <c r="AY35" s="50"/>
      <c r="AZ35" s="50"/>
      <c r="BA35" s="50"/>
      <c r="BB35" s="50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V35"/>
      <c r="BW35"/>
      <c r="BX35"/>
      <c r="BY35"/>
      <c r="BZ35"/>
      <c r="CA35"/>
      <c r="CB35"/>
      <c r="DE35" s="1"/>
      <c r="DF35" s="1"/>
      <c r="DG35" s="1"/>
      <c r="DH35" s="1"/>
      <c r="DI35" s="1"/>
      <c r="DJ35" s="1"/>
      <c r="DK35" s="1"/>
      <c r="DL35" s="1"/>
      <c r="FY35" s="3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42"/>
      <c r="GN35" s="42"/>
      <c r="GO35" s="42"/>
      <c r="GP35" s="42"/>
      <c r="GQ35" s="22">
        <f>ROW()</f>
        <v>35</v>
      </c>
      <c r="GR35" s="4"/>
      <c r="GS35" s="480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IS35"/>
      <c r="IT35"/>
      <c r="IU35"/>
      <c r="IV35"/>
      <c r="IW35"/>
      <c r="IX35"/>
      <c r="IY35"/>
      <c r="IZ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LP35" s="317"/>
      <c r="LQ35" s="317"/>
      <c r="LR35" s="317"/>
      <c r="LS35" s="317"/>
      <c r="LT35" s="317"/>
      <c r="LU35" s="317"/>
      <c r="LV35" s="317"/>
      <c r="LW35" s="317"/>
      <c r="LX35" s="317"/>
      <c r="LY35" s="317"/>
      <c r="LZ35" s="317"/>
      <c r="MA35" s="317"/>
      <c r="MB35" s="317"/>
      <c r="MC35" s="317"/>
      <c r="MD35" s="317"/>
      <c r="ME35" s="22">
        <f>ROW()</f>
        <v>35</v>
      </c>
      <c r="MF35" s="555" t="s">
        <v>394</v>
      </c>
      <c r="MH35" s="50">
        <f>-MH29</f>
        <v>40779323.936791621</v>
      </c>
      <c r="MI35" s="50">
        <f>-MI29</f>
        <v>1814067.8939472267</v>
      </c>
      <c r="MJ35" s="50">
        <f>MH35+MI35</f>
        <v>42593391.83073885</v>
      </c>
      <c r="MK35" s="50"/>
      <c r="ML35" s="50">
        <f>MK35+MJ35</f>
        <v>42593391.83073885</v>
      </c>
      <c r="MM35" s="50"/>
      <c r="MN35" s="50">
        <f>MM35+ML35</f>
        <v>42593391.83073885</v>
      </c>
      <c r="MO35" s="50"/>
      <c r="MP35" s="50">
        <f>MO35+MN35</f>
        <v>42593391.83073885</v>
      </c>
      <c r="MQ35" s="50"/>
      <c r="MR35" s="50">
        <f>MQ35+MP35</f>
        <v>42593391.83073885</v>
      </c>
      <c r="MS35" s="50"/>
      <c r="MT35" s="50"/>
      <c r="MU35" s="50"/>
      <c r="MV35" s="50"/>
      <c r="MW35" s="22"/>
      <c r="MX35" s="1569"/>
      <c r="MY35" s="99"/>
      <c r="MZ35" s="20"/>
      <c r="NA35" s="20"/>
      <c r="NB35" s="20"/>
      <c r="NC35" s="1528"/>
      <c r="ND35" s="1528"/>
      <c r="NE35" s="1528"/>
      <c r="NF35" s="1528"/>
      <c r="NG35" s="1528"/>
      <c r="NH35" s="1528"/>
      <c r="NI35" s="1528"/>
      <c r="NJ35" s="1528"/>
      <c r="NO35" s="30"/>
      <c r="NP35" s="881"/>
      <c r="NQ35" s="20"/>
      <c r="NR35" s="619"/>
      <c r="NS35" s="619"/>
      <c r="NT35" s="619"/>
      <c r="NU35" s="619"/>
      <c r="NV35" s="619"/>
      <c r="NW35" s="619"/>
      <c r="NX35" s="619"/>
      <c r="NY35" s="640"/>
      <c r="NZ35" s="619"/>
      <c r="OA35" s="640"/>
      <c r="OB35" s="619"/>
      <c r="OC35" s="1521"/>
      <c r="OD35" s="1521"/>
      <c r="OE35" s="1521"/>
      <c r="OF35" s="1521"/>
      <c r="OG35" s="482">
        <f>ROW()</f>
        <v>35</v>
      </c>
      <c r="OH35" s="1" t="s">
        <v>240</v>
      </c>
      <c r="OJ35" s="835">
        <f>-OJ32-OJ34</f>
        <v>-2295831.8296000003</v>
      </c>
      <c r="OK35" s="835">
        <f>-OK32-OK34</f>
        <v>0</v>
      </c>
      <c r="OL35" s="835">
        <f>-OL32-OL34</f>
        <v>-2295831.8296000003</v>
      </c>
      <c r="OM35" s="835">
        <f>-OM32-OM34</f>
        <v>2295831.8296000003</v>
      </c>
      <c r="ON35" s="835">
        <f>-ON32-ON34</f>
        <v>0</v>
      </c>
      <c r="OO35" s="835"/>
      <c r="OP35" s="835"/>
      <c r="OQ35" s="835"/>
      <c r="OR35" s="835"/>
      <c r="OS35" s="835"/>
      <c r="OT35" s="835"/>
      <c r="OU35" s="660"/>
      <c r="OV35" s="660"/>
      <c r="OW35" s="660"/>
      <c r="OX35" s="660"/>
      <c r="OY35" s="22">
        <f>ROW()</f>
        <v>35</v>
      </c>
      <c r="OZ35" s="480" t="s">
        <v>330</v>
      </c>
      <c r="PA35" s="480"/>
      <c r="PB35" s="1625">
        <f t="shared" ref="PB35:PL35" si="110">PB21+PB27+PB33</f>
        <v>89825208.871648416</v>
      </c>
      <c r="PC35" s="1625">
        <f t="shared" si="110"/>
        <v>-57834387.276298791</v>
      </c>
      <c r="PD35" s="1625">
        <f t="shared" si="110"/>
        <v>31990821.595349636</v>
      </c>
      <c r="PE35" s="1625">
        <f t="shared" si="110"/>
        <v>57834387.276298791</v>
      </c>
      <c r="PF35" s="1624">
        <f t="shared" si="110"/>
        <v>89825208.871648416</v>
      </c>
      <c r="PG35" s="1624">
        <f t="shared" si="110"/>
        <v>0</v>
      </c>
      <c r="PH35" s="1624">
        <f t="shared" si="110"/>
        <v>89825208.871648416</v>
      </c>
      <c r="PI35" s="1623">
        <f t="shared" si="110"/>
        <v>0</v>
      </c>
      <c r="PJ35" s="1623">
        <f t="shared" si="110"/>
        <v>89825208.871648416</v>
      </c>
      <c r="PK35" s="1623">
        <f t="shared" si="110"/>
        <v>0</v>
      </c>
      <c r="PL35" s="1623">
        <f t="shared" si="110"/>
        <v>89825208.871648416</v>
      </c>
      <c r="PM35" s="1622"/>
      <c r="PN35" s="1622"/>
      <c r="PO35" s="1621">
        <f>PO21+PO27+PO33</f>
        <v>0</v>
      </c>
      <c r="PP35" s="1621">
        <f>PP21+PP27+PP33</f>
        <v>0</v>
      </c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J35" s="424"/>
      <c r="QK35" s="424"/>
      <c r="QL35" s="424"/>
      <c r="QM35" s="424"/>
      <c r="QN35" s="424"/>
      <c r="QO35" s="424"/>
      <c r="QP35" s="424"/>
      <c r="QQ35" s="424"/>
      <c r="QR35" s="424"/>
      <c r="QS35" s="424"/>
      <c r="QT35" s="424"/>
      <c r="QU35" s="424"/>
      <c r="QV35" s="424"/>
      <c r="QW35" s="424"/>
      <c r="QX35" s="424"/>
      <c r="QY35" s="424"/>
      <c r="QZ35" s="424"/>
      <c r="RA35" s="424"/>
      <c r="RB35" s="394">
        <f>ROW()</f>
        <v>35</v>
      </c>
      <c r="RC35" s="616" t="s">
        <v>394</v>
      </c>
      <c r="RD35" s="616"/>
      <c r="RE35" s="1620"/>
      <c r="RF35" s="1620"/>
      <c r="RG35" s="1469">
        <v>-593826321.05103397</v>
      </c>
      <c r="RH35" s="1619">
        <v>5244350.714984417</v>
      </c>
      <c r="RI35" s="1618">
        <f>RH35+RG35</f>
        <v>-588581970.33604956</v>
      </c>
      <c r="RJ35" s="1619">
        <v>19287721.371335626</v>
      </c>
      <c r="RK35" s="1618">
        <f>RJ35+RI35</f>
        <v>-569294248.96471393</v>
      </c>
      <c r="RL35" s="1619">
        <v>19575460.00133574</v>
      </c>
      <c r="RM35" s="1618">
        <f>RL35+RK35</f>
        <v>-549718788.96337819</v>
      </c>
      <c r="RN35" s="1619">
        <v>42934633.668347955</v>
      </c>
      <c r="RO35" s="1618">
        <f>RN35+RM35</f>
        <v>-506784155.29503024</v>
      </c>
      <c r="RP35" s="1618"/>
      <c r="RQ35" s="1618"/>
      <c r="RR35" s="1619"/>
      <c r="RS35" s="1618"/>
      <c r="RT35" s="521">
        <f>ROW()</f>
        <v>35</v>
      </c>
      <c r="RU35" s="616" t="s">
        <v>295</v>
      </c>
      <c r="RV35" s="520"/>
      <c r="RW35" s="819"/>
      <c r="RX35" s="819"/>
      <c r="RY35" s="819">
        <f t="shared" ref="RY35:SG35" si="111">SUM(RY32:RY34)</f>
        <v>0</v>
      </c>
      <c r="RZ35" s="819">
        <f t="shared" si="111"/>
        <v>42632.08</v>
      </c>
      <c r="SA35" s="819">
        <f t="shared" si="111"/>
        <v>42632.08</v>
      </c>
      <c r="SB35" s="819">
        <f t="shared" si="111"/>
        <v>297280.34000000003</v>
      </c>
      <c r="SC35" s="819">
        <f t="shared" si="111"/>
        <v>339912.42000000004</v>
      </c>
      <c r="SD35" s="819">
        <f t="shared" si="111"/>
        <v>424163.73</v>
      </c>
      <c r="SE35" s="819">
        <f t="shared" si="111"/>
        <v>764076.15</v>
      </c>
      <c r="SF35" s="819">
        <f t="shared" si="111"/>
        <v>1154341.1600000001</v>
      </c>
      <c r="SG35" s="819">
        <f t="shared" si="111"/>
        <v>1918417.31</v>
      </c>
      <c r="SH35" s="819"/>
      <c r="SI35" s="819"/>
      <c r="SJ35" s="819"/>
      <c r="SK35" s="819"/>
      <c r="SL35" s="82">
        <f>ROW()</f>
        <v>35</v>
      </c>
      <c r="SM35" s="616" t="s">
        <v>865</v>
      </c>
      <c r="SN35" s="1484"/>
      <c r="SO35" s="674"/>
      <c r="SP35" s="674"/>
      <c r="SQ35" s="674"/>
      <c r="SR35" s="674">
        <v>0</v>
      </c>
      <c r="SS35" s="1471">
        <f>SR35</f>
        <v>0</v>
      </c>
      <c r="ST35" s="674">
        <v>0</v>
      </c>
      <c r="SU35" s="1471">
        <f>ST35+SS35</f>
        <v>0</v>
      </c>
      <c r="SV35" s="1470">
        <v>0</v>
      </c>
      <c r="SW35" s="1470">
        <f>SV35+SU35</f>
        <v>0</v>
      </c>
      <c r="SX35" s="1470">
        <v>0</v>
      </c>
      <c r="SY35" s="1470">
        <f>SX35+SW35</f>
        <v>0</v>
      </c>
      <c r="SZ35" s="1470"/>
      <c r="TA35" s="1470"/>
      <c r="TB35" s="1470"/>
      <c r="TC35" s="1470"/>
      <c r="TD35" s="424"/>
      <c r="TE35" s="82">
        <f>ROW()</f>
        <v>35</v>
      </c>
      <c r="TK35"/>
      <c r="TL35"/>
      <c r="TM35"/>
      <c r="TN35"/>
      <c r="TO35"/>
      <c r="TP35"/>
      <c r="TQ35"/>
      <c r="TR35"/>
      <c r="TS35"/>
      <c r="TT35"/>
      <c r="TU35"/>
      <c r="TV35"/>
      <c r="TW35" s="424"/>
      <c r="TX35" s="82">
        <f>ROW()</f>
        <v>35</v>
      </c>
      <c r="TY35" s="555"/>
      <c r="UA35" s="78"/>
      <c r="UB35" s="78"/>
      <c r="UC35" s="78"/>
      <c r="UD35" s="78"/>
      <c r="UE35" s="78"/>
      <c r="UF35" s="78"/>
      <c r="UG35" s="78"/>
      <c r="UH35" s="78"/>
      <c r="UI35" s="78"/>
      <c r="UJ35" s="78"/>
      <c r="UK35" s="78"/>
      <c r="UL35" s="78"/>
      <c r="UM35" s="78"/>
      <c r="UN35" s="78"/>
      <c r="UO35" s="78"/>
      <c r="UR35" s="1556"/>
      <c r="US35" s="1555"/>
      <c r="UT35" s="100"/>
      <c r="UU35" s="100"/>
      <c r="UV35" s="100"/>
      <c r="UW35" s="100"/>
      <c r="UX35" s="100"/>
      <c r="UY35" s="100"/>
      <c r="UZ35" s="100"/>
      <c r="VA35" s="100"/>
      <c r="VB35" s="100"/>
      <c r="VC35" s="100"/>
      <c r="VD35" s="100"/>
    </row>
    <row r="36" spans="1:576" ht="16.5" thickTop="1" thickBot="1" x14ac:dyDescent="0.3">
      <c r="A36" s="22">
        <f>ROW()</f>
        <v>36</v>
      </c>
      <c r="D36" s="43"/>
      <c r="E36" s="43"/>
      <c r="F36" s="43"/>
      <c r="G36" s="43"/>
      <c r="H36" s="880"/>
      <c r="I36" s="730"/>
      <c r="J36" s="1052"/>
      <c r="K36" s="730"/>
      <c r="L36" s="1617"/>
      <c r="M36" s="730"/>
      <c r="N36" s="23"/>
      <c r="O36" s="23"/>
      <c r="P36" s="23"/>
      <c r="Q36" s="23"/>
      <c r="R36" s="23"/>
      <c r="S36" s="22">
        <f>ROW()</f>
        <v>36</v>
      </c>
      <c r="T36" s="603" t="s">
        <v>300</v>
      </c>
      <c r="U36" s="1426">
        <f>+'SEF-35'!$E$12</f>
        <v>2.8909999999999999E-3</v>
      </c>
      <c r="V36" s="668">
        <f t="shared" ref="V36:W38" si="112">SUM(V$17:V$22,V$24,V$28:V$32)*$U36</f>
        <v>2072558.6235161237</v>
      </c>
      <c r="W36" s="668">
        <f t="shared" si="112"/>
        <v>-2072558.6235161237</v>
      </c>
      <c r="X36" s="668">
        <f t="shared" ref="X36:AF38" si="113">SUM(X$17:X$21,X$28:X$32)*$U36</f>
        <v>0</v>
      </c>
      <c r="Y36" s="668">
        <f t="shared" si="113"/>
        <v>0</v>
      </c>
      <c r="Z36" s="668">
        <f t="shared" si="113"/>
        <v>0</v>
      </c>
      <c r="AA36" s="668">
        <f t="shared" si="113"/>
        <v>0</v>
      </c>
      <c r="AB36" s="668">
        <f t="shared" si="113"/>
        <v>0</v>
      </c>
      <c r="AC36" s="668">
        <f t="shared" si="113"/>
        <v>0</v>
      </c>
      <c r="AD36" s="668">
        <f t="shared" si="113"/>
        <v>0</v>
      </c>
      <c r="AE36" s="668">
        <f t="shared" si="113"/>
        <v>0</v>
      </c>
      <c r="AF36" s="668">
        <f t="shared" si="113"/>
        <v>0</v>
      </c>
      <c r="AG36" s="668"/>
      <c r="AH36" s="668"/>
      <c r="AI36" s="668"/>
      <c r="AJ36" s="668"/>
      <c r="AK36" s="22"/>
      <c r="AL36" s="1518"/>
      <c r="AM36" s="776"/>
      <c r="AN36" s="1190"/>
      <c r="AO36" s="1190"/>
      <c r="AP36" s="1190"/>
      <c r="AQ36" s="1616">
        <v>0.43139575372241279</v>
      </c>
      <c r="AR36" s="1616">
        <v>0.43139575372241279</v>
      </c>
      <c r="AS36" s="1616"/>
      <c r="AT36" s="1616"/>
      <c r="AU36" s="1616"/>
      <c r="AV36" s="1616"/>
      <c r="AW36" s="1616"/>
      <c r="AX36" s="1616"/>
      <c r="AY36" s="21"/>
      <c r="AZ36" s="21"/>
      <c r="BA36" s="21"/>
      <c r="BB36" s="21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V36"/>
      <c r="BW36"/>
      <c r="BX36"/>
      <c r="BY36"/>
      <c r="BZ36"/>
      <c r="CA36"/>
      <c r="CB36"/>
      <c r="DE36" s="1"/>
      <c r="DF36" s="1"/>
      <c r="DG36" s="1"/>
      <c r="DH36" s="1"/>
      <c r="DI36" s="1"/>
      <c r="DJ36" s="1"/>
      <c r="DK36" s="1"/>
      <c r="DL36" s="1"/>
      <c r="FY36" s="30"/>
      <c r="FZ36" s="1217"/>
      <c r="GA36" s="20"/>
      <c r="GB36" s="543"/>
      <c r="GC36" s="543"/>
      <c r="GD36" s="543"/>
      <c r="GE36" s="543"/>
      <c r="GF36" s="543"/>
      <c r="GG36" s="543"/>
      <c r="GH36" s="543"/>
      <c r="GI36" s="543"/>
      <c r="GJ36" s="543"/>
      <c r="GK36" s="543"/>
      <c r="GL36" s="543"/>
      <c r="GQ36" s="22">
        <f>ROW()</f>
        <v>36</v>
      </c>
      <c r="GR36" s="480" t="s">
        <v>240</v>
      </c>
      <c r="GS36" s="480"/>
      <c r="GT36" s="725">
        <f t="shared" ref="GT36:HH36" si="114">-GT32-GT34</f>
        <v>-2848541.8760658158</v>
      </c>
      <c r="GU36" s="725">
        <f t="shared" si="114"/>
        <v>-151116.36784572125</v>
      </c>
      <c r="GV36" s="725">
        <f t="shared" si="114"/>
        <v>-2999658.2439115373</v>
      </c>
      <c r="GW36" s="725">
        <f t="shared" si="114"/>
        <v>0</v>
      </c>
      <c r="GX36" s="725">
        <f t="shared" si="114"/>
        <v>-2999658.2439115373</v>
      </c>
      <c r="GY36" s="725">
        <f t="shared" si="114"/>
        <v>0</v>
      </c>
      <c r="GZ36" s="725">
        <f t="shared" si="114"/>
        <v>-2999658.2439115373</v>
      </c>
      <c r="HA36" s="725">
        <f t="shared" si="114"/>
        <v>0</v>
      </c>
      <c r="HB36" s="725">
        <f t="shared" si="114"/>
        <v>-2999658.2439115373</v>
      </c>
      <c r="HC36" s="725">
        <f t="shared" si="114"/>
        <v>0</v>
      </c>
      <c r="HD36" s="725">
        <f t="shared" si="114"/>
        <v>-2999658.2439115373</v>
      </c>
      <c r="HE36" s="725">
        <f t="shared" si="114"/>
        <v>0</v>
      </c>
      <c r="HF36" s="725">
        <f t="shared" si="114"/>
        <v>0</v>
      </c>
      <c r="HG36" s="725">
        <f t="shared" si="114"/>
        <v>0</v>
      </c>
      <c r="HH36" s="725">
        <f t="shared" si="114"/>
        <v>0</v>
      </c>
      <c r="IS36"/>
      <c r="IT36"/>
      <c r="IU36"/>
      <c r="IV36"/>
      <c r="IW36"/>
      <c r="IX36"/>
      <c r="IY36"/>
      <c r="IZ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LP36" s="317"/>
      <c r="LQ36" s="317"/>
      <c r="LR36" s="317"/>
      <c r="LS36" s="317"/>
      <c r="LT36" s="317"/>
      <c r="LU36" s="317"/>
      <c r="LV36" s="317"/>
      <c r="LW36" s="317"/>
      <c r="LX36" s="317"/>
      <c r="LY36" s="317"/>
      <c r="LZ36" s="317"/>
      <c r="MA36" s="317"/>
      <c r="MB36" s="317"/>
      <c r="MC36" s="317"/>
      <c r="MD36" s="317"/>
      <c r="ME36" s="22">
        <f>ROW()</f>
        <v>36</v>
      </c>
      <c r="MF36" s="555" t="s">
        <v>295</v>
      </c>
      <c r="MH36" s="635">
        <f t="shared" ref="MH36:MR36" si="115">SUM(MH34:MH35)</f>
        <v>-153407932.90507326</v>
      </c>
      <c r="MI36" s="635">
        <f t="shared" si="115"/>
        <v>-6824350.6486586146</v>
      </c>
      <c r="MJ36" s="635">
        <f t="shared" si="115"/>
        <v>-160232283.55373186</v>
      </c>
      <c r="MK36" s="635">
        <f t="shared" si="115"/>
        <v>0</v>
      </c>
      <c r="ML36" s="635">
        <f t="shared" si="115"/>
        <v>-160232283.55373186</v>
      </c>
      <c r="MM36" s="635">
        <f t="shared" si="115"/>
        <v>0</v>
      </c>
      <c r="MN36" s="635">
        <f t="shared" si="115"/>
        <v>-160232283.55373186</v>
      </c>
      <c r="MO36" s="635">
        <f t="shared" si="115"/>
        <v>0</v>
      </c>
      <c r="MP36" s="635">
        <f t="shared" si="115"/>
        <v>-160232283.55373186</v>
      </c>
      <c r="MQ36" s="635">
        <f t="shared" si="115"/>
        <v>0</v>
      </c>
      <c r="MR36" s="635">
        <f t="shared" si="115"/>
        <v>-160232283.55373186</v>
      </c>
      <c r="MS36" s="635"/>
      <c r="MT36" s="635"/>
      <c r="MU36" s="635"/>
      <c r="MV36" s="635"/>
      <c r="MW36" s="22"/>
      <c r="MX36" s="1562"/>
      <c r="MY36" s="99"/>
      <c r="MZ36" s="21"/>
      <c r="NA36" s="21"/>
      <c r="NB36" s="21"/>
      <c r="NC36" s="1528">
        <v>0</v>
      </c>
      <c r="ND36" s="1528">
        <v>5280909.4204400005</v>
      </c>
      <c r="NE36" s="1528">
        <v>0</v>
      </c>
      <c r="NF36" s="1528">
        <v>5280909.4204400005</v>
      </c>
      <c r="NG36" s="1528">
        <v>0</v>
      </c>
      <c r="NH36" s="1528">
        <v>5280909.4204400005</v>
      </c>
      <c r="NI36" s="1528">
        <v>0</v>
      </c>
      <c r="NJ36" s="1528">
        <v>5280909.4204400005</v>
      </c>
      <c r="NO36" s="30"/>
      <c r="NP36" s="842"/>
      <c r="NQ36" s="20"/>
      <c r="NR36" s="619"/>
      <c r="NS36" s="619"/>
      <c r="NT36" s="619"/>
      <c r="NU36" s="619"/>
      <c r="NV36" s="619"/>
      <c r="NW36" s="619"/>
      <c r="NX36" s="619"/>
      <c r="NY36" s="640"/>
      <c r="NZ36" s="619"/>
      <c r="OA36" s="640"/>
      <c r="OB36" s="619"/>
      <c r="OC36" s="1521"/>
      <c r="OD36" s="1521"/>
      <c r="OE36" s="1521"/>
      <c r="OF36" s="1521"/>
      <c r="OG36" s="482">
        <f>ROW()</f>
        <v>36</v>
      </c>
      <c r="OJ36" s="616"/>
      <c r="OK36" s="616"/>
      <c r="OL36" s="616"/>
      <c r="OM36" s="616"/>
      <c r="ON36" s="616"/>
      <c r="OO36" s="616"/>
      <c r="OP36" s="616"/>
      <c r="OQ36" s="616"/>
      <c r="OR36" s="616"/>
      <c r="OS36" s="616"/>
      <c r="OT36" s="616"/>
      <c r="OU36" s="818"/>
      <c r="OV36" s="818"/>
      <c r="OW36" s="818"/>
      <c r="OX36" s="818"/>
      <c r="OY36" s="22">
        <f>ROW()</f>
        <v>36</v>
      </c>
      <c r="OZ36" s="802"/>
      <c r="PA36" s="802"/>
      <c r="PB36" s="846"/>
      <c r="PC36" s="846"/>
      <c r="PD36" s="846"/>
      <c r="PE36" s="846"/>
      <c r="PF36" s="846"/>
      <c r="PG36" s="846"/>
      <c r="PH36" s="846"/>
      <c r="PI36" s="846"/>
      <c r="PJ36" s="846"/>
      <c r="PK36" s="846"/>
      <c r="PL36" s="846"/>
      <c r="PM36" s="846"/>
      <c r="PN36" s="846"/>
      <c r="PO36" s="63"/>
      <c r="PP36" s="63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J36" s="424"/>
      <c r="QK36" s="424"/>
      <c r="QL36" s="424"/>
      <c r="QM36" s="424"/>
      <c r="QN36" s="424"/>
      <c r="QO36" s="424"/>
      <c r="QP36" s="424"/>
      <c r="QQ36" s="424"/>
      <c r="QR36" s="424"/>
      <c r="QS36" s="424"/>
      <c r="QT36" s="424"/>
      <c r="QU36" s="424"/>
      <c r="QV36" s="424"/>
      <c r="QW36" s="424"/>
      <c r="QX36" s="424"/>
      <c r="QY36" s="424"/>
      <c r="QZ36" s="424"/>
      <c r="RA36" s="424"/>
      <c r="RB36" s="394">
        <f>ROW()</f>
        <v>36</v>
      </c>
      <c r="RC36" s="616" t="s">
        <v>295</v>
      </c>
      <c r="RD36" s="1615"/>
      <c r="RE36" s="1475"/>
      <c r="RF36" s="1475"/>
      <c r="RG36" s="1475">
        <f t="shared" ref="RG36:RO36" si="116">SUM(RG33:RG35)</f>
        <v>-2730432687.4022098</v>
      </c>
      <c r="RH36" s="1614">
        <f t="shared" si="116"/>
        <v>-81821842.066694736</v>
      </c>
      <c r="RI36" s="1614">
        <f t="shared" si="116"/>
        <v>-2812254529.4689045</v>
      </c>
      <c r="RJ36" s="1614">
        <f t="shared" si="116"/>
        <v>-172911836.65312946</v>
      </c>
      <c r="RK36" s="1614">
        <f t="shared" si="116"/>
        <v>-2985166366.1220341</v>
      </c>
      <c r="RL36" s="1614">
        <f t="shared" si="116"/>
        <v>-110651507.27837408</v>
      </c>
      <c r="RM36" s="1614">
        <f t="shared" si="116"/>
        <v>-3095817873.4004078</v>
      </c>
      <c r="RN36" s="1614">
        <f t="shared" si="116"/>
        <v>-212142643.35983646</v>
      </c>
      <c r="RO36" s="1614">
        <f t="shared" si="116"/>
        <v>-3307960516.7602444</v>
      </c>
      <c r="RP36" s="1614"/>
      <c r="RQ36" s="1614"/>
      <c r="RR36" s="1614"/>
      <c r="RS36" s="1614"/>
      <c r="RT36" s="616"/>
      <c r="RU36" s="616"/>
      <c r="RV36" s="616"/>
      <c r="RW36" s="616"/>
      <c r="RX36" s="616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82">
        <f>ROW()</f>
        <v>36</v>
      </c>
      <c r="SM36" s="616" t="s">
        <v>864</v>
      </c>
      <c r="SN36" s="1484"/>
      <c r="SO36" s="674"/>
      <c r="SP36" s="674"/>
      <c r="SQ36" s="674"/>
      <c r="SR36" s="674">
        <v>0</v>
      </c>
      <c r="SS36" s="1471">
        <f>SR36</f>
        <v>0</v>
      </c>
      <c r="ST36" s="674">
        <v>0</v>
      </c>
      <c r="SU36" s="1471">
        <f>ST36+SS36</f>
        <v>0</v>
      </c>
      <c r="SV36" s="1470">
        <v>0</v>
      </c>
      <c r="SW36" s="1470">
        <f>SV36+SU36</f>
        <v>0</v>
      </c>
      <c r="SX36" s="1470">
        <v>0</v>
      </c>
      <c r="SY36" s="1470">
        <f>SX36+SW36</f>
        <v>0</v>
      </c>
      <c r="SZ36" s="1470"/>
      <c r="TA36" s="1470"/>
      <c r="TB36" s="1470"/>
      <c r="TC36" s="1470"/>
      <c r="TD36" s="424"/>
      <c r="TE36" s="82">
        <f>ROW()</f>
        <v>36</v>
      </c>
      <c r="TK36"/>
      <c r="TL36"/>
      <c r="TM36"/>
      <c r="TN36"/>
      <c r="TO36"/>
      <c r="TP36"/>
      <c r="TQ36"/>
      <c r="TR36"/>
      <c r="TS36"/>
      <c r="TT36"/>
      <c r="TU36"/>
      <c r="TV36"/>
      <c r="TW36" s="424"/>
      <c r="TX36" s="82">
        <f>ROW()</f>
        <v>36</v>
      </c>
      <c r="TY36" s="555" t="s">
        <v>261</v>
      </c>
      <c r="UA36" s="646">
        <f>+UA19-UA24-UA34</f>
        <v>2155587.5129999965</v>
      </c>
      <c r="UB36" s="78">
        <f>+UB19-UB24-UB34</f>
        <v>-2155587.5129999965</v>
      </c>
      <c r="UC36" s="78"/>
      <c r="UD36" s="78"/>
      <c r="UE36" s="78"/>
      <c r="UF36" s="78"/>
      <c r="UG36" s="78"/>
      <c r="UH36" s="78"/>
      <c r="UI36" s="78"/>
      <c r="UJ36" s="78"/>
      <c r="UK36" s="78"/>
      <c r="UL36" s="78"/>
      <c r="UM36" s="78"/>
      <c r="UN36" s="78"/>
      <c r="UO36" s="78"/>
      <c r="UR36" s="1554"/>
      <c r="US36" s="1553"/>
      <c r="UT36" s="100"/>
      <c r="UU36" s="100"/>
      <c r="UV36" s="100"/>
      <c r="UW36" s="100"/>
      <c r="UX36" s="100"/>
      <c r="UY36" s="100"/>
      <c r="UZ36" s="100"/>
      <c r="VA36" s="100"/>
      <c r="VB36" s="100"/>
      <c r="VC36" s="100"/>
      <c r="VD36" s="100"/>
    </row>
    <row r="37" spans="1:576" ht="15.75" thickTop="1" x14ac:dyDescent="0.25">
      <c r="A37" s="22">
        <f>ROW()</f>
        <v>37</v>
      </c>
      <c r="B37" s="617" t="s">
        <v>413</v>
      </c>
      <c r="C37" s="23"/>
      <c r="D37" s="754">
        <f t="shared" ref="D37:R37" si="117">SUM(D16:D36)</f>
        <v>0</v>
      </c>
      <c r="E37" s="770">
        <f t="shared" si="117"/>
        <v>42653066.143237561</v>
      </c>
      <c r="F37" s="754">
        <f t="shared" si="117"/>
        <v>0</v>
      </c>
      <c r="G37" s="770">
        <f t="shared" si="117"/>
        <v>-57533887.225894623</v>
      </c>
      <c r="H37" s="754">
        <f t="shared" si="117"/>
        <v>0</v>
      </c>
      <c r="I37" s="770">
        <f t="shared" si="117"/>
        <v>-10379439.36891593</v>
      </c>
      <c r="J37" s="754">
        <f t="shared" si="117"/>
        <v>0</v>
      </c>
      <c r="K37" s="770">
        <f t="shared" si="117"/>
        <v>-8527588.8853307366</v>
      </c>
      <c r="L37" s="754">
        <f t="shared" si="117"/>
        <v>0</v>
      </c>
      <c r="M37" s="770">
        <f t="shared" si="117"/>
        <v>-2749024.8067777134</v>
      </c>
      <c r="N37" s="754">
        <f t="shared" si="117"/>
        <v>0</v>
      </c>
      <c r="O37" s="754">
        <f t="shared" si="117"/>
        <v>0</v>
      </c>
      <c r="P37" s="754">
        <f t="shared" si="117"/>
        <v>0</v>
      </c>
      <c r="Q37" s="754">
        <f t="shared" si="117"/>
        <v>0</v>
      </c>
      <c r="R37" s="754">
        <f t="shared" si="117"/>
        <v>0</v>
      </c>
      <c r="S37" s="22">
        <f>ROW()</f>
        <v>37</v>
      </c>
      <c r="T37" s="720" t="s">
        <v>20</v>
      </c>
      <c r="U37" s="1151">
        <v>5.0000000000000001E-3</v>
      </c>
      <c r="V37" s="786">
        <f t="shared" si="112"/>
        <v>3584501.2513250154</v>
      </c>
      <c r="W37" s="786">
        <f t="shared" si="112"/>
        <v>-3584501.2513250154</v>
      </c>
      <c r="X37" s="668">
        <f t="shared" si="113"/>
        <v>0</v>
      </c>
      <c r="Y37" s="668">
        <f t="shared" si="113"/>
        <v>0</v>
      </c>
      <c r="Z37" s="668">
        <f t="shared" si="113"/>
        <v>0</v>
      </c>
      <c r="AA37" s="668">
        <f t="shared" si="113"/>
        <v>0</v>
      </c>
      <c r="AB37" s="668">
        <f t="shared" si="113"/>
        <v>0</v>
      </c>
      <c r="AC37" s="668">
        <f t="shared" si="113"/>
        <v>0</v>
      </c>
      <c r="AD37" s="668">
        <f t="shared" si="113"/>
        <v>0</v>
      </c>
      <c r="AE37" s="668">
        <f t="shared" si="113"/>
        <v>0</v>
      </c>
      <c r="AF37" s="668">
        <f t="shared" si="113"/>
        <v>0</v>
      </c>
      <c r="AG37" s="668"/>
      <c r="AH37" s="668"/>
      <c r="AI37" s="668"/>
      <c r="AJ37" s="668"/>
      <c r="AL37" s="1520"/>
      <c r="AM37" s="776"/>
      <c r="AN37" s="776"/>
      <c r="AO37" s="776"/>
      <c r="AP37" s="776"/>
      <c r="AQ37" s="1603"/>
      <c r="AR37" s="1603"/>
      <c r="AS37" s="1603"/>
      <c r="AT37" s="1603"/>
      <c r="AU37" s="1603"/>
      <c r="AV37" s="1603"/>
      <c r="AW37" s="1603"/>
      <c r="AX37" s="1603"/>
      <c r="AY37" s="50"/>
      <c r="AZ37" s="50"/>
      <c r="BA37" s="50"/>
      <c r="BB37" s="50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V37"/>
      <c r="BW37"/>
      <c r="BX37"/>
      <c r="BY37"/>
      <c r="BZ37"/>
      <c r="CA37"/>
      <c r="CB37"/>
      <c r="DE37" s="1"/>
      <c r="DF37" s="1"/>
      <c r="DG37" s="1"/>
      <c r="DH37" s="1"/>
      <c r="DI37" s="1"/>
      <c r="DJ37" s="1"/>
      <c r="DK37" s="1"/>
      <c r="DL37" s="1"/>
      <c r="FY37" s="30"/>
      <c r="FZ37" s="1217"/>
      <c r="GA37" s="20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IS37"/>
      <c r="IT37"/>
      <c r="IU37"/>
      <c r="IV37"/>
      <c r="IW37"/>
      <c r="IX37"/>
      <c r="IY37"/>
      <c r="IZ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LP37" s="317"/>
      <c r="LQ37" s="317"/>
      <c r="LR37" s="317"/>
      <c r="LS37" s="317"/>
      <c r="LT37" s="317"/>
      <c r="LU37" s="317"/>
      <c r="LV37" s="317"/>
      <c r="LW37" s="317"/>
      <c r="LX37" s="317"/>
      <c r="LY37" s="317"/>
      <c r="LZ37" s="317"/>
      <c r="MA37" s="317"/>
      <c r="MB37" s="317"/>
      <c r="MC37" s="317"/>
      <c r="MD37" s="317"/>
      <c r="MH37"/>
      <c r="MJ37"/>
      <c r="MK37"/>
      <c r="ML37"/>
      <c r="MM37"/>
      <c r="MW37" s="22"/>
      <c r="MX37" s="1562"/>
      <c r="MY37" s="1565"/>
      <c r="MZ37" s="984"/>
      <c r="NA37" s="984"/>
      <c r="NB37" s="984"/>
      <c r="NC37" s="1528">
        <v>0</v>
      </c>
      <c r="ND37" s="1528">
        <v>-1108990.9782924</v>
      </c>
      <c r="NE37" s="1528">
        <v>0</v>
      </c>
      <c r="NF37" s="1528">
        <v>-1108990.9782924</v>
      </c>
      <c r="NG37" s="1528">
        <v>0</v>
      </c>
      <c r="NH37" s="1528">
        <v>-1108990.9782924</v>
      </c>
      <c r="NI37" s="1528">
        <v>0</v>
      </c>
      <c r="NJ37" s="1528">
        <v>-1108990.9782924</v>
      </c>
      <c r="NO37" s="30"/>
      <c r="NP37" s="842"/>
      <c r="NQ37" s="20"/>
      <c r="NR37" s="619"/>
      <c r="NS37" s="619"/>
      <c r="NT37" s="619"/>
      <c r="NU37" s="619"/>
      <c r="NV37" s="619"/>
      <c r="NW37" s="619"/>
      <c r="NX37" s="619"/>
      <c r="NY37" s="640"/>
      <c r="NZ37" s="619"/>
      <c r="OA37" s="640"/>
      <c r="OB37" s="619"/>
      <c r="OC37" s="1521"/>
      <c r="OD37" s="1521"/>
      <c r="OE37" s="1521"/>
      <c r="OF37" s="1521"/>
      <c r="OG37" s="482">
        <f>ROW()</f>
        <v>37</v>
      </c>
      <c r="OH37" s="881"/>
      <c r="OJ37" s="616"/>
      <c r="OK37" s="616"/>
      <c r="OL37" s="616"/>
      <c r="OM37" s="616"/>
      <c r="ON37" s="616"/>
      <c r="OO37" s="616"/>
      <c r="OP37" s="616"/>
      <c r="OQ37" s="616"/>
      <c r="OR37" s="616"/>
      <c r="OS37" s="616"/>
      <c r="OT37" s="616"/>
      <c r="OU37" s="667"/>
      <c r="OV37" s="667"/>
      <c r="OW37" s="667"/>
      <c r="OX37" s="667"/>
      <c r="OY37" s="22">
        <f>ROW()</f>
        <v>37</v>
      </c>
      <c r="OZ37" s="1583" t="s">
        <v>397</v>
      </c>
      <c r="PA37" s="1583"/>
      <c r="PB37" s="1613"/>
      <c r="PC37" s="1613"/>
      <c r="PD37" s="1613"/>
      <c r="PE37" s="1613"/>
      <c r="PF37" s="1613"/>
      <c r="PG37" s="1613"/>
      <c r="PH37" s="1613"/>
      <c r="PI37" s="1613"/>
      <c r="PJ37" s="1613"/>
      <c r="PK37" s="1613"/>
      <c r="PL37" s="1613"/>
      <c r="PM37" s="1613"/>
      <c r="PN37" s="1613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J37" s="424"/>
      <c r="QK37" s="424"/>
      <c r="QL37" s="424"/>
      <c r="QM37" s="424"/>
      <c r="QN37" s="424"/>
      <c r="QO37" s="424"/>
      <c r="QP37" s="424"/>
      <c r="QQ37" s="424"/>
      <c r="QR37" s="424"/>
      <c r="QS37" s="424"/>
      <c r="QT37" s="424"/>
      <c r="QU37" s="424"/>
      <c r="QV37" s="424"/>
      <c r="QW37" s="424"/>
      <c r="QX37" s="424"/>
      <c r="QY37" s="424"/>
      <c r="QZ37" s="424"/>
      <c r="RA37" s="424"/>
      <c r="RT37" s="616"/>
      <c r="RU37" s="616"/>
      <c r="RV37" s="616"/>
      <c r="RW37" s="616"/>
      <c r="RX37" s="616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82">
        <f>ROW()</f>
        <v>37</v>
      </c>
      <c r="SM37" s="616" t="s">
        <v>863</v>
      </c>
      <c r="SN37" s="1484"/>
      <c r="SO37" s="693"/>
      <c r="SP37" s="693"/>
      <c r="SQ37" s="693"/>
      <c r="SR37" s="693">
        <v>0</v>
      </c>
      <c r="SS37" s="1469">
        <f>SR37</f>
        <v>0</v>
      </c>
      <c r="ST37" s="693">
        <v>0</v>
      </c>
      <c r="SU37" s="1469">
        <f>ST37+SS37</f>
        <v>0</v>
      </c>
      <c r="SV37" s="1468">
        <v>0</v>
      </c>
      <c r="SW37" s="1468">
        <f>SV37+SU37</f>
        <v>0</v>
      </c>
      <c r="SX37" s="1468">
        <v>0</v>
      </c>
      <c r="SY37" s="1468">
        <f>SX37+SW37</f>
        <v>0</v>
      </c>
      <c r="SZ37" s="1468"/>
      <c r="TA37" s="1468"/>
      <c r="TB37" s="1468"/>
      <c r="TC37" s="1468"/>
      <c r="TD37" s="424"/>
      <c r="TE37" s="82">
        <f>ROW()</f>
        <v>37</v>
      </c>
      <c r="TF37" s="424"/>
      <c r="TG37" s="616"/>
      <c r="TH37" s="616"/>
      <c r="TI37" s="616"/>
      <c r="TJ37" s="616"/>
      <c r="TK37" s="616"/>
      <c r="TL37" s="616"/>
      <c r="TM37" s="616"/>
      <c r="TN37" s="616"/>
      <c r="TO37" s="616"/>
      <c r="TP37" s="616"/>
      <c r="TQ37" s="616"/>
      <c r="TR37" s="616"/>
      <c r="TS37" s="616"/>
      <c r="TT37" s="616"/>
      <c r="TU37" s="616"/>
      <c r="TV37" s="616"/>
      <c r="TW37" s="424"/>
      <c r="TX37" s="82">
        <f>ROW()</f>
        <v>37</v>
      </c>
      <c r="TY37" s="555" t="s">
        <v>276</v>
      </c>
      <c r="TZ37" s="1612">
        <v>0.21</v>
      </c>
      <c r="UA37" s="646">
        <f>$TZ$37*UA36</f>
        <v>452673.37772999925</v>
      </c>
      <c r="UB37" s="646">
        <f>UB36*TZ37</f>
        <v>-452673.37772999925</v>
      </c>
      <c r="UC37" s="646"/>
      <c r="UD37" s="78"/>
      <c r="UE37" s="646"/>
      <c r="UF37" s="78"/>
      <c r="UG37" s="646"/>
      <c r="UH37" s="78"/>
      <c r="UI37" s="646"/>
      <c r="UJ37" s="78"/>
      <c r="UK37" s="646"/>
      <c r="UL37" s="78"/>
      <c r="UM37" s="646"/>
      <c r="UN37" s="78"/>
      <c r="UO37" s="78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</row>
    <row r="38" spans="1:576" ht="15.75" thickBot="1" x14ac:dyDescent="0.3">
      <c r="A38" s="22">
        <f>ROW()</f>
        <v>38</v>
      </c>
      <c r="B38" s="617"/>
      <c r="C38" s="23"/>
      <c r="D38" s="619"/>
      <c r="E38" s="619"/>
      <c r="F38" s="619"/>
      <c r="G38" s="619"/>
      <c r="H38" s="619"/>
      <c r="I38" s="619"/>
      <c r="K38" s="619"/>
      <c r="L38" s="8"/>
      <c r="M38" s="619"/>
      <c r="N38" s="619"/>
      <c r="O38" s="619"/>
      <c r="P38" s="619"/>
      <c r="Q38" s="619"/>
      <c r="R38" s="619"/>
      <c r="S38" s="22">
        <f>ROW()</f>
        <v>38</v>
      </c>
      <c r="T38" s="1611" t="s">
        <v>444</v>
      </c>
      <c r="U38" s="1610">
        <f>+'SEF-35'!$E$14</f>
        <v>3.8408999999999999E-2</v>
      </c>
      <c r="V38" s="63">
        <f t="shared" si="112"/>
        <v>27535421.712428503</v>
      </c>
      <c r="W38" s="63">
        <f t="shared" si="112"/>
        <v>-27535421.712428503</v>
      </c>
      <c r="X38" s="63">
        <f t="shared" si="113"/>
        <v>0</v>
      </c>
      <c r="Y38" s="63">
        <f t="shared" si="113"/>
        <v>0</v>
      </c>
      <c r="Z38" s="63">
        <f t="shared" si="113"/>
        <v>0</v>
      </c>
      <c r="AA38" s="63">
        <f t="shared" si="113"/>
        <v>0</v>
      </c>
      <c r="AB38" s="63">
        <f t="shared" si="113"/>
        <v>0</v>
      </c>
      <c r="AC38" s="63">
        <f t="shared" si="113"/>
        <v>0</v>
      </c>
      <c r="AD38" s="63">
        <f t="shared" si="113"/>
        <v>0</v>
      </c>
      <c r="AE38" s="63">
        <f t="shared" si="113"/>
        <v>0</v>
      </c>
      <c r="AF38" s="63">
        <f t="shared" si="113"/>
        <v>0</v>
      </c>
      <c r="AG38" s="63"/>
      <c r="AH38" s="63"/>
      <c r="AI38" s="63"/>
      <c r="AJ38" s="63"/>
      <c r="AL38" s="1518"/>
      <c r="AM38" s="776"/>
      <c r="AN38" s="21"/>
      <c r="AO38" s="21"/>
      <c r="AP38" s="21"/>
      <c r="AQ38" s="1608">
        <v>-23455855.920842834</v>
      </c>
      <c r="AR38" s="1608">
        <v>81100435.259652227</v>
      </c>
      <c r="AS38" s="1608"/>
      <c r="AT38" s="1608"/>
      <c r="AU38" s="1609"/>
      <c r="AV38" s="1609"/>
      <c r="AW38" s="1609"/>
      <c r="AX38" s="1608"/>
      <c r="AY38" s="18"/>
      <c r="AZ38" s="18"/>
      <c r="BA38" s="18"/>
      <c r="BB38" s="1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V38"/>
      <c r="BW38"/>
      <c r="BX38"/>
      <c r="BY38"/>
      <c r="BZ38"/>
      <c r="CA38"/>
      <c r="CB38"/>
      <c r="DE38" s="1"/>
      <c r="DF38" s="1"/>
      <c r="DG38" s="1"/>
      <c r="DH38" s="1"/>
      <c r="DI38" s="1"/>
      <c r="DJ38" s="1"/>
      <c r="DK38" s="1"/>
      <c r="DL38" s="1"/>
      <c r="FY38" s="30"/>
      <c r="FZ38" s="1217"/>
      <c r="GA38" s="20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IS38"/>
      <c r="IT38"/>
      <c r="IU38"/>
      <c r="IV38"/>
      <c r="IW38"/>
      <c r="IX38"/>
      <c r="IY38"/>
      <c r="IZ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LP38" s="317"/>
      <c r="LQ38" s="317"/>
      <c r="LR38" s="317"/>
      <c r="LS38" s="317"/>
      <c r="LT38" s="317"/>
      <c r="LU38" s="317"/>
      <c r="LV38" s="317"/>
      <c r="LW38" s="317"/>
      <c r="LX38" s="317"/>
      <c r="LY38" s="317"/>
      <c r="LZ38" s="317"/>
      <c r="MA38" s="317"/>
      <c r="MB38" s="317"/>
      <c r="MC38" s="317"/>
      <c r="MD38" s="317"/>
      <c r="MW38" s="22"/>
      <c r="MX38" s="1562"/>
      <c r="MY38" s="99"/>
      <c r="MZ38" s="624"/>
      <c r="NA38" s="624"/>
      <c r="NB38" s="624"/>
      <c r="NC38" s="1523">
        <v>0</v>
      </c>
      <c r="ND38" s="1523">
        <v>-4171918.4421476005</v>
      </c>
      <c r="NE38" s="1523">
        <v>0</v>
      </c>
      <c r="NF38" s="1523">
        <v>-4171918.4421476005</v>
      </c>
      <c r="NG38" s="1523">
        <v>0</v>
      </c>
      <c r="NH38" s="1523">
        <v>-4171918.4421476005</v>
      </c>
      <c r="NI38" s="1523">
        <v>0</v>
      </c>
      <c r="NJ38" s="1523">
        <v>-4171918.4421476005</v>
      </c>
      <c r="NO38" s="30"/>
      <c r="NP38" s="842"/>
      <c r="NQ38" s="20"/>
      <c r="NR38" s="619"/>
      <c r="NS38" s="619"/>
      <c r="NT38" s="619"/>
      <c r="NU38" s="619"/>
      <c r="NV38" s="619"/>
      <c r="NW38" s="619"/>
      <c r="NX38" s="619"/>
      <c r="NY38" s="640"/>
      <c r="NZ38" s="619"/>
      <c r="OA38" s="640"/>
      <c r="OB38" s="619"/>
      <c r="OC38" s="1521"/>
      <c r="OD38" s="1521"/>
      <c r="OE38" s="1521"/>
      <c r="OF38" s="1521"/>
      <c r="OG38" s="482">
        <f>ROW()</f>
        <v>38</v>
      </c>
      <c r="OJ38" s="616"/>
      <c r="OK38" s="616"/>
      <c r="OL38" s="616"/>
      <c r="OM38" s="616"/>
      <c r="ON38" s="616"/>
      <c r="OO38" s="616"/>
      <c r="OP38" s="616"/>
      <c r="OQ38" s="616"/>
      <c r="OR38" s="616"/>
      <c r="OS38" s="616"/>
      <c r="OT38" s="616"/>
      <c r="OU38" s="667"/>
      <c r="OV38" s="667"/>
      <c r="OW38" s="667"/>
      <c r="OX38" s="667"/>
      <c r="OY38" s="22">
        <f>ROW()</f>
        <v>38</v>
      </c>
      <c r="OZ38" s="1576" t="s">
        <v>910</v>
      </c>
      <c r="PA38" s="1607"/>
      <c r="PB38" s="63">
        <v>3844168.62</v>
      </c>
      <c r="PC38" s="624">
        <v>-3844168.62</v>
      </c>
      <c r="PD38" s="63">
        <f>SUM(PB38:PC38)</f>
        <v>0</v>
      </c>
      <c r="PE38" s="63">
        <v>0</v>
      </c>
      <c r="PF38" s="1451">
        <f>SUM(PD38:PE38)</f>
        <v>0</v>
      </c>
      <c r="PG38" s="63">
        <v>0</v>
      </c>
      <c r="PH38" s="1451">
        <f>SUM(PF38:PG38)</f>
        <v>0</v>
      </c>
      <c r="PI38" s="63">
        <v>0</v>
      </c>
      <c r="PJ38" s="1442">
        <f>SUM(PH38:PI38)</f>
        <v>0</v>
      </c>
      <c r="PK38" s="63">
        <v>0</v>
      </c>
      <c r="PL38" s="1442">
        <f>SUM(PJ38:PK38)</f>
        <v>0</v>
      </c>
      <c r="PM38" s="1606"/>
      <c r="PN38" s="1575"/>
      <c r="PO38" s="1451"/>
      <c r="PP38" s="1451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J38" s="424"/>
      <c r="QK38" s="424"/>
      <c r="QL38" s="424"/>
      <c r="QM38" s="424"/>
      <c r="QN38" s="424"/>
      <c r="QO38" s="424"/>
      <c r="QP38" s="424"/>
      <c r="QQ38" s="424"/>
      <c r="QR38" s="424"/>
      <c r="QS38" s="424"/>
      <c r="QT38" s="424"/>
      <c r="QU38" s="424"/>
      <c r="QV38" s="424"/>
      <c r="QW38" s="424"/>
      <c r="QX38" s="424"/>
      <c r="QY38" s="424"/>
      <c r="QZ38" s="424"/>
      <c r="RA38" s="424"/>
      <c r="RT38" s="616"/>
      <c r="RU38" s="616"/>
      <c r="RV38" s="616"/>
      <c r="RW38" s="616"/>
      <c r="RX38" s="616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82">
        <f>ROW()</f>
        <v>38</v>
      </c>
      <c r="SM38" s="616" t="s">
        <v>280</v>
      </c>
      <c r="SN38" s="1484"/>
      <c r="SO38" s="1471"/>
      <c r="SP38" s="1471"/>
      <c r="SQ38" s="1471"/>
      <c r="SR38" s="1471">
        <f t="shared" ref="SR38:SY38" si="118">SUM(SR34:SR37)</f>
        <v>403751.6999999999</v>
      </c>
      <c r="SS38" s="1471">
        <f t="shared" si="118"/>
        <v>403751.6999999999</v>
      </c>
      <c r="ST38" s="1471">
        <f t="shared" si="118"/>
        <v>2788911.22</v>
      </c>
      <c r="SU38" s="1471">
        <f t="shared" si="118"/>
        <v>3192662.92</v>
      </c>
      <c r="SV38" s="1471">
        <f t="shared" si="118"/>
        <v>4652973.419999999</v>
      </c>
      <c r="SW38" s="1471">
        <f t="shared" si="118"/>
        <v>7845636.3399999989</v>
      </c>
      <c r="SX38" s="1471">
        <f t="shared" si="118"/>
        <v>2294484.3099999977</v>
      </c>
      <c r="SY38" s="1471">
        <f t="shared" si="118"/>
        <v>10140120.649999997</v>
      </c>
      <c r="SZ38" s="1471"/>
      <c r="TA38" s="1471"/>
      <c r="TB38" s="1470"/>
      <c r="TC38" s="1470"/>
      <c r="TD38" s="424"/>
      <c r="TE38" s="82">
        <f>ROW()</f>
        <v>38</v>
      </c>
      <c r="TF38" s="424"/>
      <c r="TG38" s="616"/>
      <c r="TH38" s="616"/>
      <c r="TI38" s="616"/>
      <c r="TJ38" s="616"/>
      <c r="TK38" s="616"/>
      <c r="TL38" s="616"/>
      <c r="TM38" s="616"/>
      <c r="TN38" s="616"/>
      <c r="TO38" s="616"/>
      <c r="TP38" s="616"/>
      <c r="TQ38" s="616"/>
      <c r="TR38" s="616"/>
      <c r="TS38" s="616"/>
      <c r="TT38" s="616"/>
      <c r="TU38" s="616"/>
      <c r="TV38" s="616"/>
      <c r="TW38" s="424"/>
      <c r="TX38" s="82">
        <f>ROW()</f>
        <v>38</v>
      </c>
      <c r="TY38" s="635" t="s">
        <v>292</v>
      </c>
      <c r="TZ38" s="635"/>
      <c r="UA38" s="1605">
        <f>UA36-UA37</f>
        <v>1702914.1352699972</v>
      </c>
      <c r="UB38" s="1605">
        <f>UB36-UB37</f>
        <v>-1702914.1352699972</v>
      </c>
      <c r="UC38" s="635"/>
      <c r="UD38" s="635"/>
      <c r="UE38" s="635"/>
      <c r="UF38" s="635"/>
      <c r="UG38" s="635"/>
      <c r="UH38" s="635"/>
      <c r="UI38" s="635"/>
      <c r="UJ38" s="635"/>
      <c r="UK38" s="635"/>
      <c r="UL38" s="635"/>
      <c r="UM38" s="635"/>
      <c r="UN38" s="635"/>
      <c r="UO38" s="635"/>
      <c r="UR38" s="1545"/>
      <c r="US38" s="1545"/>
      <c r="UT38" s="1545"/>
      <c r="UU38" s="1545"/>
      <c r="UV38" s="1545"/>
      <c r="UW38" s="1545"/>
      <c r="UX38" s="1545"/>
      <c r="UY38" s="1545"/>
      <c r="UZ38" s="1545"/>
      <c r="VA38" s="1545"/>
      <c r="VB38" s="1545"/>
      <c r="VC38" s="1545"/>
      <c r="VD38" s="1545"/>
    </row>
    <row r="39" spans="1:576" ht="16.5" customHeight="1" thickTop="1" x14ac:dyDescent="0.25">
      <c r="A39" s="22">
        <f>ROW()</f>
        <v>39</v>
      </c>
      <c r="B39" s="1552" t="s">
        <v>85</v>
      </c>
      <c r="D39" s="719"/>
      <c r="E39" s="879"/>
      <c r="F39" s="879"/>
      <c r="G39" s="879"/>
      <c r="H39" s="730"/>
      <c r="I39" s="619"/>
      <c r="J39" s="984"/>
      <c r="K39" s="619"/>
      <c r="L39" s="8"/>
      <c r="M39" s="619"/>
      <c r="N39" s="619"/>
      <c r="O39" s="619"/>
      <c r="P39" s="619"/>
      <c r="Q39" s="619"/>
      <c r="R39" s="619"/>
      <c r="S39" s="22">
        <f>ROW()</f>
        <v>39</v>
      </c>
      <c r="T39" s="580" t="s">
        <v>332</v>
      </c>
      <c r="U39" s="1425"/>
      <c r="V39" s="1604">
        <f t="shared" ref="V39:AF39" si="119">SUM(V36:V38)</f>
        <v>33192481.587269641</v>
      </c>
      <c r="W39" s="1604">
        <f t="shared" si="119"/>
        <v>-33192481.587269641</v>
      </c>
      <c r="X39" s="663">
        <f t="shared" si="119"/>
        <v>0</v>
      </c>
      <c r="Y39" s="663">
        <f t="shared" si="119"/>
        <v>0</v>
      </c>
      <c r="Z39" s="663">
        <f t="shared" si="119"/>
        <v>0</v>
      </c>
      <c r="AA39" s="663">
        <f t="shared" si="119"/>
        <v>0</v>
      </c>
      <c r="AB39" s="663">
        <f t="shared" si="119"/>
        <v>0</v>
      </c>
      <c r="AC39" s="663">
        <f t="shared" si="119"/>
        <v>0</v>
      </c>
      <c r="AD39" s="663">
        <f t="shared" si="119"/>
        <v>0</v>
      </c>
      <c r="AE39" s="663">
        <f t="shared" si="119"/>
        <v>0</v>
      </c>
      <c r="AF39" s="663">
        <f t="shared" si="119"/>
        <v>0</v>
      </c>
      <c r="AG39" s="663"/>
      <c r="AH39" s="663"/>
      <c r="AI39" s="663"/>
      <c r="AJ39" s="663"/>
      <c r="AL39" s="776"/>
      <c r="AM39" s="776"/>
      <c r="AN39" s="776"/>
      <c r="AO39" s="776"/>
      <c r="AP39" s="776"/>
      <c r="AQ39" s="1603"/>
      <c r="AR39" s="1603"/>
      <c r="AS39" s="1603"/>
      <c r="AT39" s="1603"/>
      <c r="AU39" s="1603"/>
      <c r="AV39" s="1603"/>
      <c r="AW39" s="1603"/>
      <c r="AX39" s="1603"/>
      <c r="AY39" s="18"/>
      <c r="AZ39" s="18"/>
      <c r="BA39" s="18"/>
      <c r="BB39" s="18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V39"/>
      <c r="BW39"/>
      <c r="BX39"/>
      <c r="BY39"/>
      <c r="BZ39"/>
      <c r="CA39"/>
      <c r="CB39"/>
      <c r="DE39" s="1"/>
      <c r="DF39" s="1"/>
      <c r="DG39" s="1"/>
      <c r="DH39" s="1"/>
      <c r="DI39" s="1"/>
      <c r="DJ39" s="1"/>
      <c r="DK39" s="1"/>
      <c r="DL39" s="1"/>
      <c r="FY39" s="30"/>
      <c r="FZ39" s="1217"/>
      <c r="GA39" s="20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IS39"/>
      <c r="IT39"/>
      <c r="IU39"/>
      <c r="IV39"/>
      <c r="IW39"/>
      <c r="IX39"/>
      <c r="IY39"/>
      <c r="IZ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LP39" s="317"/>
      <c r="LQ39" s="317"/>
      <c r="LR39" s="317"/>
      <c r="LS39" s="317"/>
      <c r="LT39" s="317"/>
      <c r="LU39" s="317"/>
      <c r="LV39" s="317"/>
      <c r="LW39" s="317"/>
      <c r="LX39" s="317"/>
      <c r="LY39" s="317"/>
      <c r="LZ39" s="317"/>
      <c r="MA39" s="317"/>
      <c r="MB39" s="317"/>
      <c r="MC39" s="317"/>
      <c r="MD39" s="317"/>
      <c r="MW39" s="22"/>
      <c r="MX39" s="523"/>
      <c r="MY39" s="99"/>
      <c r="MZ39" s="99"/>
      <c r="NA39" s="99"/>
      <c r="NB39" s="99"/>
      <c r="NO39" s="30"/>
      <c r="NP39" s="842"/>
      <c r="NQ39" s="20"/>
      <c r="NR39" s="619"/>
      <c r="NS39" s="619"/>
      <c r="NT39" s="619"/>
      <c r="NU39" s="619"/>
      <c r="NV39" s="619"/>
      <c r="NW39" s="619"/>
      <c r="NX39" s="619"/>
      <c r="NY39" s="640"/>
      <c r="NZ39" s="619"/>
      <c r="OA39" s="640"/>
      <c r="OB39" s="619"/>
      <c r="OC39" s="1521"/>
      <c r="OD39" s="1521"/>
      <c r="OE39" s="1521"/>
      <c r="OF39" s="1521"/>
      <c r="OG39" s="482">
        <f>ROW()</f>
        <v>39</v>
      </c>
      <c r="OJ39" s="616"/>
      <c r="OK39" s="616"/>
      <c r="OL39" s="616"/>
      <c r="OM39" s="616"/>
      <c r="ON39" s="616"/>
      <c r="OO39" s="616"/>
      <c r="OP39" s="616"/>
      <c r="OQ39" s="616"/>
      <c r="OR39" s="616"/>
      <c r="OS39" s="616"/>
      <c r="OT39" s="616"/>
      <c r="OU39" s="685"/>
      <c r="OV39" s="685"/>
      <c r="OW39" s="685"/>
      <c r="OX39" s="685"/>
      <c r="OY39" s="22">
        <f>ROW()</f>
        <v>39</v>
      </c>
      <c r="OZ39" s="1602"/>
      <c r="PA39" s="1601"/>
      <c r="PB39" s="1600"/>
      <c r="PC39" s="1600"/>
      <c r="PD39" s="1600"/>
      <c r="PE39" s="1600"/>
      <c r="PF39" s="1600"/>
      <c r="PG39" s="1600"/>
      <c r="PH39" s="1600"/>
      <c r="PI39" s="1600"/>
      <c r="PJ39" s="1600">
        <f>SUM(PH39:PI39)</f>
        <v>0</v>
      </c>
      <c r="PK39" s="1600"/>
      <c r="PL39" s="1599">
        <f>SUM(PJ39:PK39)</f>
        <v>0</v>
      </c>
      <c r="PM39" s="1598"/>
      <c r="PN39" s="1598"/>
      <c r="PO39" s="624"/>
      <c r="PP39" s="624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J39" s="424"/>
      <c r="QK39" s="424"/>
      <c r="QL39" s="424"/>
      <c r="QM39" s="424"/>
      <c r="QN39" s="424"/>
      <c r="QO39" s="424"/>
      <c r="QP39" s="424"/>
      <c r="QQ39" s="424"/>
      <c r="QR39" s="424"/>
      <c r="QS39" s="424"/>
      <c r="QT39" s="424"/>
      <c r="QU39" s="424"/>
      <c r="QV39" s="424"/>
      <c r="QW39" s="424"/>
      <c r="QX39" s="424"/>
      <c r="QY39" s="424"/>
      <c r="QZ39" s="424"/>
      <c r="RA39" s="424"/>
      <c r="RT39" s="616"/>
      <c r="RU39" s="616"/>
      <c r="RV39" s="616"/>
      <c r="RW39" s="616"/>
      <c r="RX39" s="616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82">
        <f>ROW()</f>
        <v>39</v>
      </c>
      <c r="SM39" s="616"/>
      <c r="SN39" s="1484"/>
      <c r="SO39" s="1471"/>
      <c r="SP39" s="1471"/>
      <c r="SQ39" s="1471"/>
      <c r="SR39" s="1471"/>
      <c r="SS39" s="1471"/>
      <c r="ST39" s="1471"/>
      <c r="SU39" s="1471"/>
      <c r="SV39" s="1471"/>
      <c r="SW39" s="1471"/>
      <c r="SX39" s="1471"/>
      <c r="SY39" s="1471"/>
      <c r="SZ39" s="1471"/>
      <c r="TA39" s="1471"/>
      <c r="TB39" s="1470"/>
      <c r="TC39" s="1470"/>
      <c r="TD39" s="424"/>
      <c r="TE39" s="82">
        <f>ROW()</f>
        <v>39</v>
      </c>
      <c r="TF39" s="424"/>
      <c r="TG39" s="616"/>
      <c r="TH39" s="616"/>
      <c r="TI39" s="616"/>
      <c r="TJ39" s="616"/>
      <c r="TK39" s="616"/>
      <c r="TL39" s="616"/>
      <c r="TM39" s="616"/>
      <c r="TN39" s="616"/>
      <c r="TO39" s="616"/>
      <c r="TP39" s="616"/>
      <c r="TQ39" s="616"/>
      <c r="TR39" s="616"/>
      <c r="TS39" s="616"/>
      <c r="TT39" s="616"/>
      <c r="TU39" s="616"/>
      <c r="TV39" s="616"/>
      <c r="TW39" s="424"/>
      <c r="TX39" s="82">
        <f>ROW()</f>
        <v>39</v>
      </c>
      <c r="UR39" s="1545"/>
      <c r="US39" s="1545"/>
      <c r="UT39" s="1545"/>
      <c r="UU39" s="1545"/>
      <c r="UV39" s="1545"/>
      <c r="UW39" s="1545"/>
      <c r="UX39" s="1545"/>
      <c r="UY39" s="1545"/>
      <c r="UZ39" s="1545"/>
      <c r="VA39" s="1545"/>
      <c r="VB39" s="1545"/>
      <c r="VC39" s="1545"/>
      <c r="VD39" s="1545"/>
    </row>
    <row r="40" spans="1:576" ht="15.75" thickBot="1" x14ac:dyDescent="0.3">
      <c r="A40" s="22">
        <f>ROW()</f>
        <v>40</v>
      </c>
      <c r="B40" s="971"/>
      <c r="C40" s="23"/>
      <c r="D40" s="560"/>
      <c r="E40" s="582"/>
      <c r="F40" s="880"/>
      <c r="G40" s="582"/>
      <c r="H40" s="880"/>
      <c r="I40" s="619"/>
      <c r="J40" s="984"/>
      <c r="K40" s="619"/>
      <c r="L40" s="8"/>
      <c r="M40" s="619"/>
      <c r="N40" s="619"/>
      <c r="O40" s="619"/>
      <c r="P40" s="619"/>
      <c r="Q40" s="619"/>
      <c r="R40" s="619"/>
      <c r="S40" s="22">
        <f>ROW()</f>
        <v>40</v>
      </c>
      <c r="V40" s="20"/>
      <c r="W40" s="74"/>
      <c r="AL40" s="842"/>
      <c r="AM40" s="1191"/>
      <c r="AN40" s="619"/>
      <c r="AO40" s="619"/>
      <c r="AP40" s="619"/>
      <c r="AQ40" s="1593">
        <v>-67810.879467156628</v>
      </c>
      <c r="AR40" s="1593">
        <v>234461.35833565457</v>
      </c>
      <c r="AS40" s="1593"/>
      <c r="AT40" s="1593"/>
      <c r="AU40" s="1593"/>
      <c r="AV40" s="1593"/>
      <c r="AW40" s="1593"/>
      <c r="AX40" s="1593"/>
      <c r="AY40" s="18"/>
      <c r="AZ40" s="18"/>
      <c r="BA40" s="18"/>
      <c r="BB40" s="18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V40"/>
      <c r="BW40"/>
      <c r="BX40"/>
      <c r="BY40"/>
      <c r="BZ40"/>
      <c r="CA40"/>
      <c r="CB40"/>
      <c r="DE40" s="1"/>
      <c r="DF40" s="1"/>
      <c r="DG40" s="1"/>
      <c r="DH40" s="1"/>
      <c r="DI40" s="1"/>
      <c r="DJ40" s="1"/>
      <c r="DK40" s="1"/>
      <c r="DL40" s="1"/>
      <c r="FY40" s="30"/>
      <c r="FZ40" s="1217"/>
      <c r="GA40" s="20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IS40"/>
      <c r="IT40"/>
      <c r="IU40"/>
      <c r="IV40"/>
      <c r="IW40"/>
      <c r="IX40"/>
      <c r="IY40"/>
      <c r="IZ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U40" s="477"/>
      <c r="LP40" s="317"/>
      <c r="LQ40" s="317"/>
      <c r="LR40" s="317"/>
      <c r="LS40" s="317"/>
      <c r="LT40" s="317"/>
      <c r="LU40" s="317"/>
      <c r="LV40" s="317"/>
      <c r="LW40" s="317"/>
      <c r="LX40" s="317"/>
      <c r="LY40" s="317"/>
      <c r="LZ40" s="317"/>
      <c r="MA40" s="317"/>
      <c r="MB40" s="317"/>
      <c r="MC40" s="317"/>
      <c r="MD40" s="317"/>
      <c r="MW40" s="22"/>
      <c r="MX40" s="1393"/>
      <c r="MY40" s="1393"/>
      <c r="MZ40" s="1225"/>
      <c r="NA40" s="1225"/>
      <c r="NB40" s="1225"/>
      <c r="NC40" s="1597"/>
      <c r="ND40" s="1597" t="s">
        <v>180</v>
      </c>
      <c r="NE40" s="1597"/>
      <c r="NF40" s="1597" t="s">
        <v>180</v>
      </c>
      <c r="NG40" s="1597"/>
      <c r="NH40" s="1597" t="s">
        <v>181</v>
      </c>
      <c r="NI40" s="1597"/>
      <c r="NJ40" s="1597" t="s">
        <v>179</v>
      </c>
      <c r="NO40" s="30"/>
      <c r="NP40" s="842"/>
      <c r="NQ40" s="20"/>
      <c r="NR40" s="619"/>
      <c r="NS40" s="619"/>
      <c r="NT40" s="619"/>
      <c r="NU40" s="619"/>
      <c r="NV40" s="619"/>
      <c r="NW40" s="619"/>
      <c r="NX40" s="619"/>
      <c r="NY40" s="619"/>
      <c r="NZ40" s="619"/>
      <c r="OA40" s="619"/>
      <c r="OB40" s="619"/>
      <c r="OC40" s="1521"/>
      <c r="OD40" s="1521"/>
      <c r="OE40" s="1521"/>
      <c r="OF40" s="1521"/>
      <c r="OG40" s="482">
        <f>ROW()</f>
        <v>40</v>
      </c>
      <c r="OJ40" s="616"/>
      <c r="OK40" s="616"/>
      <c r="OL40" s="616"/>
      <c r="OM40" s="616"/>
      <c r="ON40" s="616"/>
      <c r="OO40" s="616"/>
      <c r="OP40" s="616"/>
      <c r="OQ40" s="616"/>
      <c r="OR40" s="616"/>
      <c r="OS40" s="616"/>
      <c r="OT40" s="616"/>
      <c r="OU40" s="835"/>
      <c r="OV40" s="835"/>
      <c r="OW40" s="835"/>
      <c r="OX40" s="835"/>
      <c r="OY40" s="22">
        <f>ROW()</f>
        <v>40</v>
      </c>
      <c r="OZ40" s="689" t="s">
        <v>909</v>
      </c>
      <c r="PA40" s="689"/>
      <c r="PB40" s="690"/>
      <c r="PC40" s="78"/>
      <c r="PD40" s="78"/>
      <c r="PE40" s="78"/>
      <c r="PM40" s="1596"/>
      <c r="PN40" s="1596"/>
      <c r="PO40" s="63"/>
      <c r="PP40" s="63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 s="64"/>
      <c r="QF40" s="64"/>
      <c r="QG40" s="64"/>
      <c r="QH40" s="64"/>
      <c r="QJ40" s="424"/>
      <c r="QK40" s="424"/>
      <c r="QL40" s="424"/>
      <c r="QM40" s="424"/>
      <c r="QN40" s="424"/>
      <c r="QO40" s="424"/>
      <c r="QP40" s="424"/>
      <c r="QQ40" s="424"/>
      <c r="QR40" s="424"/>
      <c r="QS40" s="424"/>
      <c r="QT40" s="424"/>
      <c r="QU40" s="424"/>
      <c r="QV40" s="424"/>
      <c r="QW40" s="424"/>
      <c r="QX40" s="424"/>
      <c r="QY40" s="424"/>
      <c r="QZ40" s="424"/>
      <c r="RA40" s="424"/>
      <c r="RT40" s="616"/>
      <c r="RU40" s="616"/>
      <c r="RV40" s="616"/>
      <c r="RW40" s="616"/>
      <c r="RX40" s="616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82">
        <f>ROW()</f>
        <v>40</v>
      </c>
      <c r="SM40" s="616" t="s">
        <v>258</v>
      </c>
      <c r="SN40" s="1484"/>
      <c r="SO40" s="1471"/>
      <c r="SP40" s="1471"/>
      <c r="SQ40" s="1471"/>
      <c r="SR40" s="1471">
        <f t="shared" ref="SR40:SY40" si="120">SR38</f>
        <v>403751.6999999999</v>
      </c>
      <c r="SS40" s="1471">
        <f t="shared" si="120"/>
        <v>403751.6999999999</v>
      </c>
      <c r="ST40" s="1471">
        <f t="shared" si="120"/>
        <v>2788911.22</v>
      </c>
      <c r="SU40" s="1471">
        <f t="shared" si="120"/>
        <v>3192662.92</v>
      </c>
      <c r="SV40" s="1471">
        <f t="shared" si="120"/>
        <v>4652973.419999999</v>
      </c>
      <c r="SW40" s="1471">
        <f t="shared" si="120"/>
        <v>7845636.3399999989</v>
      </c>
      <c r="SX40" s="1471">
        <f t="shared" si="120"/>
        <v>2294484.3099999977</v>
      </c>
      <c r="SY40" s="1471">
        <f t="shared" si="120"/>
        <v>10140120.649999997</v>
      </c>
      <c r="SZ40" s="1471"/>
      <c r="TA40" s="1471"/>
      <c r="TB40" s="1470"/>
      <c r="TC40" s="1470"/>
      <c r="TD40" s="424"/>
      <c r="TE40" s="82">
        <f>ROW()</f>
        <v>40</v>
      </c>
      <c r="TF40" s="424"/>
      <c r="TG40" s="616"/>
      <c r="TH40" s="616"/>
      <c r="TI40" s="616"/>
      <c r="TJ40" s="616"/>
      <c r="TK40" s="1587"/>
      <c r="TL40" s="616"/>
      <c r="TM40" s="1587"/>
      <c r="TN40" s="616"/>
      <c r="TO40" s="1587"/>
      <c r="TP40" s="616"/>
      <c r="TQ40" s="1587"/>
      <c r="TR40" s="616"/>
      <c r="TS40" s="616"/>
      <c r="TT40" s="616"/>
      <c r="TU40" s="1587"/>
      <c r="TV40" s="616"/>
      <c r="TW40" s="424"/>
      <c r="TX40" s="82">
        <f>ROW()</f>
        <v>40</v>
      </c>
      <c r="UR40" s="1545"/>
      <c r="US40" s="1545"/>
      <c r="UT40" s="1545"/>
      <c r="UU40" s="1545"/>
      <c r="UV40" s="1545"/>
      <c r="UW40" s="1545"/>
      <c r="UX40" s="1545"/>
      <c r="UY40" s="1545"/>
      <c r="UZ40" s="1545"/>
      <c r="VA40" s="1545"/>
      <c r="VB40" s="1545"/>
      <c r="VC40" s="1545"/>
      <c r="VD40" s="1545"/>
    </row>
    <row r="41" spans="1:576" ht="15.75" thickTop="1" x14ac:dyDescent="0.25">
      <c r="A41" s="22">
        <f>ROW()</f>
        <v>41</v>
      </c>
      <c r="B41" t="s">
        <v>908</v>
      </c>
      <c r="C41" s="1550" t="s">
        <v>876</v>
      </c>
      <c r="D41" s="560"/>
      <c r="E41" s="1392">
        <v>1502765.34</v>
      </c>
      <c r="F41" s="1162"/>
      <c r="G41" s="1590"/>
      <c r="H41" s="880"/>
      <c r="I41" s="619"/>
      <c r="J41" s="984"/>
      <c r="K41" s="619"/>
      <c r="L41" s="8"/>
      <c r="M41" s="619"/>
      <c r="N41" s="619"/>
      <c r="O41" s="619"/>
      <c r="P41" s="619"/>
      <c r="Q41" s="619"/>
      <c r="R41" s="619"/>
      <c r="S41" s="22">
        <f>ROW()</f>
        <v>41</v>
      </c>
      <c r="T41" s="1424" t="s">
        <v>407</v>
      </c>
      <c r="U41" s="1183"/>
      <c r="V41" s="20"/>
      <c r="W41" s="74"/>
      <c r="AK41" s="850"/>
      <c r="AL41" s="842"/>
      <c r="AM41" s="1191"/>
      <c r="AN41" s="619"/>
      <c r="AO41" s="619"/>
      <c r="AP41" s="619"/>
      <c r="AQ41" s="1593">
        <v>-93823.423683371337</v>
      </c>
      <c r="AR41" s="1593">
        <v>324401.74103860889</v>
      </c>
      <c r="AS41" s="1593"/>
      <c r="AT41" s="1593"/>
      <c r="AU41" s="1593"/>
      <c r="AV41" s="1593"/>
      <c r="AW41" s="1593"/>
      <c r="AX41" s="1593"/>
      <c r="AY41" s="18"/>
      <c r="AZ41" s="18"/>
      <c r="BA41" s="18"/>
      <c r="BB41" s="18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V41"/>
      <c r="BW41"/>
      <c r="BX41"/>
      <c r="BY41"/>
      <c r="BZ41"/>
      <c r="CA41"/>
      <c r="CB41"/>
      <c r="DE41" s="1"/>
      <c r="DF41" s="1"/>
      <c r="DG41" s="1"/>
      <c r="DH41" s="1"/>
      <c r="DI41" s="1"/>
      <c r="DJ41" s="1"/>
      <c r="DK41" s="1"/>
      <c r="DL41" s="1"/>
      <c r="FY41" s="30"/>
      <c r="FZ41" s="1217"/>
      <c r="GA41" s="20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IS41"/>
      <c r="IT41"/>
      <c r="IU41"/>
      <c r="IV41"/>
      <c r="IW41"/>
      <c r="IX41"/>
      <c r="IY41"/>
      <c r="IZ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U41" s="477"/>
      <c r="MW41" s="22"/>
      <c r="MX41" s="924"/>
      <c r="MY41" s="924"/>
      <c r="MZ41" s="938"/>
      <c r="NA41" s="924"/>
      <c r="NB41" s="924"/>
      <c r="NC41" s="113"/>
      <c r="ND41" s="113"/>
      <c r="NE41" s="113"/>
      <c r="NF41" s="113"/>
      <c r="NG41" s="113"/>
      <c r="NH41" s="113"/>
      <c r="NI41" s="113"/>
      <c r="NJ41" s="114"/>
      <c r="NO41" s="30"/>
      <c r="NP41" s="842"/>
      <c r="NQ41" s="917"/>
      <c r="NR41" s="619"/>
      <c r="NS41" s="747"/>
      <c r="NT41" s="619"/>
      <c r="NU41" s="747"/>
      <c r="NV41" s="619"/>
      <c r="NW41" s="747"/>
      <c r="NX41" s="619"/>
      <c r="NY41" s="640"/>
      <c r="NZ41" s="619"/>
      <c r="OA41" s="640"/>
      <c r="OB41" s="619"/>
      <c r="OC41" s="1521"/>
      <c r="OD41" s="1521"/>
      <c r="OE41" s="1521"/>
      <c r="OF41" s="1521"/>
      <c r="OG41" s="482">
        <f>ROW()</f>
        <v>41</v>
      </c>
      <c r="OJ41" s="616"/>
      <c r="OK41" s="616"/>
      <c r="OL41" s="616"/>
      <c r="OM41" s="616"/>
      <c r="ON41" s="616"/>
      <c r="OO41" s="616"/>
      <c r="OP41" s="616"/>
      <c r="OQ41" s="616"/>
      <c r="OR41" s="616"/>
      <c r="OS41" s="616"/>
      <c r="OT41" s="616"/>
      <c r="OU41" s="616"/>
      <c r="OV41" s="616"/>
      <c r="OW41" s="616"/>
      <c r="OX41" s="616"/>
      <c r="OY41" s="22">
        <f>ROW()</f>
        <v>41</v>
      </c>
      <c r="OZ41" s="858" t="s">
        <v>17</v>
      </c>
      <c r="PA41" s="711">
        <v>2.8909999999999999E-3</v>
      </c>
      <c r="PB41" s="78">
        <f>$PB$38*PA41</f>
        <v>11113.49148042</v>
      </c>
      <c r="PC41" s="78">
        <f>-PB41</f>
        <v>-11113.49148042</v>
      </c>
      <c r="PD41" s="78"/>
      <c r="PE41" s="78"/>
      <c r="PM41" s="1568"/>
      <c r="PN41" s="1438"/>
      <c r="PO41" s="1595"/>
      <c r="PP41" s="1595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 s="64"/>
      <c r="QF41" s="64"/>
      <c r="QG41" s="64"/>
      <c r="QH41" s="64"/>
      <c r="QJ41" s="424"/>
      <c r="QK41" s="424"/>
      <c r="QL41" s="424"/>
      <c r="QM41" s="424"/>
      <c r="QN41" s="424"/>
      <c r="QO41" s="424"/>
      <c r="QP41" s="424"/>
      <c r="QQ41" s="424"/>
      <c r="QR41" s="424"/>
      <c r="QS41" s="424"/>
      <c r="QT41" s="424"/>
      <c r="QU41" s="424"/>
      <c r="QV41" s="424"/>
      <c r="QW41" s="424"/>
      <c r="QX41" s="424"/>
      <c r="QY41" s="424"/>
      <c r="QZ41" s="424"/>
      <c r="RA41" s="424"/>
      <c r="RT41" s="616"/>
      <c r="RU41" s="616"/>
      <c r="RV41" s="616"/>
      <c r="RW41" s="616"/>
      <c r="RX41" s="616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82">
        <f>ROW()</f>
        <v>41</v>
      </c>
      <c r="SM41" s="616"/>
      <c r="SN41" s="1484"/>
      <c r="SO41" s="1490"/>
      <c r="SP41" s="1490"/>
      <c r="SQ41" s="1490"/>
      <c r="SR41" s="1490"/>
      <c r="SS41" s="1490"/>
      <c r="ST41" s="1490"/>
      <c r="SU41" s="1490"/>
      <c r="SV41" s="1490"/>
      <c r="SW41" s="1490"/>
      <c r="SX41" s="1490"/>
      <c r="SY41" s="1490"/>
      <c r="SZ41" s="1490"/>
      <c r="TA41" s="1490"/>
      <c r="TB41" s="1594"/>
      <c r="TC41" s="1594"/>
      <c r="TD41" s="424"/>
      <c r="TE41" s="82">
        <f>ROW()</f>
        <v>41</v>
      </c>
      <c r="TF41" s="424"/>
      <c r="TG41" s="616"/>
      <c r="TH41" s="616"/>
      <c r="TI41" s="616"/>
      <c r="TJ41" s="616"/>
      <c r="TK41" s="616"/>
      <c r="TL41" s="616"/>
      <c r="TM41" s="616"/>
      <c r="TN41" s="616"/>
      <c r="TO41" s="616"/>
      <c r="TP41" s="616"/>
      <c r="TQ41" s="616"/>
      <c r="TR41" s="616"/>
      <c r="TS41" s="616"/>
      <c r="TT41" s="616"/>
      <c r="TU41" s="616"/>
      <c r="TV41" s="616"/>
      <c r="TW41" s="424"/>
      <c r="TX41" s="82">
        <f>ROW()</f>
        <v>41</v>
      </c>
      <c r="TY41" s="72" t="s">
        <v>398</v>
      </c>
      <c r="TZ41" s="1582"/>
      <c r="UA41" s="1581"/>
      <c r="UB41" s="1581"/>
      <c r="UR41" s="1545"/>
      <c r="US41" s="1545"/>
      <c r="UT41" s="1545"/>
      <c r="UU41" s="1545"/>
      <c r="UV41" s="1545"/>
      <c r="UW41" s="1545"/>
      <c r="UX41" s="1545"/>
      <c r="UY41" s="1545"/>
      <c r="UZ41" s="1545"/>
      <c r="VA41" s="1545"/>
      <c r="VB41" s="1545"/>
      <c r="VC41" s="1545"/>
      <c r="VD41" s="1545"/>
    </row>
    <row r="42" spans="1:576" x14ac:dyDescent="0.25">
      <c r="A42" s="22">
        <f>ROW()</f>
        <v>42</v>
      </c>
      <c r="B42" t="s">
        <v>907</v>
      </c>
      <c r="C42" s="23"/>
      <c r="D42" s="1387"/>
      <c r="E42" s="1392"/>
      <c r="F42" s="1162"/>
      <c r="G42" s="1590"/>
      <c r="H42" s="880"/>
      <c r="I42" s="619"/>
      <c r="J42" s="984"/>
      <c r="K42" s="619"/>
      <c r="L42" s="8"/>
      <c r="M42" s="619"/>
      <c r="N42" s="619"/>
      <c r="O42" s="619"/>
      <c r="P42" s="619"/>
      <c r="Q42" s="619"/>
      <c r="R42" s="619"/>
      <c r="S42" s="22">
        <f>ROW()</f>
        <v>42</v>
      </c>
      <c r="T42" s="603" t="s">
        <v>414</v>
      </c>
      <c r="U42" s="1415">
        <f>V42/V17</f>
        <v>0.95269514506903563</v>
      </c>
      <c r="V42" s="668">
        <v>2703965.55</v>
      </c>
      <c r="W42" s="74">
        <f>-V42</f>
        <v>-2703965.55</v>
      </c>
      <c r="X42" s="668">
        <f>SUM(V42:W42)</f>
        <v>0</v>
      </c>
      <c r="Y42" s="668"/>
      <c r="Z42" s="668">
        <f>SUM(X42:Y42)</f>
        <v>0</v>
      </c>
      <c r="AA42" s="668"/>
      <c r="AB42" s="668">
        <f>SUM(Z42:AA42)</f>
        <v>0</v>
      </c>
      <c r="AC42" s="668"/>
      <c r="AD42" s="668">
        <f>SUM(AB42:AC42)</f>
        <v>0</v>
      </c>
      <c r="AE42" s="668"/>
      <c r="AF42" s="668">
        <f>SUM(AD42:AE42)</f>
        <v>0</v>
      </c>
      <c r="AL42" s="842"/>
      <c r="AM42" s="1191"/>
      <c r="AN42" s="619"/>
      <c r="AO42" s="619"/>
      <c r="AP42" s="619"/>
      <c r="AQ42" s="1593">
        <v>-900915.97006365238</v>
      </c>
      <c r="AR42" s="1593">
        <v>3114986.6178879822</v>
      </c>
      <c r="AS42" s="1593"/>
      <c r="AT42" s="1593"/>
      <c r="AU42" s="1593"/>
      <c r="AV42" s="1593"/>
      <c r="AW42" s="1593"/>
      <c r="AX42" s="1593"/>
      <c r="AY42" s="18"/>
      <c r="AZ42" s="18"/>
      <c r="BA42" s="18"/>
      <c r="BB42" s="18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V42"/>
      <c r="BW42"/>
      <c r="BX42"/>
      <c r="BY42"/>
      <c r="BZ42"/>
      <c r="CA42"/>
      <c r="CB42"/>
      <c r="DE42" s="1"/>
      <c r="DF42" s="1"/>
      <c r="DG42" s="1"/>
      <c r="DH42" s="1"/>
      <c r="DI42" s="1"/>
      <c r="DJ42" s="1"/>
      <c r="DK42" s="1"/>
      <c r="DL42" s="1"/>
      <c r="FY42" s="30"/>
      <c r="FZ42" s="1217"/>
      <c r="GA42" s="20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IS42"/>
      <c r="IT42"/>
      <c r="IU42"/>
      <c r="IV42"/>
      <c r="IW42"/>
      <c r="IX42"/>
      <c r="IY42"/>
      <c r="IZ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U42" s="477"/>
      <c r="MW42" s="22"/>
      <c r="MX42" s="924"/>
      <c r="MY42" s="924"/>
      <c r="MZ42" s="20"/>
      <c r="NA42" s="20"/>
      <c r="NB42" s="20"/>
      <c r="NC42" s="859"/>
      <c r="ND42" s="860" t="s">
        <v>61</v>
      </c>
      <c r="NE42" s="128">
        <v>2024</v>
      </c>
      <c r="NF42" s="129" t="s">
        <v>62</v>
      </c>
      <c r="NG42" s="129">
        <v>2025</v>
      </c>
      <c r="NH42" s="129" t="s">
        <v>62</v>
      </c>
      <c r="NI42" s="129">
        <v>2026</v>
      </c>
      <c r="NJ42" s="1592" t="s">
        <v>62</v>
      </c>
      <c r="NO42" s="30"/>
      <c r="NP42" s="842"/>
      <c r="NQ42" s="20"/>
      <c r="NR42" s="619"/>
      <c r="NS42" s="619"/>
      <c r="NT42" s="619"/>
      <c r="NU42" s="619"/>
      <c r="NV42" s="619"/>
      <c r="NW42" s="619"/>
      <c r="NX42" s="619"/>
      <c r="NY42" s="640"/>
      <c r="NZ42" s="619"/>
      <c r="OA42" s="619"/>
      <c r="OB42" s="619"/>
      <c r="OC42" s="1521"/>
      <c r="OD42" s="1521"/>
      <c r="OE42" s="1521"/>
      <c r="OF42" s="1521"/>
      <c r="OG42" s="482">
        <f>ROW()</f>
        <v>42</v>
      </c>
      <c r="OJ42" s="616"/>
      <c r="OK42" s="616"/>
      <c r="OL42" s="616"/>
      <c r="OM42" s="616"/>
      <c r="ON42" s="616"/>
      <c r="OO42" s="616"/>
      <c r="OP42" s="616"/>
      <c r="OQ42" s="616"/>
      <c r="OR42" s="616"/>
      <c r="OS42" s="616"/>
      <c r="OT42" s="616"/>
      <c r="OU42" s="616"/>
      <c r="OV42" s="616"/>
      <c r="OW42" s="616"/>
      <c r="OX42" s="616"/>
      <c r="OY42" s="22">
        <f>ROW()</f>
        <v>42</v>
      </c>
      <c r="OZ42" s="858" t="s">
        <v>20</v>
      </c>
      <c r="PA42" s="1151">
        <v>5.0000000000000001E-3</v>
      </c>
      <c r="PB42" s="638">
        <f>$PB$38*PA42</f>
        <v>19220.843100000002</v>
      </c>
      <c r="PC42" s="638">
        <f>-PB42</f>
        <v>-19220.843100000002</v>
      </c>
      <c r="PD42" s="78"/>
      <c r="PE42" s="78"/>
      <c r="PM42" s="1442"/>
      <c r="PN42" s="1442"/>
      <c r="PO42" s="63"/>
      <c r="PP42" s="63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J42" s="424"/>
      <c r="QK42" s="424"/>
      <c r="QL42" s="424"/>
      <c r="QM42" s="424"/>
      <c r="QN42" s="424"/>
      <c r="QO42" s="424"/>
      <c r="QP42" s="424"/>
      <c r="QQ42" s="424"/>
      <c r="QR42" s="424"/>
      <c r="QS42" s="424"/>
      <c r="QT42" s="424"/>
      <c r="QU42" s="424"/>
      <c r="QV42" s="424"/>
      <c r="QW42" s="424"/>
      <c r="QX42" s="424"/>
      <c r="QY42" s="424"/>
      <c r="QZ42" s="424"/>
      <c r="RA42" s="424"/>
      <c r="RT42" s="616"/>
      <c r="RU42" s="616"/>
      <c r="RV42" s="616"/>
      <c r="RW42" s="616"/>
      <c r="RX42" s="616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82">
        <f>ROW()</f>
        <v>42</v>
      </c>
      <c r="SM42" s="616" t="s">
        <v>259</v>
      </c>
      <c r="SN42" s="1484">
        <v>0.21</v>
      </c>
      <c r="SO42" s="1469"/>
      <c r="SP42" s="1469"/>
      <c r="SQ42" s="1469"/>
      <c r="SR42" s="1469">
        <f t="shared" ref="SR42:SY42" si="121">SR40*-$SN$42</f>
        <v>-84787.856999999975</v>
      </c>
      <c r="SS42" s="1469">
        <f t="shared" si="121"/>
        <v>-84787.856999999975</v>
      </c>
      <c r="ST42" s="1469">
        <f t="shared" si="121"/>
        <v>-585671.35620000004</v>
      </c>
      <c r="SU42" s="1469">
        <f t="shared" si="121"/>
        <v>-670459.2132</v>
      </c>
      <c r="SV42" s="1469">
        <f t="shared" si="121"/>
        <v>-977124.41819999972</v>
      </c>
      <c r="SW42" s="1469">
        <f t="shared" si="121"/>
        <v>-1647583.6313999996</v>
      </c>
      <c r="SX42" s="1469">
        <f t="shared" si="121"/>
        <v>-481841.7050999995</v>
      </c>
      <c r="SY42" s="1469">
        <f t="shared" si="121"/>
        <v>-2129425.3364999993</v>
      </c>
      <c r="SZ42" s="1469"/>
      <c r="TA42" s="1469"/>
      <c r="TB42" s="1468"/>
      <c r="TC42" s="1468"/>
      <c r="TD42" s="424"/>
      <c r="TE42" s="394"/>
      <c r="TF42" s="424"/>
      <c r="TG42" s="616"/>
      <c r="TH42" s="616"/>
      <c r="TI42" s="616"/>
      <c r="TJ42" s="616"/>
      <c r="TK42" s="616"/>
      <c r="TL42" s="616"/>
      <c r="TM42" s="616"/>
      <c r="TN42" s="616"/>
      <c r="TO42" s="1587"/>
      <c r="TP42" s="616"/>
      <c r="TQ42" s="1587"/>
      <c r="TR42" s="616"/>
      <c r="TS42" s="616"/>
      <c r="TT42" s="616"/>
      <c r="TU42" s="1587"/>
      <c r="TV42" s="616"/>
      <c r="TW42" s="424"/>
      <c r="TX42" s="82">
        <f>ROW()</f>
        <v>42</v>
      </c>
      <c r="TY42" s="848" t="s">
        <v>402</v>
      </c>
      <c r="TZ42" s="1582"/>
      <c r="UA42" s="1581"/>
      <c r="UB42" s="1581"/>
      <c r="UR42" s="1545"/>
      <c r="US42" s="20"/>
      <c r="UT42" s="78"/>
      <c r="UU42" s="78"/>
      <c r="UV42" s="78"/>
      <c r="UW42" s="78"/>
      <c r="UX42" s="78"/>
      <c r="UY42" s="78"/>
      <c r="UZ42" s="78"/>
      <c r="VA42" s="78"/>
      <c r="VB42" s="78"/>
      <c r="VC42" s="78"/>
      <c r="VD42" s="78"/>
    </row>
    <row r="43" spans="1:576" x14ac:dyDescent="0.25">
      <c r="A43" s="22">
        <f>ROW()</f>
        <v>43</v>
      </c>
      <c r="B43" t="s">
        <v>906</v>
      </c>
      <c r="C43" s="23"/>
      <c r="D43" s="1387"/>
      <c r="E43" s="1392"/>
      <c r="F43" s="1162"/>
      <c r="G43" s="1590"/>
      <c r="H43" s="880"/>
      <c r="I43" s="619"/>
      <c r="J43" s="984"/>
      <c r="K43" s="619"/>
      <c r="L43" s="8"/>
      <c r="M43" s="619"/>
      <c r="N43" s="619"/>
      <c r="O43" s="619"/>
      <c r="P43" s="619"/>
      <c r="Q43" s="619"/>
      <c r="R43" s="619"/>
      <c r="S43" s="22">
        <f>ROW()</f>
        <v>43</v>
      </c>
      <c r="T43" s="603" t="s">
        <v>905</v>
      </c>
      <c r="U43" s="1415">
        <f>V43/V18</f>
        <v>0.95440034297010279</v>
      </c>
      <c r="V43" s="668">
        <v>22395680.359999999</v>
      </c>
      <c r="W43" s="74">
        <f>-V43</f>
        <v>-22395680.359999999</v>
      </c>
      <c r="X43" s="668">
        <f>SUM(V43:W43)</f>
        <v>0</v>
      </c>
      <c r="Y43" s="668"/>
      <c r="Z43" s="668">
        <f>SUM(X43:Y43)</f>
        <v>0</v>
      </c>
      <c r="AA43" s="668"/>
      <c r="AB43" s="668">
        <f>SUM(Z43:AA43)</f>
        <v>0</v>
      </c>
      <c r="AC43" s="668"/>
      <c r="AD43" s="668">
        <f>SUM(AB43:AC43)</f>
        <v>0</v>
      </c>
      <c r="AE43" s="668"/>
      <c r="AF43" s="668">
        <f>SUM(AD43:AE43)</f>
        <v>0</v>
      </c>
      <c r="AL43" s="881"/>
      <c r="AM43" s="1191"/>
      <c r="AN43" s="619"/>
      <c r="AO43" s="619"/>
      <c r="AP43" s="619"/>
      <c r="AQ43" s="1589">
        <v>-1062550.2732141803</v>
      </c>
      <c r="AR43" s="1589">
        <v>3673849.7172622457</v>
      </c>
      <c r="AS43" s="1589"/>
      <c r="AT43" s="1589"/>
      <c r="AU43" s="1589"/>
      <c r="AV43" s="1589"/>
      <c r="AW43" s="1589"/>
      <c r="AX43" s="1589"/>
      <c r="AY43" s="18"/>
      <c r="AZ43" s="18"/>
      <c r="BA43" s="18"/>
      <c r="BB43" s="18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V43"/>
      <c r="BW43"/>
      <c r="BX43"/>
      <c r="BY43"/>
      <c r="BZ43"/>
      <c r="CA43"/>
      <c r="CB43"/>
      <c r="DE43" s="1"/>
      <c r="DF43" s="1"/>
      <c r="DG43" s="1"/>
      <c r="DH43" s="1"/>
      <c r="DI43" s="1"/>
      <c r="DJ43" s="1"/>
      <c r="DK43" s="1"/>
      <c r="DL43" s="1"/>
      <c r="FY43" s="30"/>
      <c r="FZ43" s="1217"/>
      <c r="GA43" s="20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IS43"/>
      <c r="IT43"/>
      <c r="IU43"/>
      <c r="IV43"/>
      <c r="IW43"/>
      <c r="IX43"/>
      <c r="IY43"/>
      <c r="IZ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U43" s="477"/>
      <c r="MI43" s="863"/>
      <c r="MW43" s="22"/>
      <c r="MX43" s="20"/>
      <c r="MY43" s="490"/>
      <c r="MZ43" s="100"/>
      <c r="NA43" s="942"/>
      <c r="NB43" s="100"/>
      <c r="NC43" s="864" t="s">
        <v>70</v>
      </c>
      <c r="ND43" s="865" t="s">
        <v>62</v>
      </c>
      <c r="NE43" s="142" t="s">
        <v>71</v>
      </c>
      <c r="NF43" s="143" t="s">
        <v>66</v>
      </c>
      <c r="NG43" s="143" t="s">
        <v>9</v>
      </c>
      <c r="NH43" s="143" t="s">
        <v>66</v>
      </c>
      <c r="NI43" s="143" t="s">
        <v>10</v>
      </c>
      <c r="NJ43" s="1588" t="s">
        <v>66</v>
      </c>
      <c r="NO43" s="30"/>
      <c r="NP43" s="1195"/>
      <c r="NQ43" s="20"/>
      <c r="NR43" s="1196"/>
      <c r="NS43" s="1196"/>
      <c r="NT43" s="1196"/>
      <c r="NU43" s="1196"/>
      <c r="NV43" s="1196"/>
      <c r="NW43" s="1196"/>
      <c r="NX43" s="1196"/>
      <c r="NY43" s="1196"/>
      <c r="NZ43" s="1196"/>
      <c r="OA43" s="1196"/>
      <c r="OB43" s="1196"/>
      <c r="OC43" s="1521"/>
      <c r="OD43" s="1521"/>
      <c r="OE43" s="1521"/>
      <c r="OF43" s="1521"/>
      <c r="OU43" s="616"/>
      <c r="OV43" s="616"/>
      <c r="OW43" s="616"/>
      <c r="OX43" s="616"/>
      <c r="OY43" s="22">
        <f>ROW()</f>
        <v>43</v>
      </c>
      <c r="OZ43" s="858" t="s">
        <v>319</v>
      </c>
      <c r="PA43" s="711">
        <v>3.8408999999999999E-2</v>
      </c>
      <c r="PB43" s="651">
        <f>$PB$38*PA43</f>
        <v>147650.67252558001</v>
      </c>
      <c r="PC43" s="651">
        <f>-PB43</f>
        <v>-147650.67252558001</v>
      </c>
      <c r="PD43" s="651"/>
      <c r="PE43" s="651"/>
      <c r="PF43" s="17"/>
      <c r="PG43" s="17"/>
      <c r="PH43" s="17"/>
      <c r="PI43" s="1591"/>
      <c r="PJ43" s="1591"/>
      <c r="PK43" s="1591"/>
      <c r="PL43" s="1591"/>
      <c r="PM43" s="1575"/>
      <c r="PN43" s="1575"/>
      <c r="PO43" s="63"/>
      <c r="PP43" s="6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J43" s="424"/>
      <c r="QK43" s="424"/>
      <c r="QL43" s="424"/>
      <c r="QM43" s="424"/>
      <c r="QN43" s="424"/>
      <c r="QO43" s="424"/>
      <c r="QP43" s="424"/>
      <c r="QQ43" s="424"/>
      <c r="QR43" s="424"/>
      <c r="QS43" s="424"/>
      <c r="QT43" s="424"/>
      <c r="QU43" s="424"/>
      <c r="QV43" s="424"/>
      <c r="QW43" s="424"/>
      <c r="QX43" s="424"/>
      <c r="QY43" s="424"/>
      <c r="QZ43" s="424"/>
      <c r="RA43" s="424"/>
      <c r="RT43" s="424"/>
      <c r="RU43" s="424"/>
      <c r="RV43" s="424"/>
      <c r="RW43" s="424"/>
      <c r="RX43" s="424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82">
        <f>ROW()</f>
        <v>43</v>
      </c>
      <c r="SM43" s="616"/>
      <c r="SN43" s="1484"/>
      <c r="SO43" s="1487"/>
      <c r="SP43" s="1487"/>
      <c r="SQ43" s="1487"/>
      <c r="SR43" s="1487"/>
      <c r="SS43" s="1487"/>
      <c r="ST43" s="1487"/>
      <c r="SU43" s="1487"/>
      <c r="SV43" s="1487"/>
      <c r="SW43" s="1487"/>
      <c r="SX43" s="1487"/>
      <c r="SY43" s="1487"/>
      <c r="SZ43" s="1487"/>
      <c r="TA43" s="1487"/>
      <c r="TB43" s="1486"/>
      <c r="TC43" s="1486"/>
      <c r="TD43" s="424"/>
      <c r="TE43" s="394"/>
      <c r="TF43" s="424"/>
      <c r="TG43" s="616"/>
      <c r="TH43" s="616"/>
      <c r="TI43" s="616"/>
      <c r="TJ43" s="616"/>
      <c r="TK43" s="616"/>
      <c r="TL43" s="616"/>
      <c r="TM43" s="616"/>
      <c r="TN43" s="616"/>
      <c r="TO43" s="616"/>
      <c r="TP43" s="616"/>
      <c r="TQ43" s="616"/>
      <c r="TR43" s="616"/>
      <c r="TS43" s="616"/>
      <c r="TT43" s="616"/>
      <c r="TU43" s="616"/>
      <c r="TV43" s="616"/>
      <c r="TW43" s="424"/>
      <c r="TX43" s="82">
        <f>ROW()</f>
        <v>43</v>
      </c>
      <c r="TY43" s="848" t="s">
        <v>403</v>
      </c>
      <c r="TZ43" s="1582"/>
      <c r="UA43" s="1581"/>
      <c r="UB43" s="1581"/>
      <c r="UR43" s="1543"/>
      <c r="US43" s="20"/>
      <c r="UT43" s="78"/>
      <c r="UU43" s="78"/>
      <c r="UV43" s="78"/>
      <c r="UW43" s="78"/>
      <c r="UX43" s="78"/>
      <c r="UY43" s="78"/>
      <c r="UZ43" s="78"/>
      <c r="VA43" s="78"/>
      <c r="VB43" s="78"/>
      <c r="VC43" s="78"/>
      <c r="VD43" s="78"/>
    </row>
    <row r="44" spans="1:576" ht="15.75" thickBot="1" x14ac:dyDescent="0.3">
      <c r="A44" s="22">
        <f>ROW()</f>
        <v>44</v>
      </c>
      <c r="B44" t="s">
        <v>904</v>
      </c>
      <c r="C44" s="23"/>
      <c r="D44" s="1387"/>
      <c r="E44" s="1174">
        <v>0</v>
      </c>
      <c r="F44" s="1162"/>
      <c r="G44" s="1590"/>
      <c r="H44" s="880"/>
      <c r="I44" s="619"/>
      <c r="J44" s="984"/>
      <c r="K44" s="619"/>
      <c r="L44" s="8"/>
      <c r="M44" s="619"/>
      <c r="N44" s="619"/>
      <c r="O44" s="619"/>
      <c r="P44" s="619"/>
      <c r="Q44" s="619"/>
      <c r="R44" s="619"/>
      <c r="S44" s="22">
        <f>ROW()</f>
        <v>44</v>
      </c>
      <c r="T44" s="603" t="s">
        <v>410</v>
      </c>
      <c r="U44" s="1415">
        <f>V44/SUM(V19,V31)</f>
        <v>0.95443575362907673</v>
      </c>
      <c r="V44" s="668">
        <v>20829778.100000001</v>
      </c>
      <c r="W44" s="74">
        <f>-V44</f>
        <v>-20829778.100000001</v>
      </c>
      <c r="X44" s="668">
        <f>SUM(V44:W44)</f>
        <v>0</v>
      </c>
      <c r="Y44" s="668"/>
      <c r="Z44" s="668">
        <f>SUM(X44:Y44)</f>
        <v>0</v>
      </c>
      <c r="AA44" s="668"/>
      <c r="AB44" s="668">
        <f>SUM(Z44:AA44)</f>
        <v>0</v>
      </c>
      <c r="AC44" s="668"/>
      <c r="AD44" s="668">
        <f>SUM(AB44:AC44)</f>
        <v>0</v>
      </c>
      <c r="AE44" s="668"/>
      <c r="AF44" s="668">
        <f>SUM(AD44:AE44)</f>
        <v>0</v>
      </c>
      <c r="AL44" s="881"/>
      <c r="AM44" s="1191"/>
      <c r="AN44" s="619"/>
      <c r="AO44" s="619"/>
      <c r="AP44" s="619"/>
      <c r="AQ44" s="1589"/>
      <c r="AR44" s="1589"/>
      <c r="AS44" s="1589"/>
      <c r="AT44" s="1589"/>
      <c r="AU44" s="1589"/>
      <c r="AV44" s="1589"/>
      <c r="AW44" s="1589"/>
      <c r="AX44" s="1589"/>
      <c r="AY44" s="18"/>
      <c r="AZ44" s="18"/>
      <c r="BA44" s="18"/>
      <c r="BB44" s="18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V44"/>
      <c r="BW44"/>
      <c r="BX44"/>
      <c r="BY44"/>
      <c r="BZ44"/>
      <c r="CA44"/>
      <c r="CB44"/>
      <c r="FY44" s="30"/>
      <c r="FZ44" s="1217"/>
      <c r="GA44" s="20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IS44"/>
      <c r="IT44"/>
      <c r="IU44"/>
      <c r="IV44"/>
      <c r="IW44"/>
      <c r="IX44"/>
      <c r="IY44"/>
      <c r="IZ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MW44" s="22"/>
      <c r="MX44" s="515"/>
      <c r="MY44" s="491"/>
      <c r="MZ44" s="100"/>
      <c r="NA44" s="100"/>
      <c r="NB44" s="100"/>
      <c r="NC44" s="864" t="s">
        <v>182</v>
      </c>
      <c r="ND44" s="865" t="s">
        <v>69</v>
      </c>
      <c r="NE44" s="142" t="s">
        <v>183</v>
      </c>
      <c r="NF44" s="143" t="s">
        <v>72</v>
      </c>
      <c r="NG44" s="143" t="s">
        <v>183</v>
      </c>
      <c r="NH44" s="143" t="s">
        <v>73</v>
      </c>
      <c r="NI44" s="143" t="s">
        <v>183</v>
      </c>
      <c r="NJ44" s="1588" t="s">
        <v>73</v>
      </c>
      <c r="NO44" s="30"/>
      <c r="NP44" s="1197"/>
      <c r="NQ44" s="41"/>
      <c r="NR44" s="560"/>
      <c r="NS44" s="560"/>
      <c r="NT44" s="560"/>
      <c r="NU44" s="560"/>
      <c r="NV44" s="560"/>
      <c r="NW44" s="560"/>
      <c r="NX44" s="560"/>
      <c r="NY44" s="560"/>
      <c r="NZ44" s="560"/>
      <c r="OA44" s="560"/>
      <c r="OB44" s="560"/>
      <c r="OC44" s="1521">
        <v>0</v>
      </c>
      <c r="OD44" s="1521">
        <v>0</v>
      </c>
      <c r="OE44" s="1521"/>
      <c r="OF44" s="1521">
        <v>0</v>
      </c>
      <c r="OU44" s="616"/>
      <c r="OV44" s="616"/>
      <c r="OW44" s="616"/>
      <c r="OX44" s="616"/>
      <c r="OY44" s="22">
        <f>ROW()</f>
        <v>44</v>
      </c>
      <c r="OZ44" s="690" t="s">
        <v>332</v>
      </c>
      <c r="PA44" s="1457"/>
      <c r="PB44" s="638">
        <f>SUM(PB41:PB43)</f>
        <v>177985.007106</v>
      </c>
      <c r="PC44" s="638">
        <f>SUM(PC41:PC43)</f>
        <v>-177985.007106</v>
      </c>
      <c r="PD44" s="78">
        <f>SUM(PD41:PD43)</f>
        <v>0</v>
      </c>
      <c r="PE44" s="78">
        <f>SUM(PE41:PE43)</f>
        <v>0</v>
      </c>
      <c r="PM44" s="1570"/>
      <c r="PN44" s="1570"/>
      <c r="PO44" s="63"/>
      <c r="PP44" s="63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J44" s="424"/>
      <c r="QK44" s="424"/>
      <c r="QL44" s="424"/>
      <c r="QM44" s="424"/>
      <c r="QN44" s="424"/>
      <c r="QO44" s="424"/>
      <c r="QP44" s="424"/>
      <c r="QQ44" s="424"/>
      <c r="QR44" s="424"/>
      <c r="QS44" s="424"/>
      <c r="QT44" s="424"/>
      <c r="QU44" s="424"/>
      <c r="QV44" s="424"/>
      <c r="QW44" s="424"/>
      <c r="QX44" s="424"/>
      <c r="QY44" s="424"/>
      <c r="QZ44" s="424"/>
      <c r="RA44" s="424"/>
      <c r="RT44" s="424"/>
      <c r="RU44" s="424"/>
      <c r="RV44" s="424"/>
      <c r="RW44" s="424"/>
      <c r="RX44" s="424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82">
        <f>ROW()</f>
        <v>44</v>
      </c>
      <c r="SM44" s="616" t="s">
        <v>240</v>
      </c>
      <c r="SN44" s="1484"/>
      <c r="SO44" s="1483"/>
      <c r="SP44" s="1483"/>
      <c r="SQ44" s="1483"/>
      <c r="SR44" s="1483">
        <f t="shared" ref="SR44:SY44" si="122">-SR40-SR42</f>
        <v>-318963.84299999994</v>
      </c>
      <c r="SS44" s="1483">
        <f t="shared" si="122"/>
        <v>-318963.84299999994</v>
      </c>
      <c r="ST44" s="1483">
        <f t="shared" si="122"/>
        <v>-2203239.8638000004</v>
      </c>
      <c r="SU44" s="1483">
        <f t="shared" si="122"/>
        <v>-2522203.7067999998</v>
      </c>
      <c r="SV44" s="1483">
        <f t="shared" si="122"/>
        <v>-3675849.0017999993</v>
      </c>
      <c r="SW44" s="1483">
        <f t="shared" si="122"/>
        <v>-6198052.7085999995</v>
      </c>
      <c r="SX44" s="1483">
        <f t="shared" si="122"/>
        <v>-1812642.6048999983</v>
      </c>
      <c r="SY44" s="1483">
        <f t="shared" si="122"/>
        <v>-8010695.3134999974</v>
      </c>
      <c r="SZ44" s="1483"/>
      <c r="TA44" s="1483"/>
      <c r="TB44" s="1482"/>
      <c r="TC44" s="1482"/>
      <c r="TD44" s="424"/>
      <c r="TE44" s="394"/>
      <c r="TF44" s="424"/>
      <c r="TG44" s="616"/>
      <c r="TH44" s="616"/>
      <c r="TI44" s="616"/>
      <c r="TJ44" s="616"/>
      <c r="TK44" s="616"/>
      <c r="TL44" s="616"/>
      <c r="TM44" s="616"/>
      <c r="TN44" s="616"/>
      <c r="TO44" s="1587"/>
      <c r="TP44" s="616"/>
      <c r="TQ44" s="616"/>
      <c r="TR44" s="616"/>
      <c r="TS44" s="616"/>
      <c r="TT44" s="616"/>
      <c r="TU44" s="616"/>
      <c r="TV44" s="616"/>
      <c r="TW44" s="424"/>
      <c r="TX44" s="82">
        <f>ROW()</f>
        <v>44</v>
      </c>
      <c r="TY44" s="848" t="s">
        <v>405</v>
      </c>
      <c r="TZ44" s="1582"/>
      <c r="UA44" s="1581"/>
      <c r="UB44" s="1581"/>
      <c r="UR44" s="1536"/>
      <c r="US44" s="20"/>
      <c r="UT44" s="78"/>
      <c r="UU44" s="78"/>
      <c r="UV44" s="78"/>
      <c r="UW44" s="78"/>
      <c r="UX44" s="78"/>
      <c r="UY44" s="78"/>
      <c r="UZ44" s="78"/>
      <c r="VA44" s="78"/>
      <c r="VB44" s="1541"/>
      <c r="VC44" s="78"/>
      <c r="VD44" s="1541"/>
    </row>
    <row r="45" spans="1:576" ht="15.75" thickTop="1" x14ac:dyDescent="0.25">
      <c r="A45" s="22">
        <f>ROW()</f>
        <v>45</v>
      </c>
      <c r="B45" t="s">
        <v>903</v>
      </c>
      <c r="C45" s="1550" t="s">
        <v>876</v>
      </c>
      <c r="D45" s="1387"/>
      <c r="E45" s="1174">
        <v>0</v>
      </c>
      <c r="F45" s="880"/>
      <c r="G45" s="641"/>
      <c r="H45" s="880"/>
      <c r="I45" s="619"/>
      <c r="J45" s="619"/>
      <c r="K45" s="619"/>
      <c r="L45" s="619"/>
      <c r="M45" s="619"/>
      <c r="N45" s="619"/>
      <c r="O45" s="619"/>
      <c r="P45" s="619"/>
      <c r="Q45" s="619"/>
      <c r="R45" s="619"/>
      <c r="S45" s="22">
        <f>ROW()</f>
        <v>45</v>
      </c>
      <c r="T45" s="603" t="s">
        <v>902</v>
      </c>
      <c r="U45" s="1415">
        <f>SUM(V45)/SUM(V20,V29)</f>
        <v>0.95978203323298106</v>
      </c>
      <c r="V45" s="668">
        <v>544647470.25</v>
      </c>
      <c r="W45" s="74">
        <f>-V45</f>
        <v>-544647470.25</v>
      </c>
      <c r="X45" s="668">
        <f>SUM(V45:W45)</f>
        <v>0</v>
      </c>
      <c r="Y45" s="668"/>
      <c r="Z45" s="668">
        <f>SUM(X45:Y45)</f>
        <v>0</v>
      </c>
      <c r="AA45" s="668"/>
      <c r="AB45" s="668">
        <f>SUM(Z45:AA45)</f>
        <v>0</v>
      </c>
      <c r="AC45" s="668"/>
      <c r="AD45" s="668">
        <f>SUM(AB45:AC45)</f>
        <v>0</v>
      </c>
      <c r="AE45" s="668"/>
      <c r="AF45" s="668">
        <f>SUM(AD45:AE45)</f>
        <v>0</v>
      </c>
      <c r="AL45" s="842"/>
      <c r="AM45" s="776"/>
      <c r="AN45" s="619"/>
      <c r="AO45" s="619"/>
      <c r="AP45" s="619"/>
      <c r="AQ45" s="1586">
        <v>-22393305.647628654</v>
      </c>
      <c r="AR45" s="1586">
        <v>77426585.542389989</v>
      </c>
      <c r="AS45" s="1586"/>
      <c r="AT45" s="1586"/>
      <c r="AU45" s="1586"/>
      <c r="AV45" s="1586"/>
      <c r="AW45" s="1586"/>
      <c r="AX45" s="1586"/>
      <c r="AY45" s="18"/>
      <c r="AZ45" s="18"/>
      <c r="BA45" s="18"/>
      <c r="BB45" s="18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V45"/>
      <c r="BW45"/>
      <c r="BX45"/>
      <c r="BY45"/>
      <c r="BZ45"/>
      <c r="CA45"/>
      <c r="CB45"/>
      <c r="FY45" s="30"/>
      <c r="FZ45" s="4"/>
      <c r="GA45" s="4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IS45"/>
      <c r="IT45"/>
      <c r="IU45"/>
      <c r="IV45"/>
      <c r="IW45"/>
      <c r="IX45"/>
      <c r="IY45"/>
      <c r="IZ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MI45" s="863"/>
      <c r="MW45" s="317"/>
      <c r="MX45" s="508"/>
      <c r="MY45" s="509"/>
      <c r="MZ45" s="100"/>
      <c r="NA45" s="100"/>
      <c r="NB45" s="100"/>
      <c r="NC45" s="872" t="s">
        <v>75</v>
      </c>
      <c r="ND45" s="873" t="s">
        <v>76</v>
      </c>
      <c r="NE45" s="155" t="s">
        <v>75</v>
      </c>
      <c r="NF45" s="156" t="s">
        <v>9</v>
      </c>
      <c r="NG45" s="156" t="s">
        <v>75</v>
      </c>
      <c r="NH45" s="156" t="s">
        <v>9</v>
      </c>
      <c r="NI45" s="156" t="s">
        <v>75</v>
      </c>
      <c r="NJ45" s="1585" t="s">
        <v>10</v>
      </c>
      <c r="NO45" s="30"/>
      <c r="NP45" s="1186"/>
      <c r="NQ45" s="1172"/>
      <c r="NR45" s="63"/>
      <c r="NS45" s="63"/>
      <c r="NT45" s="63"/>
      <c r="NU45" s="63"/>
      <c r="NV45" s="63"/>
      <c r="NW45" s="63"/>
      <c r="NX45" s="63"/>
      <c r="NY45" s="63"/>
      <c r="NZ45" s="63"/>
      <c r="OA45" s="63"/>
      <c r="OB45" s="63"/>
      <c r="OC45" s="1521"/>
      <c r="OD45" s="1521"/>
      <c r="OE45" s="1521"/>
      <c r="OF45" s="1521"/>
      <c r="OU45" s="616"/>
      <c r="OV45" s="616"/>
      <c r="OW45" s="616"/>
      <c r="OX45" s="616"/>
      <c r="OY45" s="22">
        <f>ROW()</f>
        <v>45</v>
      </c>
      <c r="PM45" s="1438"/>
      <c r="PN45" s="1438"/>
      <c r="PO45" s="63"/>
      <c r="PP45" s="63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J45" s="424"/>
      <c r="QK45" s="424"/>
      <c r="QL45" s="424"/>
      <c r="QM45" s="424"/>
      <c r="QN45" s="424"/>
      <c r="QO45" s="424"/>
      <c r="QP45" s="424"/>
      <c r="QQ45" s="424"/>
      <c r="QR45" s="424"/>
      <c r="QS45" s="424"/>
      <c r="QT45" s="424"/>
      <c r="QU45" s="424"/>
      <c r="QV45" s="424"/>
      <c r="QW45" s="424"/>
      <c r="QX45" s="424"/>
      <c r="QY45" s="424"/>
      <c r="QZ45" s="424"/>
      <c r="RA45" s="424"/>
      <c r="RT45" s="424"/>
      <c r="RU45" s="424"/>
      <c r="RV45" s="424"/>
      <c r="RW45" s="424"/>
      <c r="RX45" s="424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82">
        <f>ROW()</f>
        <v>45</v>
      </c>
      <c r="SM45" s="616"/>
      <c r="SN45" s="1484"/>
      <c r="SO45" s="1480"/>
      <c r="SP45" s="1480"/>
      <c r="SQ45" s="1480"/>
      <c r="SR45" s="1480"/>
      <c r="SS45" s="1480"/>
      <c r="ST45" s="1480"/>
      <c r="SU45" s="1480"/>
      <c r="SV45" s="1480"/>
      <c r="SW45" s="1480"/>
      <c r="SX45" s="1480"/>
      <c r="SY45" s="1480"/>
      <c r="SZ45" s="1480"/>
      <c r="TA45" s="1480"/>
      <c r="TB45" s="1500"/>
      <c r="TC45" s="1500"/>
      <c r="TD45" s="424"/>
      <c r="TE45" s="394"/>
      <c r="TF45" s="424"/>
      <c r="TG45" s="616"/>
      <c r="TH45" s="616"/>
      <c r="TI45" s="616"/>
      <c r="TJ45" s="616"/>
      <c r="TK45" s="616"/>
      <c r="TL45" s="616"/>
      <c r="TM45" s="616"/>
      <c r="TN45" s="616"/>
      <c r="TO45" s="616"/>
      <c r="TP45" s="616"/>
      <c r="TQ45" s="616"/>
      <c r="TR45" s="616"/>
      <c r="TS45" s="616"/>
      <c r="TT45" s="616"/>
      <c r="TU45" s="616"/>
      <c r="TV45" s="616"/>
      <c r="TW45" s="424"/>
      <c r="TX45" s="65" t="s">
        <v>30</v>
      </c>
      <c r="TY45" s="1582"/>
      <c r="TZ45" s="1582"/>
      <c r="UA45" s="1581"/>
      <c r="UB45" s="1581"/>
      <c r="UR45" s="1536"/>
      <c r="US45" s="20"/>
      <c r="UT45" s="78"/>
      <c r="UU45" s="78"/>
      <c r="UV45" s="78"/>
      <c r="UW45" s="78"/>
      <c r="UX45" s="78"/>
      <c r="UY45" s="78"/>
      <c r="UZ45" s="78"/>
      <c r="VA45" s="78"/>
      <c r="VB45" s="78"/>
      <c r="VC45" s="78"/>
      <c r="VD45" s="78"/>
    </row>
    <row r="46" spans="1:576" ht="15.75" thickBot="1" x14ac:dyDescent="0.3">
      <c r="A46" s="22">
        <f>ROW()</f>
        <v>46</v>
      </c>
      <c r="B46" t="s">
        <v>901</v>
      </c>
      <c r="C46" s="1550" t="s">
        <v>876</v>
      </c>
      <c r="D46" s="1387"/>
      <c r="E46" s="39">
        <v>0</v>
      </c>
      <c r="F46" s="880"/>
      <c r="G46" s="641"/>
      <c r="H46" s="880"/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22">
        <f>ROW()</f>
        <v>46</v>
      </c>
      <c r="T46" s="603"/>
      <c r="U46" s="1415"/>
      <c r="V46" s="668"/>
      <c r="W46" s="74"/>
      <c r="X46" s="668"/>
      <c r="Y46" s="668"/>
      <c r="Z46" s="668"/>
      <c r="AA46" s="668"/>
      <c r="AB46" s="668"/>
      <c r="AC46" s="668"/>
      <c r="AD46" s="668"/>
      <c r="AE46" s="668"/>
      <c r="AF46" s="668"/>
      <c r="AL46" s="842"/>
      <c r="AM46" s="667"/>
      <c r="AN46" s="63"/>
      <c r="AO46" s="63"/>
      <c r="AP46" s="63"/>
      <c r="AQ46" s="1584"/>
      <c r="AR46" s="1584"/>
      <c r="AS46" s="1584"/>
      <c r="AT46" s="1584"/>
      <c r="AU46" s="1584"/>
      <c r="AV46" s="1584"/>
      <c r="AW46" s="1584"/>
      <c r="AX46" s="1584"/>
      <c r="AY46" s="18"/>
      <c r="AZ46" s="18"/>
      <c r="BA46" s="18"/>
      <c r="BB46" s="18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V46"/>
      <c r="BW46"/>
      <c r="BX46"/>
      <c r="BY46"/>
      <c r="BZ46"/>
      <c r="CA46"/>
      <c r="CB46"/>
      <c r="FY46" s="30"/>
      <c r="FZ46" s="20"/>
      <c r="GA46" s="20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IS46"/>
      <c r="IT46"/>
      <c r="IU46"/>
      <c r="IV46"/>
      <c r="IW46"/>
      <c r="IX46"/>
      <c r="IY46"/>
      <c r="IZ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MX46" s="20"/>
      <c r="MY46" s="20"/>
      <c r="MZ46" s="20"/>
      <c r="NA46" s="20"/>
      <c r="NB46" s="20"/>
      <c r="NC46" s="86"/>
      <c r="ND46" s="86"/>
      <c r="NE46" s="86"/>
      <c r="NF46" s="86"/>
      <c r="NG46" s="86"/>
      <c r="NH46" s="86"/>
      <c r="NI46" s="86"/>
      <c r="NJ46" s="86"/>
      <c r="NO46" s="30"/>
      <c r="NP46" s="1539"/>
      <c r="NQ46" s="547"/>
      <c r="NR46" s="63"/>
      <c r="NS46" s="63"/>
      <c r="NT46" s="63"/>
      <c r="NU46" s="63"/>
      <c r="NV46" s="800"/>
      <c r="NW46" s="63"/>
      <c r="NX46" s="63"/>
      <c r="NY46" s="63"/>
      <c r="NZ46" s="800"/>
      <c r="OA46" s="63"/>
      <c r="OB46" s="800"/>
      <c r="OC46" s="1521">
        <v>0</v>
      </c>
      <c r="OD46" s="1521">
        <v>0</v>
      </c>
      <c r="OE46" s="1521">
        <v>0</v>
      </c>
      <c r="OF46" s="1521">
        <v>0</v>
      </c>
      <c r="OU46" s="616"/>
      <c r="OV46" s="616"/>
      <c r="OW46" s="616"/>
      <c r="OX46" s="616"/>
      <c r="OY46" s="22">
        <f>ROW()</f>
        <v>46</v>
      </c>
      <c r="OZ46" s="1583" t="s">
        <v>415</v>
      </c>
      <c r="PA46" s="1576"/>
      <c r="PB46" s="1453"/>
      <c r="PC46" s="1453"/>
      <c r="PD46" s="1453"/>
      <c r="PE46" s="1453"/>
      <c r="PF46" s="1453"/>
      <c r="PG46" s="1453"/>
      <c r="PH46" s="1453"/>
      <c r="PI46" s="1453"/>
      <c r="PJ46" s="1453"/>
      <c r="PK46" s="1453"/>
      <c r="PL46" s="1452"/>
      <c r="PM46" s="1442"/>
      <c r="PN46" s="1442"/>
      <c r="PO46" s="635"/>
      <c r="PP46" s="635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J46" s="424"/>
      <c r="QK46" s="424"/>
      <c r="QL46" s="424"/>
      <c r="QM46" s="424"/>
      <c r="QN46" s="424"/>
      <c r="QO46" s="424"/>
      <c r="QP46" s="424"/>
      <c r="QQ46" s="424"/>
      <c r="QR46" s="424"/>
      <c r="QS46" s="424"/>
      <c r="QT46" s="424"/>
      <c r="QU46" s="424"/>
      <c r="QV46" s="424"/>
      <c r="QW46" s="424"/>
      <c r="QX46" s="424"/>
      <c r="QY46" s="424"/>
      <c r="QZ46" s="424"/>
      <c r="RA46" s="424"/>
      <c r="RT46" s="424"/>
      <c r="RU46" s="424"/>
      <c r="RV46" s="424"/>
      <c r="RW46" s="424"/>
      <c r="RX46" s="424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82">
        <f>ROW()</f>
        <v>46</v>
      </c>
      <c r="SM46" s="616" t="s">
        <v>361</v>
      </c>
      <c r="SN46" s="1484"/>
      <c r="SO46" s="1475"/>
      <c r="SP46" s="1475"/>
      <c r="SQ46" s="1475"/>
      <c r="SR46" s="1475">
        <v>53642765.109999999</v>
      </c>
      <c r="SS46" s="1475">
        <f>SR46</f>
        <v>53642765.109999999</v>
      </c>
      <c r="ST46" s="1475">
        <v>89119728.279999986</v>
      </c>
      <c r="SU46" s="1475">
        <f>ST46+SS46</f>
        <v>142762493.38999999</v>
      </c>
      <c r="SV46" s="1475">
        <v>28472966.340000033</v>
      </c>
      <c r="SW46" s="1475">
        <f>SV46+SU46</f>
        <v>171235459.73000002</v>
      </c>
      <c r="SX46" s="1475">
        <v>53719330.550000012</v>
      </c>
      <c r="SY46" s="1475">
        <f>SX46+SW46</f>
        <v>224954790.28000003</v>
      </c>
      <c r="SZ46" s="1475"/>
      <c r="TA46" s="1475"/>
      <c r="TB46" s="1474"/>
      <c r="TC46" s="1474"/>
      <c r="TD46" s="424"/>
      <c r="TE46" s="394"/>
      <c r="TF46" s="424"/>
      <c r="TG46" s="616"/>
      <c r="TH46" s="616"/>
      <c r="TI46" s="616"/>
      <c r="TJ46" s="616"/>
      <c r="TK46" s="616"/>
      <c r="TL46" s="616"/>
      <c r="TM46" s="616"/>
      <c r="TN46" s="616"/>
      <c r="TO46" s="616"/>
      <c r="TP46" s="616"/>
      <c r="TQ46" s="616"/>
      <c r="TR46" s="616"/>
      <c r="TS46" s="616"/>
      <c r="TT46" s="616"/>
      <c r="TU46" s="616"/>
      <c r="TV46" s="616"/>
      <c r="TW46" s="424"/>
      <c r="TY46" s="523"/>
      <c r="TZ46" s="1582"/>
      <c r="UA46" s="1581"/>
      <c r="UB46" s="1581"/>
      <c r="UC46" s="20"/>
      <c r="UR46" s="1536"/>
      <c r="US46" s="20"/>
      <c r="UT46" s="78"/>
      <c r="UU46" s="78"/>
      <c r="UV46" s="78"/>
      <c r="UW46" s="78"/>
      <c r="UX46" s="78"/>
      <c r="UY46" s="78"/>
      <c r="UZ46" s="78"/>
      <c r="VA46" s="78"/>
      <c r="VB46" s="78"/>
      <c r="VC46" s="78"/>
      <c r="VD46" s="78"/>
    </row>
    <row r="47" spans="1:576" ht="15.75" thickTop="1" x14ac:dyDescent="0.25">
      <c r="A47" s="22">
        <f>ROW()</f>
        <v>47</v>
      </c>
      <c r="B47" t="s">
        <v>900</v>
      </c>
      <c r="C47" s="1550" t="s">
        <v>876</v>
      </c>
      <c r="D47" s="1387"/>
      <c r="E47" s="1174">
        <v>-374.35</v>
      </c>
      <c r="F47" s="880"/>
      <c r="G47" s="1174"/>
      <c r="H47" s="880"/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22">
        <f>ROW()</f>
        <v>47</v>
      </c>
      <c r="T47" s="603"/>
      <c r="U47" s="1415"/>
      <c r="V47" s="668"/>
      <c r="W47" s="74"/>
      <c r="X47" s="668"/>
      <c r="Y47" s="668"/>
      <c r="Z47" s="668"/>
      <c r="AA47" s="668"/>
      <c r="AB47" s="668"/>
      <c r="AC47" s="668"/>
      <c r="AD47" s="668"/>
      <c r="AE47" s="668"/>
      <c r="AF47" s="668"/>
      <c r="AL47" s="842"/>
      <c r="AM47" s="1191"/>
      <c r="AN47" s="78"/>
      <c r="AO47" s="78"/>
      <c r="AP47" s="78"/>
      <c r="AQ47" s="1580">
        <v>-4702594.186002017</v>
      </c>
      <c r="AR47" s="1580">
        <v>16259582.963901898</v>
      </c>
      <c r="AS47" s="1580"/>
      <c r="AT47" s="1580"/>
      <c r="AU47" s="1580"/>
      <c r="AV47" s="1580"/>
      <c r="AW47" s="1580"/>
      <c r="AX47" s="1580"/>
      <c r="AY47" s="18"/>
      <c r="AZ47" s="18"/>
      <c r="BA47" s="18"/>
      <c r="BB47" s="18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V47"/>
      <c r="BW47"/>
      <c r="BX47"/>
      <c r="BY47"/>
      <c r="BZ47"/>
      <c r="CA47"/>
      <c r="CB47"/>
      <c r="FY47" s="30"/>
      <c r="FZ47" s="4"/>
      <c r="GA47" s="4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IS47"/>
      <c r="IT47"/>
      <c r="IU47"/>
      <c r="IV47"/>
      <c r="IW47"/>
      <c r="IX47"/>
      <c r="IY47"/>
      <c r="IZ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MX47" s="99"/>
      <c r="MY47" s="99"/>
      <c r="MZ47" s="99"/>
      <c r="NA47" s="99"/>
      <c r="NB47" s="99"/>
      <c r="NC47" s="1579"/>
      <c r="ND47" s="1579"/>
      <c r="NE47" s="1579"/>
      <c r="NF47" s="1579"/>
      <c r="NG47" s="1579"/>
      <c r="NH47" s="1579"/>
      <c r="NI47" s="1579"/>
      <c r="NJ47" s="1579"/>
      <c r="NO47" s="30"/>
      <c r="NP47" s="888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1521"/>
      <c r="OD47" s="1521"/>
      <c r="OE47" s="1521"/>
      <c r="OF47" s="1521"/>
      <c r="OU47" s="616"/>
      <c r="OV47" s="616"/>
      <c r="OW47" s="616"/>
      <c r="OX47" s="616"/>
      <c r="OY47" s="22">
        <f>ROW()</f>
        <v>47</v>
      </c>
      <c r="OZ47" s="598" t="s">
        <v>416</v>
      </c>
      <c r="PA47" s="7"/>
      <c r="PB47" s="63"/>
      <c r="PC47" s="624"/>
      <c r="PD47" s="63"/>
      <c r="PE47" s="63"/>
      <c r="PF47" s="1451"/>
      <c r="PG47" s="63"/>
      <c r="PH47" s="1451">
        <v>0</v>
      </c>
      <c r="PI47" s="63">
        <f>PJ47-PH47</f>
        <v>4718449.8108259197</v>
      </c>
      <c r="PJ47" s="1442">
        <v>4718449.8108259197</v>
      </c>
      <c r="PK47" s="63">
        <f>PL47-PJ47</f>
        <v>0</v>
      </c>
      <c r="PL47" s="1442">
        <v>4718449.8108259197</v>
      </c>
      <c r="PM47" s="1563"/>
      <c r="PN47" s="1563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J47" s="424"/>
      <c r="QK47" s="424"/>
      <c r="QL47" s="424"/>
      <c r="QM47" s="424"/>
      <c r="QN47" s="424"/>
      <c r="QO47" s="424"/>
      <c r="QP47" s="424"/>
      <c r="QQ47" s="424"/>
      <c r="QR47" s="424"/>
      <c r="QS47" s="424"/>
      <c r="QT47" s="424"/>
      <c r="QU47" s="424"/>
      <c r="QV47" s="424"/>
      <c r="QW47" s="424"/>
      <c r="QX47" s="424"/>
      <c r="QY47" s="424"/>
      <c r="QZ47" s="424"/>
      <c r="RA47" s="424"/>
      <c r="RT47" s="424"/>
      <c r="RU47" s="424"/>
      <c r="RV47" s="424"/>
      <c r="RW47" s="424"/>
      <c r="RX47" s="424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82">
        <f>ROW()</f>
        <v>47</v>
      </c>
      <c r="SM47" s="616" t="s">
        <v>369</v>
      </c>
      <c r="SN47" s="1484"/>
      <c r="SO47" s="1471"/>
      <c r="SP47" s="1471"/>
      <c r="SQ47" s="1471"/>
      <c r="SR47" s="1471">
        <v>-403751.7</v>
      </c>
      <c r="SS47" s="1471">
        <f>SR47</f>
        <v>-403751.7</v>
      </c>
      <c r="ST47" s="1471">
        <v>-3192662.92</v>
      </c>
      <c r="SU47" s="1471">
        <f>ST47+SS47</f>
        <v>-3596414.62</v>
      </c>
      <c r="SV47" s="1471">
        <v>-3715299.8600000003</v>
      </c>
      <c r="SW47" s="1471">
        <f>SV47+SU47</f>
        <v>-7311714.4800000004</v>
      </c>
      <c r="SX47" s="1471">
        <v>-9046873.4099999983</v>
      </c>
      <c r="SY47" s="1471">
        <f>SX47+SW47</f>
        <v>-16358587.889999999</v>
      </c>
      <c r="SZ47" s="1471"/>
      <c r="TA47" s="1471"/>
      <c r="TB47" s="1470"/>
      <c r="TC47" s="1470"/>
      <c r="TD47" s="424"/>
      <c r="TE47" s="424"/>
      <c r="TF47" s="424"/>
      <c r="TG47" s="616"/>
      <c r="TH47" s="616"/>
      <c r="TI47" s="616"/>
      <c r="TJ47" s="616"/>
      <c r="TK47" s="616"/>
      <c r="TL47" s="616"/>
      <c r="TM47" s="616"/>
      <c r="TN47" s="616"/>
      <c r="TO47" s="616"/>
      <c r="TP47" s="616"/>
      <c r="TQ47" s="616"/>
      <c r="TR47" s="616"/>
      <c r="TS47" s="616"/>
      <c r="TT47" s="616"/>
      <c r="TU47" s="616"/>
      <c r="TV47" s="616"/>
      <c r="TW47" s="424"/>
      <c r="TY47" s="942"/>
      <c r="TZ47" s="20"/>
      <c r="UA47" s="20"/>
      <c r="UB47" s="20"/>
      <c r="UC47" s="20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R47" s="1531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</row>
    <row r="48" spans="1:576" ht="15.75" thickBot="1" x14ac:dyDescent="0.3">
      <c r="A48" s="22">
        <f>ROW()</f>
        <v>48</v>
      </c>
      <c r="B48" t="s">
        <v>899</v>
      </c>
      <c r="C48" s="1550" t="s">
        <v>876</v>
      </c>
      <c r="D48" s="1387"/>
      <c r="E48" s="1174"/>
      <c r="F48" s="880"/>
      <c r="G48" s="641">
        <v>-479274.91999999993</v>
      </c>
      <c r="H48" s="880"/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22">
        <f>ROW()</f>
        <v>48</v>
      </c>
      <c r="T48" s="603"/>
      <c r="U48" s="1415"/>
      <c r="V48" s="668"/>
      <c r="W48" s="74"/>
      <c r="X48" s="668"/>
      <c r="Y48" s="668"/>
      <c r="Z48" s="668"/>
      <c r="AA48" s="668"/>
      <c r="AB48" s="668"/>
      <c r="AC48" s="668"/>
      <c r="AD48" s="668"/>
      <c r="AE48" s="668"/>
      <c r="AF48" s="668"/>
      <c r="AL48" s="842"/>
      <c r="AM48" s="20"/>
      <c r="AN48" s="21"/>
      <c r="AO48" s="21"/>
      <c r="AP48" s="21"/>
      <c r="AQ48" s="1578">
        <v>-17690711.461626638</v>
      </c>
      <c r="AR48" s="1578">
        <v>61167002.578488089</v>
      </c>
      <c r="AS48" s="1578"/>
      <c r="AT48" s="1578"/>
      <c r="AU48" s="1578"/>
      <c r="AV48" s="1578"/>
      <c r="AW48" s="1578"/>
      <c r="AX48" s="1578"/>
      <c r="AY48" s="18"/>
      <c r="AZ48" s="18"/>
      <c r="BA48" s="18"/>
      <c r="BB48" s="1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V48"/>
      <c r="BW48"/>
      <c r="BX48"/>
      <c r="BY48"/>
      <c r="BZ48"/>
      <c r="CA48"/>
      <c r="CB48"/>
      <c r="FY48" s="30"/>
      <c r="FZ48" s="4"/>
      <c r="GA48" s="4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IS48"/>
      <c r="IT48"/>
      <c r="IU48"/>
      <c r="IV48"/>
      <c r="IW48"/>
      <c r="IX48"/>
      <c r="IY48"/>
      <c r="IZ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MX48" s="1569"/>
      <c r="MY48" s="99"/>
      <c r="MZ48" s="21"/>
      <c r="NA48" s="21"/>
      <c r="NB48" s="21"/>
      <c r="NC48" s="1577">
        <f t="shared" ref="NC48:NJ53" si="123">+NC17-NC33</f>
        <v>0</v>
      </c>
      <c r="ND48" s="1577">
        <f t="shared" si="123"/>
        <v>1320214.8551099999</v>
      </c>
      <c r="NE48" s="1577">
        <f t="shared" si="123"/>
        <v>0</v>
      </c>
      <c r="NF48" s="1577">
        <f t="shared" si="123"/>
        <v>1320214.8551099999</v>
      </c>
      <c r="NG48" s="1577">
        <f t="shared" si="123"/>
        <v>0</v>
      </c>
      <c r="NH48" s="1577">
        <f t="shared" si="123"/>
        <v>1320214.8551099999</v>
      </c>
      <c r="NI48" s="1577">
        <f t="shared" si="123"/>
        <v>0</v>
      </c>
      <c r="NJ48" s="1577">
        <f t="shared" si="123"/>
        <v>1320214.8551099999</v>
      </c>
      <c r="NO48" s="30"/>
      <c r="NP48" s="888"/>
      <c r="NQ48" s="1177"/>
      <c r="NR48" s="64"/>
      <c r="NS48" s="64"/>
      <c r="NT48" s="64"/>
      <c r="NU48" s="64"/>
      <c r="NV48" s="64"/>
      <c r="NW48" s="64"/>
      <c r="NX48" s="64"/>
      <c r="NY48" s="64"/>
      <c r="NZ48" s="64"/>
      <c r="OA48" s="64"/>
      <c r="OB48" s="64"/>
      <c r="OC48" s="1521"/>
      <c r="OD48" s="1521"/>
      <c r="OE48" s="1521"/>
      <c r="OF48" s="1521"/>
      <c r="OY48" s="22">
        <f>ROW()</f>
        <v>48</v>
      </c>
      <c r="OZ48" s="1576" t="s">
        <v>108</v>
      </c>
      <c r="PA48" s="842"/>
      <c r="PB48" s="1575">
        <f t="shared" ref="PB48:PL48" si="124">SUM(PB47:PB47)</f>
        <v>0</v>
      </c>
      <c r="PC48" s="1575">
        <f t="shared" si="124"/>
        <v>0</v>
      </c>
      <c r="PD48" s="1575">
        <f t="shared" si="124"/>
        <v>0</v>
      </c>
      <c r="PE48" s="1575">
        <f t="shared" si="124"/>
        <v>0</v>
      </c>
      <c r="PF48" s="1575">
        <f t="shared" si="124"/>
        <v>0</v>
      </c>
      <c r="PG48" s="1575">
        <f t="shared" si="124"/>
        <v>0</v>
      </c>
      <c r="PH48" s="1575">
        <f t="shared" si="124"/>
        <v>0</v>
      </c>
      <c r="PI48" s="1575">
        <f t="shared" si="124"/>
        <v>4718449.8108259197</v>
      </c>
      <c r="PJ48" s="1575">
        <f t="shared" si="124"/>
        <v>4718449.8108259197</v>
      </c>
      <c r="PK48" s="1575">
        <f t="shared" si="124"/>
        <v>0</v>
      </c>
      <c r="PL48" s="1575">
        <f t="shared" si="124"/>
        <v>4718449.8108259197</v>
      </c>
      <c r="PM48" s="1560"/>
      <c r="PN48" s="1560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J48" s="424"/>
      <c r="QK48" s="424"/>
      <c r="QL48" s="424"/>
      <c r="QM48" s="424"/>
      <c r="QN48" s="424"/>
      <c r="QO48" s="424"/>
      <c r="QP48" s="424"/>
      <c r="QQ48" s="424"/>
      <c r="QR48" s="424"/>
      <c r="QS48" s="424"/>
      <c r="QT48" s="424"/>
      <c r="QU48" s="424"/>
      <c r="QV48" s="424"/>
      <c r="QW48" s="424"/>
      <c r="QX48" s="424"/>
      <c r="QY48" s="424"/>
      <c r="QZ48" s="424"/>
      <c r="RA48" s="424"/>
      <c r="RT48" s="424"/>
      <c r="RU48" s="424"/>
      <c r="RV48" s="424"/>
      <c r="RW48" s="424"/>
      <c r="RX48" s="424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82">
        <f>ROW()</f>
        <v>48</v>
      </c>
      <c r="SM48" s="616" t="s">
        <v>375</v>
      </c>
      <c r="SN48" s="1484"/>
      <c r="SO48" s="1469"/>
      <c r="SP48" s="1469"/>
      <c r="SQ48" s="1469"/>
      <c r="SR48" s="1469">
        <v>-339985.02999999997</v>
      </c>
      <c r="SS48" s="1469">
        <f>SR48</f>
        <v>-339985.02999999997</v>
      </c>
      <c r="ST48" s="1469">
        <v>-891165.5</v>
      </c>
      <c r="SU48" s="1469">
        <f>ST48+SS48</f>
        <v>-1231150.53</v>
      </c>
      <c r="SV48" s="1469">
        <v>-512728.69999999995</v>
      </c>
      <c r="SW48" s="1469">
        <f>SV48+SU48</f>
        <v>-1743879.23</v>
      </c>
      <c r="SX48" s="1469">
        <v>-1060799.5899999999</v>
      </c>
      <c r="SY48" s="1469">
        <f>SX48+SW48</f>
        <v>-2804678.82</v>
      </c>
      <c r="SZ48" s="1469"/>
      <c r="TA48" s="1469"/>
      <c r="TB48" s="1468"/>
      <c r="TC48" s="1468"/>
      <c r="TD48" s="424"/>
      <c r="TE48" s="424"/>
      <c r="TF48" s="424"/>
      <c r="TG48" s="616"/>
      <c r="TH48" s="616"/>
      <c r="TI48" s="616"/>
      <c r="TJ48" s="616"/>
      <c r="TK48" s="616"/>
      <c r="TL48" s="616"/>
      <c r="TM48" s="616"/>
      <c r="TN48" s="616"/>
      <c r="TO48" s="616"/>
      <c r="TP48" s="616"/>
      <c r="TQ48" s="616"/>
      <c r="TR48" s="616"/>
      <c r="TS48" s="616"/>
      <c r="TT48" s="616"/>
      <c r="TU48" s="616"/>
      <c r="TV48" s="616"/>
      <c r="TW48" s="424"/>
      <c r="TY48" s="20"/>
      <c r="TZ48" s="20"/>
      <c r="UA48" s="611"/>
      <c r="UB48" s="611"/>
      <c r="UC48" s="611"/>
      <c r="UD48" s="1574"/>
      <c r="UE48" s="1574"/>
      <c r="UF48" s="1574"/>
      <c r="UG48" s="1574"/>
      <c r="UH48" s="1574"/>
      <c r="UI48" s="1574"/>
      <c r="UJ48" s="1574"/>
      <c r="UK48" s="1574"/>
      <c r="UL48" s="1574"/>
      <c r="UM48" s="1574"/>
      <c r="UN48" s="1574"/>
      <c r="UO48" s="1574"/>
      <c r="UR48" s="609"/>
      <c r="US48" s="695"/>
      <c r="UT48" s="659"/>
      <c r="UU48" s="659"/>
      <c r="UV48" s="659"/>
      <c r="UW48" s="659"/>
      <c r="UX48" s="659"/>
      <c r="UY48" s="659"/>
      <c r="UZ48" s="659"/>
      <c r="VA48" s="659"/>
      <c r="VB48" s="659"/>
      <c r="VC48" s="659"/>
      <c r="VD48" s="659"/>
    </row>
    <row r="49" spans="1:576" ht="16.5" thickTop="1" thickBot="1" x14ac:dyDescent="0.3">
      <c r="A49" s="22">
        <f>ROW()</f>
        <v>49</v>
      </c>
      <c r="B49" t="s">
        <v>898</v>
      </c>
      <c r="C49" s="1550" t="s">
        <v>876</v>
      </c>
      <c r="D49" s="1387"/>
      <c r="E49" s="1174"/>
      <c r="F49" s="880"/>
      <c r="G49" s="1174">
        <v>-357660.75</v>
      </c>
      <c r="H49" s="880"/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22">
        <f>ROW()</f>
        <v>49</v>
      </c>
      <c r="T49" s="603" t="s">
        <v>897</v>
      </c>
      <c r="U49" s="1415">
        <f>V49/V21</f>
        <v>0.95561885281170889</v>
      </c>
      <c r="V49" s="668">
        <v>35637472.170000002</v>
      </c>
      <c r="W49" s="74">
        <f t="shared" ref="W49:W60" si="125">-V49</f>
        <v>-35637472.170000002</v>
      </c>
      <c r="X49" s="668">
        <f>SUM(V49:W49)</f>
        <v>0</v>
      </c>
      <c r="Y49" s="668"/>
      <c r="Z49" s="668">
        <f>SUM(X49:Y49)</f>
        <v>0</v>
      </c>
      <c r="AA49" s="668"/>
      <c r="AB49" s="668">
        <f>SUM(Z49:AA49)</f>
        <v>0</v>
      </c>
      <c r="AC49" s="668"/>
      <c r="AD49" s="668">
        <f>SUM(AB49:AC49)</f>
        <v>0</v>
      </c>
      <c r="AE49" s="668"/>
      <c r="AF49" s="668">
        <f>SUM(AD49:AE49)</f>
        <v>0</v>
      </c>
      <c r="AL49" s="523"/>
      <c r="AM49" s="99"/>
      <c r="AN49" s="99"/>
      <c r="AO49" s="99"/>
      <c r="AP49" s="99"/>
      <c r="AQ49"/>
      <c r="AR49"/>
      <c r="AS49"/>
      <c r="AT49"/>
      <c r="AU49" s="18"/>
      <c r="AV49" s="18"/>
      <c r="AW49" s="18"/>
      <c r="AX49" s="18"/>
      <c r="AY49" s="18"/>
      <c r="AZ49" s="18"/>
      <c r="BA49" s="18"/>
      <c r="BB49" s="18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V49"/>
      <c r="BW49"/>
      <c r="BX49"/>
      <c r="BY49"/>
      <c r="BZ49"/>
      <c r="CA49"/>
      <c r="CB49"/>
      <c r="FY49" s="30"/>
      <c r="FZ49" s="20"/>
      <c r="GA49" s="20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IS49"/>
      <c r="IT49"/>
      <c r="IU49"/>
      <c r="IV49"/>
      <c r="IW49"/>
      <c r="IX49"/>
      <c r="IY49"/>
      <c r="IZ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MX49" s="1569"/>
      <c r="MY49" s="99"/>
      <c r="MZ49" s="21"/>
      <c r="NA49" s="21"/>
      <c r="NB49" s="21"/>
      <c r="NC49" s="1516">
        <f t="shared" si="123"/>
        <v>0</v>
      </c>
      <c r="ND49" s="1516">
        <f t="shared" si="123"/>
        <v>1320214.8551099999</v>
      </c>
      <c r="NE49" s="1516">
        <f t="shared" si="123"/>
        <v>0</v>
      </c>
      <c r="NF49" s="1516">
        <f t="shared" si="123"/>
        <v>1320214.8551099999</v>
      </c>
      <c r="NG49" s="1516">
        <f t="shared" si="123"/>
        <v>0</v>
      </c>
      <c r="NH49" s="1516">
        <f t="shared" si="123"/>
        <v>1320214.8551099999</v>
      </c>
      <c r="NI49" s="1516">
        <f t="shared" si="123"/>
        <v>0</v>
      </c>
      <c r="NJ49" s="1516">
        <f t="shared" si="123"/>
        <v>1320214.8551099999</v>
      </c>
      <c r="NO49" s="30"/>
      <c r="NP49" s="888"/>
      <c r="NQ49" s="1198"/>
      <c r="NR49" s="647"/>
      <c r="NS49" s="647"/>
      <c r="NT49" s="647"/>
      <c r="NU49" s="647"/>
      <c r="NV49" s="647"/>
      <c r="NW49" s="647"/>
      <c r="NX49" s="647"/>
      <c r="NY49" s="647"/>
      <c r="NZ49" s="647"/>
      <c r="OA49" s="647"/>
      <c r="OB49" s="647"/>
      <c r="OC49" s="1521"/>
      <c r="OD49" s="1521"/>
      <c r="OE49" s="1521"/>
      <c r="OF49" s="1521"/>
      <c r="OY49" s="22">
        <f>ROW()</f>
        <v>49</v>
      </c>
      <c r="OZ49" s="1573" t="s">
        <v>306</v>
      </c>
      <c r="PA49" s="842"/>
      <c r="PB49" s="1572"/>
      <c r="PC49" s="1572"/>
      <c r="PD49" s="1572"/>
      <c r="PE49" s="1572"/>
      <c r="PF49" s="1572"/>
      <c r="PG49" s="1572"/>
      <c r="PH49" s="1572"/>
      <c r="PI49" s="1572"/>
      <c r="PJ49" s="1572"/>
      <c r="PK49" s="1571"/>
      <c r="PL49" s="1570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J49" s="424"/>
      <c r="QK49" s="424"/>
      <c r="QL49" s="424"/>
      <c r="QM49" s="424"/>
      <c r="QN49" s="424"/>
      <c r="QO49" s="424"/>
      <c r="QP49" s="424"/>
      <c r="QQ49" s="424"/>
      <c r="QR49" s="424"/>
      <c r="QS49" s="424"/>
      <c r="QT49" s="424"/>
      <c r="QU49" s="424"/>
      <c r="QV49" s="424"/>
      <c r="QW49" s="424"/>
      <c r="QX49" s="424"/>
      <c r="QY49" s="424"/>
      <c r="QZ49" s="424"/>
      <c r="RA49" s="424"/>
      <c r="RT49" s="424"/>
      <c r="RU49" s="424"/>
      <c r="RV49" s="424"/>
      <c r="RW49" s="424"/>
      <c r="RX49" s="424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82">
        <f>ROW()</f>
        <v>49</v>
      </c>
      <c r="SM49" s="616" t="s">
        <v>382</v>
      </c>
      <c r="SN49" s="1484"/>
      <c r="SO49" s="1467"/>
      <c r="SP49" s="1467"/>
      <c r="SQ49" s="1467"/>
      <c r="SR49" s="1467">
        <f t="shared" ref="SR49:SY49" si="126">SUM(SR46:SR48)</f>
        <v>52899028.379999995</v>
      </c>
      <c r="SS49" s="1467">
        <f t="shared" si="126"/>
        <v>52899028.379999995</v>
      </c>
      <c r="ST49" s="1467">
        <f t="shared" si="126"/>
        <v>85035899.859999985</v>
      </c>
      <c r="SU49" s="1467">
        <f t="shared" si="126"/>
        <v>137934928.23999998</v>
      </c>
      <c r="SV49" s="1467">
        <f t="shared" si="126"/>
        <v>24244937.780000035</v>
      </c>
      <c r="SW49" s="1467">
        <f t="shared" si="126"/>
        <v>162179866.02000004</v>
      </c>
      <c r="SX49" s="1467">
        <f t="shared" si="126"/>
        <v>43611657.550000012</v>
      </c>
      <c r="SY49" s="1467">
        <f t="shared" si="126"/>
        <v>205791523.57000005</v>
      </c>
      <c r="SZ49" s="1467"/>
      <c r="TA49" s="1467"/>
      <c r="TB49" s="1466"/>
      <c r="TC49" s="1466"/>
      <c r="TD49" s="424"/>
      <c r="TE49" s="424"/>
      <c r="TF49" s="424"/>
      <c r="TG49" s="616"/>
      <c r="TH49" s="616"/>
      <c r="TI49" s="616"/>
      <c r="TJ49" s="616"/>
      <c r="TK49" s="616"/>
      <c r="TL49" s="616"/>
      <c r="TM49" s="616"/>
      <c r="TN49" s="616"/>
      <c r="TO49" s="616"/>
      <c r="TP49" s="616"/>
      <c r="TQ49" s="616"/>
      <c r="TR49" s="616"/>
      <c r="TS49" s="616"/>
      <c r="TT49" s="616"/>
      <c r="TU49" s="616"/>
      <c r="TV49" s="616"/>
      <c r="TW49" s="424"/>
      <c r="TY49" s="20"/>
      <c r="TZ49" s="20"/>
      <c r="UA49" s="78"/>
      <c r="UB49" s="78"/>
      <c r="UC49" s="78"/>
      <c r="UD49" s="1542"/>
      <c r="UE49" s="1542"/>
      <c r="UF49" s="1542"/>
      <c r="UG49" s="1542"/>
      <c r="UH49" s="1542"/>
      <c r="UI49" s="1542"/>
      <c r="UJ49" s="1542"/>
      <c r="UK49" s="1542"/>
      <c r="UL49" s="1542"/>
      <c r="UM49" s="1542"/>
      <c r="UN49" s="1542"/>
      <c r="UO49" s="1542"/>
      <c r="UR49" s="609"/>
      <c r="US49" s="20"/>
      <c r="UT49" s="1212"/>
      <c r="UU49" s="1212"/>
      <c r="UV49" s="1212"/>
      <c r="UW49" s="1212"/>
      <c r="UX49" s="1212"/>
      <c r="UY49" s="1212"/>
      <c r="UZ49" s="1212"/>
      <c r="VA49" s="1212"/>
      <c r="VB49" s="1212"/>
      <c r="VC49" s="1212"/>
      <c r="VD49" s="1212"/>
    </row>
    <row r="50" spans="1:576" ht="15.75" thickTop="1" x14ac:dyDescent="0.25">
      <c r="A50" s="22">
        <f>ROW()</f>
        <v>50</v>
      </c>
      <c r="B50" t="s">
        <v>896</v>
      </c>
      <c r="C50" s="1550" t="s">
        <v>876</v>
      </c>
      <c r="D50" s="1387"/>
      <c r="E50" s="1174">
        <v>1270884.8999999999</v>
      </c>
      <c r="F50" s="880"/>
      <c r="G50" s="641"/>
      <c r="H50" s="880"/>
      <c r="I50" s="619"/>
      <c r="J50" s="619"/>
      <c r="K50" s="619"/>
      <c r="L50" s="619"/>
      <c r="M50" s="619"/>
      <c r="N50" s="619"/>
      <c r="O50" s="619"/>
      <c r="P50" s="619"/>
      <c r="Q50" s="619"/>
      <c r="R50" s="619"/>
      <c r="S50" s="22">
        <f>ROW()</f>
        <v>50</v>
      </c>
      <c r="T50" s="603" t="s">
        <v>895</v>
      </c>
      <c r="U50" s="1415">
        <f>SUM(V50:V54,-V23)/SUM(V22)</f>
        <v>0.94757432843389833</v>
      </c>
      <c r="V50" s="668">
        <v>613110</v>
      </c>
      <c r="W50" s="74">
        <f t="shared" si="125"/>
        <v>-613110</v>
      </c>
      <c r="X50" s="668">
        <f>SUM(V50:W50)</f>
        <v>0</v>
      </c>
      <c r="Y50" s="668"/>
      <c r="Z50" s="668">
        <f>SUM(X50:Y50)</f>
        <v>0</v>
      </c>
      <c r="AA50" s="668"/>
      <c r="AB50" s="668">
        <f>SUM(Z50:AA50)</f>
        <v>0</v>
      </c>
      <c r="AC50" s="668"/>
      <c r="AD50" s="668">
        <f>SUM(AB50:AC50)</f>
        <v>0</v>
      </c>
      <c r="AE50" s="668"/>
      <c r="AF50" s="668">
        <f>SUM(AD50:AE50)</f>
        <v>0</v>
      </c>
      <c r="AL50" s="20"/>
      <c r="AM50" s="20"/>
      <c r="AN50" s="1534"/>
      <c r="AO50" s="1534"/>
      <c r="AP50" s="1534"/>
      <c r="AQ50" s="1533" t="s">
        <v>873</v>
      </c>
      <c r="AR50" s="1532"/>
      <c r="AS50" s="86"/>
      <c r="AT50" s="86"/>
      <c r="AU50" s="86"/>
      <c r="AV50" s="86"/>
      <c r="AW50" s="86"/>
      <c r="AX50" s="86"/>
      <c r="AY50" s="18"/>
      <c r="AZ50" s="18"/>
      <c r="BA50" s="18"/>
      <c r="BB50" s="18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V50"/>
      <c r="BW50"/>
      <c r="BX50"/>
      <c r="BY50"/>
      <c r="BZ50"/>
      <c r="CA50"/>
      <c r="CB50"/>
      <c r="FY50" s="30"/>
      <c r="FZ50" s="1525"/>
      <c r="GA50" s="610"/>
      <c r="GB50" s="1524"/>
      <c r="GC50" s="1524"/>
      <c r="GD50" s="1524"/>
      <c r="GE50" s="1524"/>
      <c r="GF50" s="1524"/>
      <c r="GG50" s="1524"/>
      <c r="GH50" s="1524"/>
      <c r="GI50" s="1524"/>
      <c r="GJ50" s="1524"/>
      <c r="GK50" s="1524"/>
      <c r="GL50" s="1524"/>
      <c r="IS50"/>
      <c r="IT50"/>
      <c r="IU50"/>
      <c r="IV50"/>
      <c r="IW50"/>
      <c r="IX50"/>
      <c r="IY50"/>
      <c r="IZ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MX50" s="1569"/>
      <c r="MY50" s="99"/>
      <c r="MZ50" s="20"/>
      <c r="NA50" s="20"/>
      <c r="NB50" s="20"/>
      <c r="NC50" s="1495">
        <f t="shared" si="123"/>
        <v>0</v>
      </c>
      <c r="ND50" s="1495">
        <f t="shared" si="123"/>
        <v>0</v>
      </c>
      <c r="NE50" s="1495">
        <f t="shared" si="123"/>
        <v>0</v>
      </c>
      <c r="NF50" s="1495">
        <f t="shared" si="123"/>
        <v>0</v>
      </c>
      <c r="NG50" s="1495">
        <f t="shared" si="123"/>
        <v>0</v>
      </c>
      <c r="NH50" s="1495">
        <f t="shared" si="123"/>
        <v>0</v>
      </c>
      <c r="NI50" s="1495">
        <f t="shared" si="123"/>
        <v>0</v>
      </c>
      <c r="NJ50" s="1495">
        <f t="shared" si="123"/>
        <v>0</v>
      </c>
      <c r="NO50" s="30"/>
      <c r="NP50" s="888"/>
      <c r="NQ50" s="547"/>
      <c r="NR50" s="980"/>
      <c r="NS50" s="980"/>
      <c r="NT50" s="980"/>
      <c r="NU50" s="980"/>
      <c r="NV50" s="980"/>
      <c r="NW50" s="980"/>
      <c r="NX50" s="980"/>
      <c r="NY50" s="1023"/>
      <c r="NZ50" s="980"/>
      <c r="OA50" s="1023"/>
      <c r="OB50" s="980"/>
      <c r="OC50" s="1521"/>
      <c r="OD50" s="1521"/>
      <c r="OE50" s="1521"/>
      <c r="OF50" s="1521"/>
      <c r="OY50" s="22">
        <f>ROW()</f>
        <v>50</v>
      </c>
      <c r="OZ50" s="1439" t="s">
        <v>894</v>
      </c>
      <c r="PB50" s="1568">
        <f t="shared" ref="PB50:PL50" si="127">+PB38-PB48-PB44</f>
        <v>3666183.612894</v>
      </c>
      <c r="PC50" s="1568">
        <f t="shared" si="127"/>
        <v>-3666183.612894</v>
      </c>
      <c r="PD50" s="1438">
        <f t="shared" si="127"/>
        <v>0</v>
      </c>
      <c r="PE50" s="1438">
        <f t="shared" si="127"/>
        <v>0</v>
      </c>
      <c r="PF50" s="1438">
        <f t="shared" si="127"/>
        <v>0</v>
      </c>
      <c r="PG50" s="1438">
        <f t="shared" si="127"/>
        <v>0</v>
      </c>
      <c r="PH50" s="1438">
        <f t="shared" si="127"/>
        <v>0</v>
      </c>
      <c r="PI50" s="1438">
        <f t="shared" si="127"/>
        <v>-4718449.8108259197</v>
      </c>
      <c r="PJ50" s="1438">
        <f t="shared" si="127"/>
        <v>-4718449.8108259197</v>
      </c>
      <c r="PK50" s="1438">
        <f t="shared" si="127"/>
        <v>0</v>
      </c>
      <c r="PL50" s="1438">
        <f t="shared" si="127"/>
        <v>-4718449.8108259197</v>
      </c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/>
      <c r="QE50"/>
      <c r="QF50"/>
      <c r="QG50"/>
      <c r="QH50"/>
      <c r="QJ50" s="424"/>
      <c r="QK50" s="424"/>
      <c r="QL50" s="424"/>
      <c r="QM50" s="424"/>
      <c r="QN50" s="424"/>
      <c r="QO50" s="424"/>
      <c r="QP50" s="424"/>
      <c r="QQ50" s="424"/>
      <c r="QR50" s="424"/>
      <c r="QS50" s="424"/>
      <c r="QT50" s="424"/>
      <c r="QU50" s="424"/>
      <c r="QV50" s="424"/>
      <c r="QW50" s="424"/>
      <c r="QX50" s="424"/>
      <c r="QY50" s="424"/>
      <c r="QZ50" s="424"/>
      <c r="RA50" s="424"/>
      <c r="RT50" s="424"/>
      <c r="RU50" s="424"/>
      <c r="RV50" s="424"/>
      <c r="RW50" s="424"/>
      <c r="RX50" s="424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82">
        <f>ROW()</f>
        <v>50</v>
      </c>
      <c r="SM50" s="616"/>
      <c r="SN50" s="1484"/>
      <c r="SO50" s="1480"/>
      <c r="SP50" s="1480"/>
      <c r="SQ50" s="1480"/>
      <c r="SR50" s="1480"/>
      <c r="SS50" s="1480"/>
      <c r="ST50" s="1480"/>
      <c r="SU50" s="1480"/>
      <c r="SV50" s="1480"/>
      <c r="SW50" s="1480"/>
      <c r="SX50" s="1480"/>
      <c r="SY50" s="1480"/>
      <c r="SZ50" s="1480"/>
      <c r="TA50" s="1480"/>
      <c r="TB50" s="1480"/>
      <c r="TC50" s="1480"/>
      <c r="TD50" s="424"/>
      <c r="TE50" s="424"/>
      <c r="TF50" s="424"/>
      <c r="TG50" s="616"/>
      <c r="TH50" s="616"/>
      <c r="TI50" s="616"/>
      <c r="TJ50" s="616"/>
      <c r="TK50" s="616"/>
      <c r="TL50" s="616"/>
      <c r="TM50" s="616"/>
      <c r="TN50" s="616"/>
      <c r="TO50" s="616"/>
      <c r="TP50" s="616"/>
      <c r="TQ50" s="616"/>
      <c r="TR50" s="616"/>
      <c r="TS50" s="616"/>
      <c r="TT50" s="616"/>
      <c r="TU50" s="616"/>
      <c r="TV50" s="616"/>
      <c r="TW50" s="424"/>
      <c r="TY50" s="942"/>
      <c r="TZ50" s="20"/>
      <c r="UA50" s="573"/>
      <c r="UB50" s="573"/>
      <c r="UC50" s="20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</row>
    <row r="51" spans="1:576" x14ac:dyDescent="0.25">
      <c r="A51" s="22">
        <f>ROW()</f>
        <v>51</v>
      </c>
      <c r="B51"/>
      <c r="C51" s="23"/>
      <c r="D51" s="1387"/>
      <c r="E51" s="1174"/>
      <c r="F51" s="880"/>
      <c r="G51" s="641"/>
      <c r="H51" s="880"/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22">
        <f>ROW()</f>
        <v>51</v>
      </c>
      <c r="T51" s="603" t="s">
        <v>893</v>
      </c>
      <c r="U51" s="1417"/>
      <c r="V51" s="668">
        <v>50107.31</v>
      </c>
      <c r="W51" s="74">
        <f t="shared" si="125"/>
        <v>-50107.31</v>
      </c>
      <c r="X51" s="668">
        <f>SUM(V51:W51)</f>
        <v>0</v>
      </c>
      <c r="Y51" s="668"/>
      <c r="Z51" s="668">
        <f>SUM(X51:Y51)</f>
        <v>0</v>
      </c>
      <c r="AA51" s="668"/>
      <c r="AB51" s="668">
        <f>SUM(Z51:AA51)</f>
        <v>0</v>
      </c>
      <c r="AC51" s="668"/>
      <c r="AD51" s="668">
        <f>SUM(AB51:AC51)</f>
        <v>0</v>
      </c>
      <c r="AE51" s="668"/>
      <c r="AF51" s="668">
        <f>SUM(AD51:AE51)</f>
        <v>0</v>
      </c>
      <c r="AL51" s="1518"/>
      <c r="AM51" s="30"/>
      <c r="AN51" s="591"/>
      <c r="AO51" s="591"/>
      <c r="AP51" s="591"/>
      <c r="AQ51" s="1567">
        <v>0</v>
      </c>
      <c r="AR51" s="1530">
        <v>0</v>
      </c>
      <c r="AS51" s="1530"/>
      <c r="AT51" s="1530"/>
      <c r="AU51" s="1530"/>
      <c r="AV51" s="1530"/>
      <c r="AW51" s="1530"/>
      <c r="AX51" s="1530"/>
      <c r="AY51" s="18"/>
      <c r="AZ51" s="18"/>
      <c r="BA51" s="18"/>
      <c r="BB51" s="18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V51"/>
      <c r="BW51"/>
      <c r="BX51"/>
      <c r="BY51"/>
      <c r="BZ51"/>
      <c r="CA51"/>
      <c r="CB51"/>
      <c r="FY51" s="30"/>
      <c r="FZ51" s="4"/>
      <c r="GA51" s="20"/>
      <c r="GB51" s="543"/>
      <c r="GC51" s="543"/>
      <c r="GD51" s="543"/>
      <c r="GE51" s="543"/>
      <c r="GF51" s="543"/>
      <c r="GG51" s="543"/>
      <c r="GH51" s="543"/>
      <c r="GI51" s="543"/>
      <c r="GJ51" s="543"/>
      <c r="GK51" s="543"/>
      <c r="GL51" s="543"/>
      <c r="IS51"/>
      <c r="IT51"/>
      <c r="IU51"/>
      <c r="IV51"/>
      <c r="IW51"/>
      <c r="IX51"/>
      <c r="IY51"/>
      <c r="IZ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MX51" s="1562"/>
      <c r="MY51" s="99"/>
      <c r="MZ51" s="21"/>
      <c r="NA51" s="21"/>
      <c r="NB51" s="21"/>
      <c r="NC51" s="1495">
        <f t="shared" si="123"/>
        <v>0</v>
      </c>
      <c r="ND51" s="1495">
        <f t="shared" si="123"/>
        <v>1320214.8551099999</v>
      </c>
      <c r="NE51" s="1495">
        <f t="shared" si="123"/>
        <v>0</v>
      </c>
      <c r="NF51" s="1495">
        <f t="shared" si="123"/>
        <v>1320214.8551099999</v>
      </c>
      <c r="NG51" s="1495">
        <f t="shared" si="123"/>
        <v>0</v>
      </c>
      <c r="NH51" s="1495">
        <f t="shared" si="123"/>
        <v>1320214.8551099999</v>
      </c>
      <c r="NI51" s="1495">
        <f t="shared" si="123"/>
        <v>0</v>
      </c>
      <c r="NJ51" s="1495">
        <f t="shared" si="123"/>
        <v>1320214.8551099999</v>
      </c>
      <c r="NO51" s="20"/>
      <c r="NP51" s="917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1521">
        <v>0</v>
      </c>
      <c r="OD51" s="1521">
        <v>0</v>
      </c>
      <c r="OE51" s="1521">
        <v>0</v>
      </c>
      <c r="OF51" s="1521">
        <v>0</v>
      </c>
      <c r="OW51"/>
      <c r="OX51"/>
      <c r="OY51" s="22">
        <f>ROW()</f>
        <v>51</v>
      </c>
      <c r="OZ51" s="1439" t="s">
        <v>306</v>
      </c>
      <c r="PA51" s="842"/>
      <c r="PB51" s="1444"/>
      <c r="PC51" s="1444"/>
      <c r="PD51" s="1444"/>
      <c r="PE51" s="1444"/>
      <c r="PF51" s="1444"/>
      <c r="PG51" s="1444"/>
      <c r="PH51" s="1444"/>
      <c r="PI51" s="1444"/>
      <c r="PJ51" s="1444"/>
      <c r="PK51" s="1443"/>
      <c r="PL51" s="1442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/>
      <c r="QE51"/>
      <c r="QF51"/>
      <c r="QG51"/>
      <c r="QH51"/>
      <c r="QJ51" s="424"/>
      <c r="QK51" s="424"/>
      <c r="QL51" s="424"/>
      <c r="QM51" s="424"/>
      <c r="QN51" s="424"/>
      <c r="QO51" s="424"/>
      <c r="QP51" s="424"/>
      <c r="QQ51" s="424"/>
      <c r="QR51" s="424"/>
      <c r="QS51" s="424"/>
      <c r="QT51" s="424"/>
      <c r="QU51" s="424"/>
      <c r="QV51" s="424"/>
      <c r="QW51" s="424"/>
      <c r="QX51" s="424"/>
      <c r="QY51" s="424"/>
      <c r="QZ51" s="424"/>
      <c r="RA51" s="424"/>
      <c r="RT51" s="424"/>
      <c r="RU51" s="424"/>
      <c r="RV51" s="424"/>
      <c r="RW51" s="424"/>
      <c r="RX51" s="424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82">
        <f>ROW()</f>
        <v>51</v>
      </c>
      <c r="SM51" s="430" t="s">
        <v>892</v>
      </c>
      <c r="SN51" s="1484"/>
      <c r="SO51" s="1480"/>
      <c r="SP51" s="1480"/>
      <c r="SQ51" s="1480"/>
      <c r="SR51" s="1480"/>
      <c r="SS51" s="1480"/>
      <c r="ST51" s="1480"/>
      <c r="SU51" s="1480"/>
      <c r="SV51" s="1480"/>
      <c r="SW51" s="1480"/>
      <c r="SX51" s="1480"/>
      <c r="SY51" s="1480"/>
      <c r="SZ51" s="1480"/>
      <c r="TA51" s="1480"/>
      <c r="TB51" s="1480"/>
      <c r="TC51" s="1480"/>
      <c r="TD51" s="424"/>
      <c r="TE51" s="424"/>
      <c r="TF51" s="424"/>
      <c r="TG51" s="424"/>
      <c r="TH51" s="424"/>
      <c r="TI51" s="424"/>
      <c r="TJ51" s="424"/>
      <c r="TK51" s="424"/>
      <c r="TL51" s="424"/>
      <c r="TM51" s="424"/>
      <c r="TN51" s="424"/>
      <c r="TO51" s="424"/>
      <c r="TP51" s="424"/>
      <c r="TQ51" s="424"/>
      <c r="TR51" s="424"/>
      <c r="TS51" s="424"/>
      <c r="TT51" s="424"/>
      <c r="TU51" s="424"/>
      <c r="TV51" s="424"/>
      <c r="TW51" s="424"/>
      <c r="TY51" s="689"/>
      <c r="TZ51" s="20"/>
      <c r="UA51" s="573"/>
      <c r="UB51" s="573"/>
      <c r="UC51" s="20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R51" s="1566"/>
      <c r="US51" s="1566"/>
      <c r="UT51" s="1225"/>
      <c r="UU51" s="1225"/>
      <c r="UV51" s="1225"/>
      <c r="UW51" s="1225"/>
      <c r="UX51" s="1225"/>
      <c r="UY51" s="1225"/>
      <c r="UZ51" s="1225"/>
      <c r="VA51" s="1225"/>
      <c r="VB51" s="1225"/>
      <c r="VC51" s="1225"/>
      <c r="VD51" s="1225"/>
    </row>
    <row r="52" spans="1:576" x14ac:dyDescent="0.25">
      <c r="A52" s="22">
        <f>ROW()</f>
        <v>52</v>
      </c>
      <c r="B52"/>
      <c r="C52" s="23"/>
      <c r="D52" s="560"/>
      <c r="E52" s="902"/>
      <c r="F52" s="880"/>
      <c r="G52" s="641"/>
      <c r="H52" s="880"/>
      <c r="I52" s="619"/>
      <c r="J52" s="619"/>
      <c r="K52" s="619"/>
      <c r="L52" s="619"/>
      <c r="M52" s="619"/>
      <c r="N52" s="619"/>
      <c r="O52" s="619"/>
      <c r="P52" s="619"/>
      <c r="Q52" s="619"/>
      <c r="R52" s="619"/>
      <c r="S52" s="22">
        <f>ROW()</f>
        <v>52</v>
      </c>
      <c r="T52" s="603" t="s">
        <v>891</v>
      </c>
      <c r="U52" s="1417"/>
      <c r="V52" s="668">
        <v>97927.209999999992</v>
      </c>
      <c r="W52" s="74">
        <f t="shared" si="125"/>
        <v>-97927.209999999992</v>
      </c>
      <c r="X52" s="668">
        <f>SUM(V52:W52)</f>
        <v>0</v>
      </c>
      <c r="Y52" s="668"/>
      <c r="Z52" s="668">
        <f>SUM(X52:Y52)</f>
        <v>0</v>
      </c>
      <c r="AA52" s="668"/>
      <c r="AB52" s="668">
        <f>SUM(Z52:AA52)</f>
        <v>0</v>
      </c>
      <c r="AC52" s="668"/>
      <c r="AD52" s="668">
        <f>SUM(AB52:AC52)</f>
        <v>0</v>
      </c>
      <c r="AE52" s="668"/>
      <c r="AF52" s="668">
        <f>SUM(AD52:AE52)</f>
        <v>0</v>
      </c>
      <c r="AL52" s="1527"/>
      <c r="AM52" s="1189"/>
      <c r="AN52" s="1189"/>
      <c r="AO52" s="1189"/>
      <c r="AP52" s="1189"/>
      <c r="AQ52" s="1526"/>
      <c r="AR52" s="1526"/>
      <c r="AS52" s="1526"/>
      <c r="AT52" s="1526"/>
      <c r="AU52" s="1526"/>
      <c r="AV52" s="1526"/>
      <c r="AW52" s="1526"/>
      <c r="AX52" s="1526"/>
      <c r="AY52" s="18"/>
      <c r="AZ52" s="18"/>
      <c r="BA52" s="18"/>
      <c r="BB52" s="18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V52"/>
      <c r="BW52"/>
      <c r="BX52"/>
      <c r="BY52"/>
      <c r="BZ52"/>
      <c r="CA52"/>
      <c r="CB52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IS52"/>
      <c r="IT52"/>
      <c r="IU52"/>
      <c r="IV52"/>
      <c r="IW52"/>
      <c r="IX52"/>
      <c r="IY52"/>
      <c r="IZ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MX52" s="1562"/>
      <c r="MY52" s="1565"/>
      <c r="MZ52" s="984"/>
      <c r="NA52" s="984"/>
      <c r="NB52" s="984"/>
      <c r="NC52" s="1495">
        <f t="shared" si="123"/>
        <v>0</v>
      </c>
      <c r="ND52" s="1495">
        <f t="shared" si="123"/>
        <v>-277245.1195731</v>
      </c>
      <c r="NE52" s="1495">
        <f t="shared" si="123"/>
        <v>0</v>
      </c>
      <c r="NF52" s="1495">
        <f t="shared" si="123"/>
        <v>-277245.1195731</v>
      </c>
      <c r="NG52" s="1495">
        <f t="shared" si="123"/>
        <v>0</v>
      </c>
      <c r="NH52" s="1495">
        <f t="shared" si="123"/>
        <v>-277245.1195731</v>
      </c>
      <c r="NI52" s="1495">
        <f t="shared" si="123"/>
        <v>0</v>
      </c>
      <c r="NJ52" s="1495">
        <f t="shared" si="123"/>
        <v>-277245.1195731</v>
      </c>
      <c r="NO52" s="523"/>
      <c r="NP52" s="917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W52"/>
      <c r="OX52"/>
      <c r="OY52" s="22">
        <f>ROW()</f>
        <v>52</v>
      </c>
      <c r="OZ52" s="1439" t="s">
        <v>283</v>
      </c>
      <c r="PA52" s="703">
        <v>0.21</v>
      </c>
      <c r="PB52" s="1564">
        <f t="shared" ref="PB52:PL52" si="128">+$PA$52*PB50</f>
        <v>769898.55870773993</v>
      </c>
      <c r="PC52" s="1564">
        <f t="shared" si="128"/>
        <v>-769898.55870773993</v>
      </c>
      <c r="PD52" s="1563">
        <f t="shared" si="128"/>
        <v>0</v>
      </c>
      <c r="PE52" s="1563">
        <f t="shared" si="128"/>
        <v>0</v>
      </c>
      <c r="PF52" s="1563">
        <f t="shared" si="128"/>
        <v>0</v>
      </c>
      <c r="PG52" s="1563">
        <f t="shared" si="128"/>
        <v>0</v>
      </c>
      <c r="PH52" s="1563">
        <f t="shared" si="128"/>
        <v>0</v>
      </c>
      <c r="PI52" s="1563">
        <f t="shared" si="128"/>
        <v>-990874.46027344314</v>
      </c>
      <c r="PJ52" s="1563">
        <f t="shared" si="128"/>
        <v>-990874.46027344314</v>
      </c>
      <c r="PK52" s="1563">
        <f t="shared" si="128"/>
        <v>0</v>
      </c>
      <c r="PL52" s="1563">
        <f t="shared" si="128"/>
        <v>-990874.46027344314</v>
      </c>
      <c r="PM52"/>
      <c r="PN52"/>
      <c r="PO52"/>
      <c r="PP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J52" s="424"/>
      <c r="QK52" s="424"/>
      <c r="QL52" s="424"/>
      <c r="QM52" s="424"/>
      <c r="QN52" s="424"/>
      <c r="QO52" s="424"/>
      <c r="QP52" s="424"/>
      <c r="QQ52" s="424"/>
      <c r="QR52" s="424"/>
      <c r="QS52" s="424"/>
      <c r="QT52" s="424"/>
      <c r="QU52" s="424"/>
      <c r="QV52" s="424"/>
      <c r="QW52" s="424"/>
      <c r="QX52" s="424"/>
      <c r="QY52" s="424"/>
      <c r="QZ52" s="424"/>
      <c r="RA52" s="424"/>
      <c r="RT52" s="424"/>
      <c r="RU52" s="424"/>
      <c r="RV52" s="424"/>
      <c r="RW52" s="424"/>
      <c r="RX52" s="424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82">
        <f>ROW()</f>
        <v>52</v>
      </c>
      <c r="SM52" s="616" t="s">
        <v>866</v>
      </c>
      <c r="SN52" s="1484"/>
      <c r="SO52" s="653"/>
      <c r="SP52" s="653"/>
      <c r="SQ52" s="653"/>
      <c r="SR52" s="653">
        <v>617.78</v>
      </c>
      <c r="SS52" s="1475">
        <f>SR52</f>
        <v>617.78</v>
      </c>
      <c r="ST52" s="1475">
        <v>15198.15</v>
      </c>
      <c r="SU52" s="1475">
        <f>ST52+SS52</f>
        <v>15815.93</v>
      </c>
      <c r="SV52" s="1475">
        <v>449917.27</v>
      </c>
      <c r="SW52" s="1475">
        <f>SV52+SU52</f>
        <v>465733.2</v>
      </c>
      <c r="SX52" s="1475">
        <v>0</v>
      </c>
      <c r="SY52" s="1475">
        <f>SX52+SW52</f>
        <v>465733.2</v>
      </c>
      <c r="SZ52" s="1475"/>
      <c r="TA52" s="1475"/>
      <c r="TB52" s="1474"/>
      <c r="TC52" s="1474"/>
      <c r="TD52" s="424"/>
      <c r="TE52" s="424"/>
      <c r="TF52" s="424"/>
      <c r="TG52" s="424"/>
      <c r="TH52" s="424"/>
      <c r="TI52" s="424"/>
      <c r="TJ52" s="424"/>
      <c r="TK52" s="424"/>
      <c r="TL52" s="424"/>
      <c r="TM52" s="424"/>
      <c r="TN52" s="424"/>
      <c r="TO52" s="424"/>
      <c r="TP52" s="424"/>
      <c r="TQ52" s="424"/>
      <c r="TR52" s="424"/>
      <c r="TS52" s="424"/>
      <c r="TT52" s="424"/>
      <c r="TU52" s="424"/>
      <c r="TV52" s="424"/>
      <c r="TW52" s="424"/>
      <c r="TY52" s="679"/>
      <c r="TZ52" s="1175"/>
      <c r="UA52" s="78"/>
      <c r="UB52" s="78"/>
      <c r="UC52" s="20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R52" s="1559"/>
      <c r="US52" s="1559"/>
      <c r="UT52" s="938"/>
      <c r="UU52" s="924"/>
      <c r="UV52" s="924"/>
      <c r="UW52" s="924"/>
      <c r="UX52" s="924"/>
      <c r="UY52" s="924"/>
      <c r="UZ52" s="924"/>
      <c r="VA52" s="924"/>
      <c r="VB52" s="924"/>
      <c r="VC52" s="924"/>
      <c r="VD52" s="924"/>
    </row>
    <row r="53" spans="1:576" ht="15.75" thickBot="1" x14ac:dyDescent="0.3">
      <c r="A53" s="22">
        <f>ROW()</f>
        <v>53</v>
      </c>
      <c r="B53" t="s">
        <v>890</v>
      </c>
      <c r="C53" s="1550" t="s">
        <v>876</v>
      </c>
      <c r="D53" s="1387"/>
      <c r="E53" s="1174">
        <v>-2661743.88</v>
      </c>
      <c r="F53" s="781"/>
      <c r="G53" s="641"/>
      <c r="H53" s="781"/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22">
        <f>ROW()</f>
        <v>53</v>
      </c>
      <c r="T53" s="603" t="s">
        <v>889</v>
      </c>
      <c r="U53" s="1417"/>
      <c r="V53" s="668">
        <v>5959.67</v>
      </c>
      <c r="W53" s="74">
        <f t="shared" si="125"/>
        <v>-5959.67</v>
      </c>
      <c r="AL53" s="1518"/>
      <c r="AM53" s="776"/>
      <c r="AN53" s="1190"/>
      <c r="AO53" s="1190"/>
      <c r="AP53" s="1190"/>
      <c r="AQ53" s="1522">
        <v>0</v>
      </c>
      <c r="AR53" s="1522">
        <v>0</v>
      </c>
      <c r="AS53" s="1522"/>
      <c r="AT53" s="1522"/>
      <c r="AU53" s="1522"/>
      <c r="AV53" s="1522"/>
      <c r="AW53" s="1522"/>
      <c r="AX53" s="1522"/>
      <c r="AY53" s="18"/>
      <c r="AZ53" s="18"/>
      <c r="BA53" s="18"/>
      <c r="BB53" s="18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V53"/>
      <c r="BW53"/>
      <c r="BX53"/>
      <c r="BY53"/>
      <c r="BZ53"/>
      <c r="CA53"/>
      <c r="CB53"/>
      <c r="FY53" s="523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IS53"/>
      <c r="IT53"/>
      <c r="IU53"/>
      <c r="IV53"/>
      <c r="IW53"/>
      <c r="IX53"/>
      <c r="IY53"/>
      <c r="IZ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MX53" s="1562"/>
      <c r="MY53" s="99"/>
      <c r="MZ53" s="624"/>
      <c r="NA53" s="624"/>
      <c r="NB53" s="624"/>
      <c r="NC53" s="1493">
        <f t="shared" si="123"/>
        <v>0</v>
      </c>
      <c r="ND53" s="1493">
        <f t="shared" si="123"/>
        <v>-1042969.7355369003</v>
      </c>
      <c r="NE53" s="1493">
        <f t="shared" si="123"/>
        <v>0</v>
      </c>
      <c r="NF53" s="1493">
        <f t="shared" si="123"/>
        <v>-1042969.7355369003</v>
      </c>
      <c r="NG53" s="1493">
        <f t="shared" si="123"/>
        <v>0</v>
      </c>
      <c r="NH53" s="1493">
        <f t="shared" si="123"/>
        <v>-1042969.7355369003</v>
      </c>
      <c r="NI53" s="1493">
        <f t="shared" si="123"/>
        <v>0</v>
      </c>
      <c r="NJ53" s="1493">
        <f t="shared" si="123"/>
        <v>-1042969.7355369003</v>
      </c>
      <c r="NO53" s="30"/>
      <c r="NP53" s="1194"/>
      <c r="NQ53" s="547"/>
      <c r="NR53" s="800"/>
      <c r="NS53" s="800"/>
      <c r="NT53" s="800"/>
      <c r="NU53" s="800"/>
      <c r="NV53" s="800"/>
      <c r="NW53" s="800"/>
      <c r="NX53" s="800"/>
      <c r="NY53" s="800"/>
      <c r="NZ53" s="800"/>
      <c r="OA53" s="800"/>
      <c r="OB53" s="800"/>
      <c r="OW53"/>
      <c r="OX53"/>
      <c r="OY53" s="22">
        <f>ROW()</f>
        <v>53</v>
      </c>
      <c r="OZ53" s="1439" t="s">
        <v>240</v>
      </c>
      <c r="PB53" s="1561">
        <f t="shared" ref="PB53:PL53" si="129">+PB50-PB52</f>
        <v>2896285.0541862603</v>
      </c>
      <c r="PC53" s="1561">
        <f t="shared" si="129"/>
        <v>-2896285.0541862603</v>
      </c>
      <c r="PD53" s="1560">
        <f t="shared" si="129"/>
        <v>0</v>
      </c>
      <c r="PE53" s="1560">
        <f t="shared" si="129"/>
        <v>0</v>
      </c>
      <c r="PF53" s="1560">
        <f t="shared" si="129"/>
        <v>0</v>
      </c>
      <c r="PG53" s="1560">
        <f t="shared" si="129"/>
        <v>0</v>
      </c>
      <c r="PH53" s="1560">
        <f t="shared" si="129"/>
        <v>0</v>
      </c>
      <c r="PI53" s="1560">
        <f t="shared" si="129"/>
        <v>-3727575.3505524765</v>
      </c>
      <c r="PJ53" s="1560">
        <f t="shared" si="129"/>
        <v>-3727575.3505524765</v>
      </c>
      <c r="PK53" s="1560">
        <f t="shared" si="129"/>
        <v>0</v>
      </c>
      <c r="PL53" s="1560">
        <f t="shared" si="129"/>
        <v>-3727575.3505524765</v>
      </c>
      <c r="PM53"/>
      <c r="PN53"/>
      <c r="PO53"/>
      <c r="PP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J53" s="424"/>
      <c r="QK53" s="424"/>
      <c r="QL53" s="424"/>
      <c r="QM53" s="424"/>
      <c r="QN53" s="424"/>
      <c r="QO53" s="424"/>
      <c r="QP53" s="424"/>
      <c r="QQ53" s="424"/>
      <c r="QR53" s="424"/>
      <c r="QS53" s="424"/>
      <c r="QT53" s="424"/>
      <c r="QU53" s="424"/>
      <c r="QV53" s="424"/>
      <c r="QW53" s="424"/>
      <c r="QX53" s="424"/>
      <c r="QY53" s="424"/>
      <c r="QZ53" s="424"/>
      <c r="RA53" s="424"/>
      <c r="RT53" s="424"/>
      <c r="RU53" s="424"/>
      <c r="RV53" s="424"/>
      <c r="RW53" s="424"/>
      <c r="RX53" s="424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82">
        <f>ROW()</f>
        <v>53</v>
      </c>
      <c r="SM53" s="616" t="s">
        <v>865</v>
      </c>
      <c r="SN53" s="1484"/>
      <c r="SO53" s="674"/>
      <c r="SP53" s="674"/>
      <c r="SQ53" s="674"/>
      <c r="SR53" s="674">
        <v>0</v>
      </c>
      <c r="SS53" s="1471">
        <f>SR53</f>
        <v>0</v>
      </c>
      <c r="ST53" s="1471">
        <v>0</v>
      </c>
      <c r="SU53" s="1471">
        <f>ST53+SS53</f>
        <v>0</v>
      </c>
      <c r="SV53" s="1471">
        <v>0</v>
      </c>
      <c r="SW53" s="1471">
        <f>SV53+SU53</f>
        <v>0</v>
      </c>
      <c r="SX53" s="1471">
        <v>0</v>
      </c>
      <c r="SY53" s="1471">
        <f>SX53+SW53</f>
        <v>0</v>
      </c>
      <c r="SZ53" s="1471"/>
      <c r="TA53" s="1471"/>
      <c r="TB53" s="1470"/>
      <c r="TC53" s="1470"/>
      <c r="TD53" s="424"/>
      <c r="TE53" s="424"/>
      <c r="TF53" s="424"/>
      <c r="TG53" s="424"/>
      <c r="TH53" s="424"/>
      <c r="TI53" s="424"/>
      <c r="TJ53" s="424"/>
      <c r="TK53" s="424"/>
      <c r="TL53" s="424"/>
      <c r="TM53" s="424"/>
      <c r="TN53" s="424"/>
      <c r="TO53" s="424"/>
      <c r="TP53" s="424"/>
      <c r="TQ53" s="424"/>
      <c r="TR53" s="424"/>
      <c r="TS53" s="424"/>
      <c r="TT53" s="424"/>
      <c r="TU53" s="424"/>
      <c r="TV53" s="424"/>
      <c r="TW53" s="424"/>
      <c r="TY53" s="679"/>
      <c r="TZ53" s="1175"/>
      <c r="UA53" s="78"/>
      <c r="UB53" s="78"/>
      <c r="UC53" s="20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R53" s="1559"/>
      <c r="US53" s="1559"/>
      <c r="UT53" s="20"/>
      <c r="UU53" s="20"/>
      <c r="UV53" s="20"/>
      <c r="UW53" s="939"/>
      <c r="UX53" s="940"/>
      <c r="UY53" s="100"/>
      <c r="UZ53" s="100"/>
      <c r="VA53" s="100"/>
      <c r="VB53" s="100"/>
      <c r="VC53" s="100"/>
      <c r="VD53" s="100"/>
    </row>
    <row r="54" spans="1:576" ht="15.75" thickTop="1" x14ac:dyDescent="0.25">
      <c r="A54" s="22">
        <f>ROW()</f>
        <v>54</v>
      </c>
      <c r="B54" s="1391" t="s">
        <v>888</v>
      </c>
      <c r="C54" s="23"/>
      <c r="D54" s="896">
        <f t="shared" ref="D54:R54" si="130">SUM(D40:D53)</f>
        <v>0</v>
      </c>
      <c r="E54" s="1558">
        <f t="shared" si="130"/>
        <v>111532.00999999978</v>
      </c>
      <c r="F54" s="896">
        <f t="shared" si="130"/>
        <v>0</v>
      </c>
      <c r="G54" s="896">
        <f t="shared" si="130"/>
        <v>-836935.66999999993</v>
      </c>
      <c r="H54" s="896">
        <f t="shared" si="130"/>
        <v>0</v>
      </c>
      <c r="I54" s="896">
        <f t="shared" si="130"/>
        <v>0</v>
      </c>
      <c r="J54" s="896">
        <f t="shared" si="130"/>
        <v>0</v>
      </c>
      <c r="K54" s="896">
        <f t="shared" si="130"/>
        <v>0</v>
      </c>
      <c r="L54" s="896">
        <f t="shared" si="130"/>
        <v>0</v>
      </c>
      <c r="M54" s="896">
        <f t="shared" si="130"/>
        <v>0</v>
      </c>
      <c r="N54" s="896">
        <f t="shared" si="130"/>
        <v>0</v>
      </c>
      <c r="O54" s="896">
        <f t="shared" si="130"/>
        <v>0</v>
      </c>
      <c r="P54" s="896">
        <f t="shared" si="130"/>
        <v>0</v>
      </c>
      <c r="Q54" s="896">
        <f t="shared" si="130"/>
        <v>0</v>
      </c>
      <c r="R54" s="896">
        <f t="shared" si="130"/>
        <v>0</v>
      </c>
      <c r="S54" s="22">
        <f>ROW()</f>
        <v>54</v>
      </c>
      <c r="T54" s="603" t="s">
        <v>887</v>
      </c>
      <c r="U54" s="1417"/>
      <c r="V54" s="668">
        <v>20088.8</v>
      </c>
      <c r="W54" s="74">
        <f t="shared" si="125"/>
        <v>-20088.8</v>
      </c>
      <c r="AL54" s="1520"/>
      <c r="AM54" s="776"/>
      <c r="AN54" s="776"/>
      <c r="AO54" s="776"/>
      <c r="AP54" s="776"/>
      <c r="AQ54" s="1514">
        <v>0</v>
      </c>
      <c r="AR54" s="1514">
        <v>0</v>
      </c>
      <c r="AS54" s="1514"/>
      <c r="AT54" s="1514"/>
      <c r="AU54" s="1514"/>
      <c r="AV54" s="1514"/>
      <c r="AW54" s="1514"/>
      <c r="AX54" s="1514"/>
      <c r="AY54" s="18"/>
      <c r="AZ54" s="18"/>
      <c r="BA54" s="18"/>
      <c r="BB54" s="18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V54"/>
      <c r="BW54"/>
      <c r="BX54"/>
      <c r="BY54"/>
      <c r="BZ54"/>
      <c r="CA54"/>
      <c r="CB54"/>
      <c r="FY54" s="3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IS54"/>
      <c r="IT54"/>
      <c r="IU54"/>
      <c r="IV54"/>
      <c r="IW54"/>
      <c r="IX54"/>
      <c r="IY54"/>
      <c r="IZ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MX54" s="99"/>
      <c r="MY54" s="99"/>
      <c r="MZ54" s="99"/>
      <c r="NA54" s="99"/>
      <c r="NB54" s="99"/>
      <c r="NO54" s="30"/>
      <c r="NP54" s="881"/>
      <c r="NQ54" s="20"/>
      <c r="NR54" s="619"/>
      <c r="NS54" s="619"/>
      <c r="NT54" s="619"/>
      <c r="NU54" s="619"/>
      <c r="NV54" s="619"/>
      <c r="NW54" s="619"/>
      <c r="NX54" s="619"/>
      <c r="NY54" s="619"/>
      <c r="NZ54" s="619"/>
      <c r="OA54" s="619"/>
      <c r="OB54" s="619"/>
      <c r="OW54"/>
      <c r="OX54"/>
      <c r="OY54"/>
      <c r="PM54"/>
      <c r="PN54"/>
      <c r="PO54"/>
      <c r="PP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J54" s="424"/>
      <c r="QK54" s="424"/>
      <c r="QL54" s="424"/>
      <c r="QM54" s="424"/>
      <c r="QN54" s="424"/>
      <c r="QO54" s="424"/>
      <c r="QP54" s="424"/>
      <c r="QQ54" s="424"/>
      <c r="QR54" s="424"/>
      <c r="QS54" s="424"/>
      <c r="QT54" s="424"/>
      <c r="QU54" s="424"/>
      <c r="QV54" s="424"/>
      <c r="QW54" s="424"/>
      <c r="QX54" s="424"/>
      <c r="QY54" s="424"/>
      <c r="QZ54" s="424"/>
      <c r="RA54" s="424"/>
      <c r="RT54" s="424"/>
      <c r="RU54" s="424"/>
      <c r="RV54" s="424"/>
      <c r="RW54" s="424"/>
      <c r="RX54" s="424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82">
        <f>ROW()</f>
        <v>54</v>
      </c>
      <c r="SM54" s="616" t="s">
        <v>864</v>
      </c>
      <c r="SN54" s="1484"/>
      <c r="SO54" s="674"/>
      <c r="SP54" s="674"/>
      <c r="SQ54" s="674"/>
      <c r="SR54" s="674">
        <v>0</v>
      </c>
      <c r="SS54" s="1471">
        <f>SR54</f>
        <v>0</v>
      </c>
      <c r="ST54" s="1471">
        <v>0</v>
      </c>
      <c r="SU54" s="1471">
        <f>ST54+SS54</f>
        <v>0</v>
      </c>
      <c r="SV54" s="1471">
        <v>0</v>
      </c>
      <c r="SW54" s="1471">
        <f>SV54+SU54</f>
        <v>0</v>
      </c>
      <c r="SX54" s="1471">
        <v>0</v>
      </c>
      <c r="SY54" s="1471">
        <f>SX54+SW54</f>
        <v>0</v>
      </c>
      <c r="SZ54" s="1471"/>
      <c r="TA54" s="1471"/>
      <c r="TB54" s="1470"/>
      <c r="TC54" s="1470"/>
      <c r="TD54" s="424"/>
      <c r="TE54" s="424"/>
      <c r="TF54" s="424"/>
      <c r="TG54" s="424"/>
      <c r="TH54" s="424"/>
      <c r="TI54" s="424"/>
      <c r="TJ54" s="424"/>
      <c r="TK54" s="424"/>
      <c r="TL54" s="424"/>
      <c r="TM54" s="424"/>
      <c r="TN54" s="424"/>
      <c r="TO54" s="424"/>
      <c r="TP54" s="424"/>
      <c r="TQ54" s="424"/>
      <c r="TR54" s="424"/>
      <c r="TS54" s="424"/>
      <c r="TT54" s="424"/>
      <c r="TU54" s="424"/>
      <c r="TV54" s="424"/>
      <c r="TW54" s="424"/>
      <c r="TY54" s="679"/>
      <c r="TZ54" s="1175"/>
      <c r="UA54" s="78"/>
      <c r="UB54" s="78"/>
      <c r="UC54" s="20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R54" s="1238"/>
      <c r="US54" s="1557"/>
      <c r="UT54" s="100"/>
      <c r="UU54" s="942"/>
      <c r="UV54" s="100"/>
      <c r="UW54" s="100"/>
      <c r="UX54" s="100"/>
      <c r="UY54" s="100"/>
      <c r="UZ54" s="100"/>
      <c r="VA54" s="100"/>
      <c r="VB54" s="100"/>
      <c r="VC54" s="100"/>
      <c r="VD54" s="100"/>
    </row>
    <row r="55" spans="1:576" x14ac:dyDescent="0.25">
      <c r="A55" s="22">
        <f>ROW()</f>
        <v>55</v>
      </c>
      <c r="B55" s="1391"/>
      <c r="C55" s="23"/>
      <c r="D55" s="619"/>
      <c r="E55" s="619"/>
      <c r="F55" s="619"/>
      <c r="G55" s="619"/>
      <c r="H55" s="619"/>
      <c r="I55" s="619"/>
      <c r="J55" s="619"/>
      <c r="K55" s="619"/>
      <c r="L55" s="619"/>
      <c r="M55" s="619"/>
      <c r="N55" s="619"/>
      <c r="O55" s="619"/>
      <c r="P55" s="619"/>
      <c r="Q55" s="619"/>
      <c r="R55" s="619"/>
      <c r="S55" s="22">
        <f>ROW()</f>
        <v>55</v>
      </c>
      <c r="T55" s="603" t="s">
        <v>886</v>
      </c>
      <c r="U55" s="1415">
        <f>SUM(V55:V59,-V25)/SUM(V24)</f>
        <v>1.1932720120687588</v>
      </c>
      <c r="V55" s="668">
        <v>563886.96</v>
      </c>
      <c r="W55" s="74">
        <f t="shared" si="125"/>
        <v>-563886.96</v>
      </c>
      <c r="X55" s="668">
        <f>SUM(V55:W55)</f>
        <v>0</v>
      </c>
      <c r="Y55" s="668"/>
      <c r="Z55" s="668">
        <f>SUM(X55:Y55)</f>
        <v>0</v>
      </c>
      <c r="AA55" s="668"/>
      <c r="AB55" s="668">
        <f>SUM(Z55:AA55)</f>
        <v>0</v>
      </c>
      <c r="AC55" s="668"/>
      <c r="AD55" s="668">
        <f>SUM(AB55:AC55)</f>
        <v>0</v>
      </c>
      <c r="AE55" s="668"/>
      <c r="AF55" s="668">
        <f>SUM(AD55:AE55)</f>
        <v>0</v>
      </c>
      <c r="AL55" s="1518"/>
      <c r="AM55" s="776"/>
      <c r="AN55" s="21"/>
      <c r="AO55" s="21"/>
      <c r="AP55" s="21"/>
      <c r="AQ55" s="1516">
        <v>0</v>
      </c>
      <c r="AR55" s="1516">
        <v>0</v>
      </c>
      <c r="AS55" s="1516"/>
      <c r="AT55" s="1516"/>
      <c r="AU55" s="1517"/>
      <c r="AV55" s="1517"/>
      <c r="AW55" s="1517"/>
      <c r="AX55" s="1516"/>
      <c r="AY55" s="18"/>
      <c r="AZ55" s="18"/>
      <c r="BA55" s="18"/>
      <c r="BB55" s="18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V55"/>
      <c r="BW55"/>
      <c r="BX55"/>
      <c r="BY55"/>
      <c r="BZ55"/>
      <c r="CA55"/>
      <c r="CB55"/>
      <c r="FY55" s="30"/>
      <c r="FZ55" s="1217"/>
      <c r="GA55" s="20"/>
      <c r="GB55" s="543"/>
      <c r="GC55" s="543"/>
      <c r="GD55" s="543"/>
      <c r="GE55" s="543"/>
      <c r="GF55" s="543"/>
      <c r="GG55" s="543"/>
      <c r="GH55" s="543"/>
      <c r="GI55" s="543"/>
      <c r="GJ55" s="543"/>
      <c r="GK55" s="543"/>
      <c r="GL55" s="543"/>
      <c r="IS55"/>
      <c r="IT55"/>
      <c r="IU55"/>
      <c r="IV55"/>
      <c r="IW55"/>
      <c r="IX55"/>
      <c r="IY55"/>
      <c r="IZ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MX55" s="99"/>
      <c r="MY55" s="99"/>
      <c r="MZ55" s="99"/>
      <c r="NA55" s="99"/>
      <c r="NB55" s="99"/>
      <c r="NO55" s="30"/>
      <c r="NP55" s="842"/>
      <c r="NQ55" s="20"/>
      <c r="NR55" s="619"/>
      <c r="NS55" s="619"/>
      <c r="NT55" s="619"/>
      <c r="NU55" s="619"/>
      <c r="NV55" s="619"/>
      <c r="NW55" s="619"/>
      <c r="NX55" s="619"/>
      <c r="NY55" s="619"/>
      <c r="NZ55" s="619"/>
      <c r="OA55" s="619"/>
      <c r="OB55" s="619"/>
      <c r="OC55" s="1521"/>
      <c r="OD55" s="1521"/>
      <c r="OE55" s="1521"/>
      <c r="OF55" s="1521"/>
      <c r="OW55"/>
      <c r="OX55"/>
      <c r="OY55" s="65" t="s">
        <v>30</v>
      </c>
      <c r="OZ55" s="523"/>
      <c r="PA55" s="99"/>
      <c r="PB55" s="1464"/>
      <c r="PC55" s="1464"/>
      <c r="PD55" s="1464"/>
      <c r="PE55" s="1464"/>
      <c r="PF55" s="1464"/>
      <c r="PG55" s="1464"/>
      <c r="PH55" s="1464"/>
      <c r="PI55" s="1464"/>
      <c r="PJ55" s="1464"/>
      <c r="PK55" s="1464"/>
      <c r="PL55" s="99"/>
      <c r="PM55"/>
      <c r="PN55"/>
      <c r="PO55"/>
      <c r="PP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J55" s="424"/>
      <c r="QK55" s="424"/>
      <c r="QL55" s="424"/>
      <c r="QM55" s="424"/>
      <c r="QN55" s="424"/>
      <c r="QO55" s="424"/>
      <c r="QP55" s="424"/>
      <c r="QQ55" s="424"/>
      <c r="QR55" s="424"/>
      <c r="QS55" s="424"/>
      <c r="QT55" s="424"/>
      <c r="QU55" s="424"/>
      <c r="QV55" s="424"/>
      <c r="QW55" s="424"/>
      <c r="QX55" s="424"/>
      <c r="QY55" s="424"/>
      <c r="QZ55" s="424"/>
      <c r="RA55" s="424"/>
      <c r="RT55" s="424"/>
      <c r="RU55" s="424"/>
      <c r="RV55" s="424"/>
      <c r="RW55" s="424"/>
      <c r="RX55" s="424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82">
        <f>ROW()</f>
        <v>55</v>
      </c>
      <c r="SM55" s="616" t="s">
        <v>863</v>
      </c>
      <c r="SN55" s="1484"/>
      <c r="SO55" s="693"/>
      <c r="SP55" s="693"/>
      <c r="SQ55" s="693"/>
      <c r="SR55" s="693">
        <v>0</v>
      </c>
      <c r="SS55" s="1469">
        <f>SR55</f>
        <v>0</v>
      </c>
      <c r="ST55" s="1469">
        <v>0</v>
      </c>
      <c r="SU55" s="1469">
        <f>ST55+SS55</f>
        <v>0</v>
      </c>
      <c r="SV55" s="1469">
        <v>0</v>
      </c>
      <c r="SW55" s="1469">
        <f>SV55+SU55</f>
        <v>0</v>
      </c>
      <c r="SX55" s="1469">
        <v>243767.49736000001</v>
      </c>
      <c r="SY55" s="1469">
        <f>SX55+SW55</f>
        <v>243767.49736000001</v>
      </c>
      <c r="SZ55" s="1469"/>
      <c r="TA55" s="1469"/>
      <c r="TB55" s="1468"/>
      <c r="TC55" s="1468"/>
      <c r="TD55" s="424"/>
      <c r="TE55" s="424"/>
      <c r="TF55" s="424"/>
      <c r="TG55" s="424"/>
      <c r="TH55" s="424"/>
      <c r="TI55" s="424"/>
      <c r="TJ55" s="424"/>
      <c r="TK55" s="424"/>
      <c r="TL55" s="424"/>
      <c r="TM55" s="424"/>
      <c r="TN55" s="424"/>
      <c r="TO55" s="424"/>
      <c r="TP55" s="424"/>
      <c r="TQ55" s="424"/>
      <c r="TR55" s="424"/>
      <c r="TS55" s="424"/>
      <c r="TT55" s="424"/>
      <c r="TU55" s="424"/>
      <c r="TV55" s="424"/>
      <c r="TW55" s="424"/>
      <c r="TY55" s="690"/>
      <c r="TZ55" s="20"/>
      <c r="UA55" s="78"/>
      <c r="UB55" s="78"/>
      <c r="UC55" s="20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R55" s="1556"/>
      <c r="US55" s="1555"/>
      <c r="UT55" s="100"/>
      <c r="UU55" s="100"/>
      <c r="UV55" s="100"/>
      <c r="UW55" s="100"/>
      <c r="UX55" s="100"/>
      <c r="UY55" s="100"/>
      <c r="UZ55" s="100"/>
      <c r="VA55" s="100"/>
      <c r="VB55" s="100"/>
      <c r="VC55" s="100"/>
      <c r="VD55" s="100"/>
    </row>
    <row r="56" spans="1:576" x14ac:dyDescent="0.25">
      <c r="A56" s="13">
        <f>ROW()</f>
        <v>56</v>
      </c>
      <c r="B56" s="1552" t="s">
        <v>885</v>
      </c>
      <c r="C56" s="489"/>
      <c r="D56" s="1196">
        <f t="shared" ref="D56:R56" si="131">D37+D54</f>
        <v>0</v>
      </c>
      <c r="E56" s="1196">
        <f t="shared" si="131"/>
        <v>42764598.153237559</v>
      </c>
      <c r="F56" s="1196">
        <f t="shared" si="131"/>
        <v>0</v>
      </c>
      <c r="G56" s="1196">
        <f t="shared" si="131"/>
        <v>-58370822.895894624</v>
      </c>
      <c r="H56" s="1196">
        <f t="shared" si="131"/>
        <v>0</v>
      </c>
      <c r="I56" s="1196">
        <f t="shared" si="131"/>
        <v>-10379439.36891593</v>
      </c>
      <c r="J56" s="1196">
        <f t="shared" si="131"/>
        <v>0</v>
      </c>
      <c r="K56" s="1196">
        <f t="shared" si="131"/>
        <v>-8527588.8853307366</v>
      </c>
      <c r="L56" s="1196">
        <f t="shared" si="131"/>
        <v>0</v>
      </c>
      <c r="M56" s="1196">
        <f t="shared" si="131"/>
        <v>-2749024.8067777134</v>
      </c>
      <c r="N56" s="1196">
        <f t="shared" si="131"/>
        <v>0</v>
      </c>
      <c r="O56" s="1196">
        <f t="shared" si="131"/>
        <v>0</v>
      </c>
      <c r="P56" s="1196">
        <f t="shared" si="131"/>
        <v>0</v>
      </c>
      <c r="Q56" s="1196">
        <f t="shared" si="131"/>
        <v>0</v>
      </c>
      <c r="R56" s="1196">
        <f t="shared" si="131"/>
        <v>0</v>
      </c>
      <c r="S56" s="22">
        <f>ROW()</f>
        <v>56</v>
      </c>
      <c r="T56" s="603" t="s">
        <v>884</v>
      </c>
      <c r="U56" s="1417"/>
      <c r="V56" s="668">
        <v>22144.320000000003</v>
      </c>
      <c r="W56" s="74">
        <f t="shared" si="125"/>
        <v>-22144.320000000003</v>
      </c>
      <c r="X56" s="668">
        <f>SUM(V56:W56)</f>
        <v>0</v>
      </c>
      <c r="Y56" s="668"/>
      <c r="Z56" s="668">
        <f>SUM(X56:Y56)</f>
        <v>0</v>
      </c>
      <c r="AA56" s="668"/>
      <c r="AB56" s="668">
        <f>SUM(Z56:AA56)</f>
        <v>0</v>
      </c>
      <c r="AC56" s="668"/>
      <c r="AD56" s="668">
        <f>SUM(AB56:AC56)</f>
        <v>0</v>
      </c>
      <c r="AE56" s="668"/>
      <c r="AF56" s="668">
        <f>SUM(AD56:AE56)</f>
        <v>0</v>
      </c>
      <c r="AL56" s="776"/>
      <c r="AM56" s="776"/>
      <c r="AN56" s="776"/>
      <c r="AO56" s="776"/>
      <c r="AP56" s="776"/>
      <c r="AQ56" s="1514">
        <v>0</v>
      </c>
      <c r="AR56" s="1514">
        <v>0</v>
      </c>
      <c r="AS56" s="1514"/>
      <c r="AT56" s="1514"/>
      <c r="AU56" s="1514"/>
      <c r="AV56" s="1514"/>
      <c r="AW56" s="1514"/>
      <c r="AX56" s="1514"/>
      <c r="AY56" s="18"/>
      <c r="AZ56" s="18"/>
      <c r="BA56" s="18"/>
      <c r="BB56" s="18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V56"/>
      <c r="BW56"/>
      <c r="BX56"/>
      <c r="BY56"/>
      <c r="BZ56"/>
      <c r="CA56"/>
      <c r="CB56"/>
      <c r="FY56" s="30"/>
      <c r="FZ56" s="1217"/>
      <c r="GA56" s="20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IS56"/>
      <c r="IT56"/>
      <c r="IU56"/>
      <c r="IV56"/>
      <c r="IW56"/>
      <c r="IX56"/>
      <c r="IY56"/>
      <c r="IZ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MX56" s="99"/>
      <c r="MY56" s="99"/>
      <c r="MZ56" s="99"/>
      <c r="NA56" s="99"/>
      <c r="NB56" s="99"/>
      <c r="NO56" s="30"/>
      <c r="NP56" s="842"/>
      <c r="NQ56" s="20"/>
      <c r="NR56" s="619"/>
      <c r="NS56" s="619"/>
      <c r="NT56" s="619"/>
      <c r="NU56" s="619"/>
      <c r="NV56" s="619"/>
      <c r="NW56" s="619"/>
      <c r="NX56" s="619"/>
      <c r="NY56" s="619"/>
      <c r="NZ56" s="619"/>
      <c r="OA56" s="619"/>
      <c r="OB56" s="619"/>
      <c r="OC56" s="1521"/>
      <c r="OD56" s="1521"/>
      <c r="OE56" s="1521"/>
      <c r="OF56" s="1521"/>
      <c r="OW56"/>
      <c r="OX56"/>
      <c r="OY56"/>
      <c r="OZ56" s="1054"/>
      <c r="PA56" s="1054"/>
      <c r="PB56" s="1492"/>
      <c r="PC56" s="561"/>
      <c r="PD56" s="561"/>
      <c r="PE56" s="561"/>
      <c r="PF56" s="561"/>
      <c r="PG56" s="1193"/>
      <c r="PH56" s="1193"/>
      <c r="PI56" s="1491"/>
      <c r="PJ56" s="1491"/>
      <c r="PK56" s="1491"/>
      <c r="PL56" s="1491"/>
      <c r="PM56"/>
      <c r="PN56"/>
      <c r="PO56"/>
      <c r="PP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J56" s="424"/>
      <c r="QK56" s="424"/>
      <c r="QL56" s="424"/>
      <c r="QM56" s="424"/>
      <c r="QN56" s="424"/>
      <c r="QO56" s="424"/>
      <c r="QP56" s="424"/>
      <c r="QQ56" s="424"/>
      <c r="QR56" s="424"/>
      <c r="QS56" s="424"/>
      <c r="QT56" s="424"/>
      <c r="QU56" s="424"/>
      <c r="QV56" s="424"/>
      <c r="QW56" s="424"/>
      <c r="QX56" s="424"/>
      <c r="QY56" s="424"/>
      <c r="QZ56" s="424"/>
      <c r="RA56" s="424"/>
      <c r="RT56" s="424"/>
      <c r="RU56" s="424"/>
      <c r="RV56" s="424"/>
      <c r="RW56" s="424"/>
      <c r="RX56" s="424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82">
        <f>ROW()</f>
        <v>56</v>
      </c>
      <c r="SM56" s="616" t="s">
        <v>280</v>
      </c>
      <c r="SN56" s="1484"/>
      <c r="SO56" s="1471"/>
      <c r="SP56" s="1471"/>
      <c r="SQ56" s="1471"/>
      <c r="SR56" s="1471">
        <f t="shared" ref="SR56:SY56" si="132">SUM(SR52:SR55)</f>
        <v>617.78</v>
      </c>
      <c r="SS56" s="1471">
        <f t="shared" si="132"/>
        <v>617.78</v>
      </c>
      <c r="ST56" s="1471">
        <f t="shared" si="132"/>
        <v>15198.15</v>
      </c>
      <c r="SU56" s="1471">
        <f t="shared" si="132"/>
        <v>15815.93</v>
      </c>
      <c r="SV56" s="1471">
        <f t="shared" si="132"/>
        <v>449917.27</v>
      </c>
      <c r="SW56" s="1471">
        <f t="shared" si="132"/>
        <v>465733.2</v>
      </c>
      <c r="SX56" s="1471">
        <f t="shared" si="132"/>
        <v>243767.49736000001</v>
      </c>
      <c r="SY56" s="1471">
        <f t="shared" si="132"/>
        <v>709500.69735999999</v>
      </c>
      <c r="SZ56" s="1471"/>
      <c r="TA56" s="1471"/>
      <c r="TB56" s="1470"/>
      <c r="TC56" s="1470"/>
      <c r="TD56" s="424"/>
      <c r="TE56" s="424"/>
      <c r="TF56" s="424"/>
      <c r="TG56" s="424"/>
      <c r="TH56" s="424"/>
      <c r="TI56" s="424"/>
      <c r="TJ56" s="424"/>
      <c r="TK56" s="424"/>
      <c r="TL56" s="424"/>
      <c r="TM56" s="424"/>
      <c r="TN56" s="424"/>
      <c r="TO56" s="424"/>
      <c r="TP56" s="424"/>
      <c r="TQ56" s="424"/>
      <c r="TR56" s="424"/>
      <c r="TS56" s="424"/>
      <c r="TT56" s="424"/>
      <c r="TU56" s="424"/>
      <c r="TV56" s="424"/>
      <c r="TW56" s="424"/>
      <c r="TY56" s="942"/>
      <c r="TZ56" s="20"/>
      <c r="UA56" s="573"/>
      <c r="UB56" s="573"/>
      <c r="UC56" s="20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R56" s="1554"/>
      <c r="US56" s="1553"/>
      <c r="UT56" s="100"/>
      <c r="UU56" s="100"/>
      <c r="UV56" s="100"/>
      <c r="UW56" s="100"/>
      <c r="UX56" s="100"/>
      <c r="UY56" s="100"/>
      <c r="UZ56" s="100"/>
      <c r="VA56" s="100"/>
      <c r="VB56" s="100"/>
      <c r="VC56" s="100"/>
      <c r="VD56" s="100"/>
    </row>
    <row r="57" spans="1:576" x14ac:dyDescent="0.25">
      <c r="A57" s="22">
        <f>ROW()</f>
        <v>57</v>
      </c>
      <c r="C57" s="23"/>
      <c r="D57" s="550"/>
      <c r="E57" s="550"/>
      <c r="F57" s="550"/>
      <c r="G57" s="550"/>
      <c r="H57" s="63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22">
        <f>ROW()</f>
        <v>57</v>
      </c>
      <c r="T57" s="603" t="s">
        <v>883</v>
      </c>
      <c r="U57" s="1417"/>
      <c r="V57" s="668">
        <v>-56.36</v>
      </c>
      <c r="W57" s="74">
        <f t="shared" si="125"/>
        <v>56.36</v>
      </c>
      <c r="X57" s="668">
        <f>SUM(V57:W57)</f>
        <v>0</v>
      </c>
      <c r="Y57" s="668"/>
      <c r="Z57" s="668">
        <f>SUM(X57:Y57)</f>
        <v>0</v>
      </c>
      <c r="AA57" s="668"/>
      <c r="AB57" s="668">
        <f>SUM(Z57:AA57)</f>
        <v>0</v>
      </c>
      <c r="AC57" s="668"/>
      <c r="AD57" s="668">
        <f>SUM(AB57:AC57)</f>
        <v>0</v>
      </c>
      <c r="AE57" s="668"/>
      <c r="AF57" s="668">
        <f>SUM(AD57:AE57)</f>
        <v>0</v>
      </c>
      <c r="AL57" s="842"/>
      <c r="AM57" s="1191"/>
      <c r="AN57" s="619"/>
      <c r="AO57" s="619"/>
      <c r="AP57" s="619"/>
      <c r="AQ57" s="1512">
        <v>0</v>
      </c>
      <c r="AR57" s="1512">
        <v>0</v>
      </c>
      <c r="AS57" s="1512"/>
      <c r="AT57" s="1512"/>
      <c r="AU57" s="1512"/>
      <c r="AV57" s="1512"/>
      <c r="AW57" s="1512"/>
      <c r="AX57" s="1512"/>
      <c r="AY57" s="18"/>
      <c r="AZ57" s="18"/>
      <c r="BA57" s="18"/>
      <c r="BB57" s="18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V57"/>
      <c r="BW57"/>
      <c r="BX57"/>
      <c r="BY57"/>
      <c r="BZ57"/>
      <c r="CA57"/>
      <c r="CB57"/>
      <c r="FY57" s="30"/>
      <c r="FZ57" s="1217"/>
      <c r="GA57" s="20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IS57"/>
      <c r="IT57"/>
      <c r="IU57"/>
      <c r="IV57"/>
      <c r="IW57"/>
      <c r="IX57"/>
      <c r="IY57"/>
      <c r="IZ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MX57" s="99"/>
      <c r="MY57" s="99"/>
      <c r="MZ57" s="99"/>
      <c r="NA57" s="99"/>
      <c r="NB57" s="99"/>
      <c r="NO57" s="30"/>
      <c r="NP57" s="842"/>
      <c r="NQ57" s="20"/>
      <c r="NR57" s="619"/>
      <c r="NS57" s="619"/>
      <c r="NT57" s="619"/>
      <c r="NU57" s="619"/>
      <c r="NV57" s="619"/>
      <c r="NW57" s="619"/>
      <c r="NX57" s="619"/>
      <c r="NY57" s="619"/>
      <c r="NZ57" s="619"/>
      <c r="OA57" s="619"/>
      <c r="OB57" s="619"/>
      <c r="OC57" s="1521"/>
      <c r="OD57" s="1521"/>
      <c r="OE57" s="1521"/>
      <c r="OF57" s="1521"/>
      <c r="OW57"/>
      <c r="OX57"/>
      <c r="OY57"/>
      <c r="OZ57" s="4"/>
      <c r="PA57" s="1054"/>
      <c r="PB57" s="1488"/>
      <c r="PC57" s="561"/>
      <c r="PD57" s="561"/>
      <c r="PE57" s="561"/>
      <c r="PF57" s="561"/>
      <c r="PG57" s="78"/>
      <c r="PH57" s="78"/>
      <c r="PI57" s="1456"/>
      <c r="PJ57" s="1456"/>
      <c r="PK57" s="1456"/>
      <c r="PL57" s="1456"/>
      <c r="PM57"/>
      <c r="PN57"/>
      <c r="PO57"/>
      <c r="PP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J57" s="424"/>
      <c r="QK57" s="424"/>
      <c r="QL57" s="424"/>
      <c r="QM57" s="424"/>
      <c r="QN57" s="424"/>
      <c r="QO57" s="424"/>
      <c r="QP57" s="424"/>
      <c r="QQ57" s="424"/>
      <c r="QR57" s="424"/>
      <c r="QS57" s="424"/>
      <c r="QT57" s="424"/>
      <c r="QU57" s="424"/>
      <c r="QV57" s="424"/>
      <c r="QW57" s="424"/>
      <c r="QX57" s="424"/>
      <c r="QY57" s="424"/>
      <c r="QZ57" s="424"/>
      <c r="RA57" s="424"/>
      <c r="RT57" s="424"/>
      <c r="RU57" s="424"/>
      <c r="RV57" s="424"/>
      <c r="RW57" s="424"/>
      <c r="RX57" s="424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82">
        <f>ROW()</f>
        <v>57</v>
      </c>
      <c r="SM57" s="616"/>
      <c r="SN57" s="1484"/>
      <c r="SO57" s="1471"/>
      <c r="SP57" s="1471"/>
      <c r="SQ57" s="1471"/>
      <c r="SR57" s="1471"/>
      <c r="SS57" s="1471"/>
      <c r="ST57" s="1471"/>
      <c r="SU57" s="1471"/>
      <c r="SV57" s="1471"/>
      <c r="SW57" s="1471"/>
      <c r="SX57" s="1471"/>
      <c r="SY57" s="1471"/>
      <c r="SZ57" s="1471"/>
      <c r="TA57" s="1471"/>
      <c r="TB57" s="1470"/>
      <c r="TC57" s="1470"/>
      <c r="TD57" s="424"/>
      <c r="TE57" s="424"/>
      <c r="TF57" s="424"/>
      <c r="TG57" s="424"/>
      <c r="TH57" s="424"/>
      <c r="TI57" s="424"/>
      <c r="TJ57" s="424"/>
      <c r="TK57" s="424"/>
      <c r="TL57" s="424"/>
      <c r="TM57" s="424"/>
      <c r="TN57" s="424"/>
      <c r="TO57" s="424"/>
      <c r="TP57" s="424"/>
      <c r="TQ57" s="424"/>
      <c r="TR57" s="424"/>
      <c r="TS57" s="424"/>
      <c r="TT57" s="424"/>
      <c r="TU57" s="424"/>
      <c r="TV57" s="424"/>
      <c r="TW57" s="424"/>
      <c r="TY57" s="942"/>
      <c r="TZ57" s="20"/>
      <c r="UA57" s="78"/>
      <c r="UB57" s="78"/>
      <c r="UC57" s="78"/>
      <c r="UD57" s="1528"/>
      <c r="UE57" s="1528"/>
      <c r="UF57" s="1528"/>
      <c r="UG57" s="1528"/>
      <c r="UH57" s="1528"/>
      <c r="UI57" s="1528"/>
      <c r="UJ57" s="1528"/>
      <c r="UK57" s="1528"/>
      <c r="UL57" s="1528"/>
      <c r="UM57" s="1528"/>
      <c r="UN57" s="1528"/>
      <c r="UO57" s="1528"/>
      <c r="UR57" s="20"/>
      <c r="US57" s="20"/>
      <c r="UT57" s="20"/>
      <c r="UU57" s="20"/>
      <c r="UV57" s="20"/>
      <c r="UW57" s="20"/>
      <c r="UX57" s="20"/>
      <c r="UY57" s="20"/>
      <c r="UZ57" s="20"/>
      <c r="VA57" s="20"/>
      <c r="VB57" s="20"/>
      <c r="VC57" s="20"/>
      <c r="VD57" s="20"/>
    </row>
    <row r="58" spans="1:576" x14ac:dyDescent="0.25">
      <c r="A58" s="22">
        <f>ROW()</f>
        <v>58</v>
      </c>
      <c r="B58" s="1537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N58" s="619"/>
      <c r="O58" s="619"/>
      <c r="P58" s="619"/>
      <c r="Q58" s="619"/>
      <c r="R58" s="619"/>
      <c r="S58" s="22">
        <f>ROW()</f>
        <v>58</v>
      </c>
      <c r="T58" s="603" t="s">
        <v>882</v>
      </c>
      <c r="U58" s="1417"/>
      <c r="V58" s="668">
        <v>1564.16</v>
      </c>
      <c r="W58" s="74">
        <f t="shared" si="125"/>
        <v>-1564.16</v>
      </c>
      <c r="AL58" s="842"/>
      <c r="AM58" s="1191"/>
      <c r="AN58" s="619"/>
      <c r="AO58" s="619"/>
      <c r="AP58" s="619"/>
      <c r="AQ58" s="1512">
        <v>-23455.855920842834</v>
      </c>
      <c r="AR58" s="1512">
        <v>81100.435259652266</v>
      </c>
      <c r="AS58" s="1512"/>
      <c r="AT58" s="1512"/>
      <c r="AU58" s="1512"/>
      <c r="AV58" s="1512"/>
      <c r="AW58" s="1512"/>
      <c r="AX58" s="1512"/>
      <c r="AY58" s="18"/>
      <c r="AZ58" s="18"/>
      <c r="BA58" s="18"/>
      <c r="BB58" s="1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V58"/>
      <c r="BW58"/>
      <c r="BX58"/>
      <c r="BY58"/>
      <c r="BZ58"/>
      <c r="CA58"/>
      <c r="CB58"/>
      <c r="FY58" s="30"/>
      <c r="FZ58" s="1217"/>
      <c r="GA58" s="20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IS58"/>
      <c r="IT58"/>
      <c r="IU58"/>
      <c r="IV58"/>
      <c r="IW58"/>
      <c r="IX58"/>
      <c r="IY58"/>
      <c r="IZ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NO58" s="30"/>
      <c r="NP58" s="842"/>
      <c r="NQ58" s="20"/>
      <c r="NR58" s="619"/>
      <c r="NS58" s="619"/>
      <c r="NT58" s="619"/>
      <c r="NU58" s="619"/>
      <c r="NV58" s="619"/>
      <c r="NW58" s="619"/>
      <c r="NX58" s="619"/>
      <c r="NY58" s="619"/>
      <c r="NZ58" s="619"/>
      <c r="OA58" s="619"/>
      <c r="OB58" s="619"/>
      <c r="OC58" s="1521"/>
      <c r="OD58" s="1521"/>
      <c r="OE58" s="1521"/>
      <c r="OF58" s="1521"/>
      <c r="OW58"/>
      <c r="OX58"/>
      <c r="OY58"/>
      <c r="OZ58" s="1203"/>
      <c r="PA58" s="1054"/>
      <c r="PB58" s="624"/>
      <c r="PC58" s="624"/>
      <c r="PD58" s="624"/>
      <c r="PE58" s="624"/>
      <c r="PF58" s="1451"/>
      <c r="PG58" s="624"/>
      <c r="PH58" s="1473"/>
      <c r="PI58" s="624"/>
      <c r="PJ58" s="1442"/>
      <c r="PK58" s="624"/>
      <c r="PL58" s="1442"/>
      <c r="PM58"/>
      <c r="PN58"/>
      <c r="PO58"/>
      <c r="PP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J58" s="424"/>
      <c r="QK58" s="424"/>
      <c r="QL58" s="424"/>
      <c r="QM58" s="424"/>
      <c r="QN58" s="424"/>
      <c r="QO58" s="424"/>
      <c r="QP58" s="424"/>
      <c r="QQ58" s="424"/>
      <c r="QR58" s="424"/>
      <c r="QS58" s="424"/>
      <c r="QT58" s="424"/>
      <c r="QU58" s="424"/>
      <c r="QV58" s="424"/>
      <c r="QW58" s="424"/>
      <c r="QX58" s="424"/>
      <c r="QY58" s="424"/>
      <c r="QZ58" s="424"/>
      <c r="RA58" s="424"/>
      <c r="RT58" s="424"/>
      <c r="RU58" s="424"/>
      <c r="RV58" s="424"/>
      <c r="RW58" s="424"/>
      <c r="RX58" s="424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82">
        <f>ROW()</f>
        <v>58</v>
      </c>
      <c r="SM58" s="616" t="s">
        <v>258</v>
      </c>
      <c r="SN58" s="1484"/>
      <c r="SO58" s="1471"/>
      <c r="SP58" s="1471"/>
      <c r="SQ58" s="1471"/>
      <c r="SR58" s="1471">
        <f t="shared" ref="SR58:SY58" si="133">SR56</f>
        <v>617.78</v>
      </c>
      <c r="SS58" s="1471">
        <f t="shared" si="133"/>
        <v>617.78</v>
      </c>
      <c r="ST58" s="1471">
        <f t="shared" si="133"/>
        <v>15198.15</v>
      </c>
      <c r="SU58" s="1471">
        <f t="shared" si="133"/>
        <v>15815.93</v>
      </c>
      <c r="SV58" s="1471">
        <f t="shared" si="133"/>
        <v>449917.27</v>
      </c>
      <c r="SW58" s="1471">
        <f t="shared" si="133"/>
        <v>465733.2</v>
      </c>
      <c r="SX58" s="1471">
        <f t="shared" si="133"/>
        <v>243767.49736000001</v>
      </c>
      <c r="SY58" s="1471">
        <f t="shared" si="133"/>
        <v>709500.69735999999</v>
      </c>
      <c r="SZ58" s="1471"/>
      <c r="TA58" s="1471"/>
      <c r="TB58" s="1470"/>
      <c r="TC58" s="1470"/>
      <c r="TD58" s="424"/>
      <c r="TE58" s="424"/>
      <c r="TF58" s="424"/>
      <c r="TG58" s="424"/>
      <c r="TH58" s="424"/>
      <c r="TI58" s="424"/>
      <c r="TJ58" s="424"/>
      <c r="TK58" s="424"/>
      <c r="TL58" s="424"/>
      <c r="TM58" s="424"/>
      <c r="TN58" s="424"/>
      <c r="TO58" s="424"/>
      <c r="TP58" s="424"/>
      <c r="TQ58" s="424"/>
      <c r="TR58" s="424"/>
      <c r="TS58" s="424"/>
      <c r="TT58" s="424"/>
      <c r="TU58" s="424"/>
      <c r="TV58" s="424"/>
      <c r="TW58" s="424"/>
      <c r="TY58" s="20"/>
      <c r="TZ58" s="20"/>
      <c r="UA58" s="78"/>
      <c r="UB58" s="78"/>
      <c r="UC58" s="78"/>
      <c r="UD58" s="1528"/>
      <c r="UE58" s="1528"/>
      <c r="UF58" s="1528"/>
      <c r="UG58" s="1528"/>
      <c r="UH58" s="1528"/>
      <c r="UI58" s="1528"/>
      <c r="UJ58" s="1528"/>
      <c r="UK58" s="1528"/>
      <c r="UL58" s="1528"/>
      <c r="UM58" s="1528"/>
      <c r="UN58" s="1528"/>
      <c r="UO58" s="1528"/>
      <c r="UR58" s="1545"/>
      <c r="US58" s="1545"/>
      <c r="UT58" s="1545"/>
      <c r="UU58" s="1545"/>
      <c r="UV58" s="1545"/>
      <c r="UW58" s="1545"/>
      <c r="UX58" s="1545"/>
      <c r="UY58" s="1545"/>
      <c r="UZ58" s="1545"/>
      <c r="VA58" s="1545"/>
      <c r="VB58" s="1545"/>
      <c r="VC58" s="1545"/>
      <c r="VD58" s="1545"/>
    </row>
    <row r="59" spans="1:576" x14ac:dyDescent="0.25">
      <c r="A59" s="22">
        <f>ROW()</f>
        <v>59</v>
      </c>
      <c r="B59" s="1552" t="s">
        <v>881</v>
      </c>
      <c r="D59" s="619"/>
      <c r="E59" s="619"/>
      <c r="F59" s="619"/>
      <c r="G59" s="619"/>
      <c r="H59" s="619"/>
      <c r="I59" s="619"/>
      <c r="J59" s="619"/>
      <c r="K59" s="619"/>
      <c r="L59" s="619"/>
      <c r="M59" s="619"/>
      <c r="N59" s="619"/>
      <c r="O59" s="619"/>
      <c r="P59" s="619"/>
      <c r="Q59" s="619"/>
      <c r="R59" s="619"/>
      <c r="S59" s="22">
        <f>ROW()</f>
        <v>59</v>
      </c>
      <c r="T59" s="603" t="s">
        <v>880</v>
      </c>
      <c r="U59" s="1417"/>
      <c r="V59" s="668">
        <v>5272.46</v>
      </c>
      <c r="W59" s="74">
        <f t="shared" si="125"/>
        <v>-5272.46</v>
      </c>
      <c r="AK59" s="529"/>
      <c r="AL59" s="842"/>
      <c r="AM59" s="1191"/>
      <c r="AN59" s="619"/>
      <c r="AO59" s="619"/>
      <c r="AP59" s="619"/>
      <c r="AQ59" s="1512">
        <v>0</v>
      </c>
      <c r="AR59" s="1512">
        <v>0</v>
      </c>
      <c r="AS59" s="1512"/>
      <c r="AT59" s="1512"/>
      <c r="AU59" s="1512"/>
      <c r="AV59" s="1512"/>
      <c r="AW59" s="1512"/>
      <c r="AX59" s="1512"/>
      <c r="AY59" s="18"/>
      <c r="AZ59" s="18"/>
      <c r="BA59" s="18"/>
      <c r="BB59" s="18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V59"/>
      <c r="BW59"/>
      <c r="BX59"/>
      <c r="BY59"/>
      <c r="BZ59"/>
      <c r="CA59"/>
      <c r="CB59"/>
      <c r="FY59" s="30"/>
      <c r="FZ59" s="1217"/>
      <c r="GA59" s="20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IS59"/>
      <c r="IT59"/>
      <c r="IU59"/>
      <c r="IV59"/>
      <c r="IW59"/>
      <c r="IX59"/>
      <c r="IY59"/>
      <c r="IZ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 s="482"/>
      <c r="NO59" s="30"/>
      <c r="NP59" s="842"/>
      <c r="NQ59" s="20"/>
      <c r="NR59" s="619"/>
      <c r="NS59" s="619"/>
      <c r="NT59" s="619"/>
      <c r="NU59" s="619"/>
      <c r="NV59" s="619"/>
      <c r="NW59" s="619"/>
      <c r="NX59" s="619"/>
      <c r="NY59" s="619"/>
      <c r="NZ59" s="619"/>
      <c r="OA59" s="619"/>
      <c r="OB59" s="619"/>
      <c r="OC59" s="1521"/>
      <c r="OD59" s="1521"/>
      <c r="OE59" s="1521"/>
      <c r="OF59" s="1521"/>
      <c r="OW59"/>
      <c r="OX59"/>
      <c r="OY59"/>
      <c r="OZ59" s="1203"/>
      <c r="PA59" s="1054"/>
      <c r="PB59" s="63"/>
      <c r="PC59" s="63"/>
      <c r="PD59" s="63"/>
      <c r="PE59" s="63"/>
      <c r="PF59" s="1451"/>
      <c r="PG59" s="63"/>
      <c r="PH59" s="1473"/>
      <c r="PI59" s="63"/>
      <c r="PJ59" s="1438"/>
      <c r="PK59" s="63"/>
      <c r="PL59" s="1438"/>
      <c r="PM59"/>
      <c r="PN59"/>
      <c r="PO59"/>
      <c r="PP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J59" s="424"/>
      <c r="QK59" s="424"/>
      <c r="QL59" s="424"/>
      <c r="QM59" s="424"/>
      <c r="QN59" s="424"/>
      <c r="QO59" s="424"/>
      <c r="QP59" s="424"/>
      <c r="QQ59" s="424"/>
      <c r="QR59" s="424"/>
      <c r="QS59" s="424"/>
      <c r="QT59" s="424"/>
      <c r="QU59" s="424"/>
      <c r="QV59" s="424"/>
      <c r="QW59" s="424"/>
      <c r="QX59" s="424"/>
      <c r="QY59" s="424"/>
      <c r="QZ59" s="424"/>
      <c r="RA59" s="424"/>
      <c r="RT59" s="424"/>
      <c r="RU59" s="424"/>
      <c r="RV59" s="424"/>
      <c r="RW59" s="424"/>
      <c r="RX59" s="424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82">
        <f>ROW()</f>
        <v>59</v>
      </c>
      <c r="SM59" s="616"/>
      <c r="SN59" s="1484"/>
      <c r="SO59" s="1490"/>
      <c r="SP59" s="1490"/>
      <c r="SQ59" s="1490"/>
      <c r="SR59" s="1490"/>
      <c r="SS59" s="1490"/>
      <c r="ST59" s="1490"/>
      <c r="SU59" s="1490"/>
      <c r="SV59" s="1490"/>
      <c r="SW59" s="1490"/>
      <c r="SX59" s="1490"/>
      <c r="SY59" s="1490"/>
      <c r="SZ59" s="1490"/>
      <c r="TA59" s="1490"/>
      <c r="TB59" s="1489"/>
      <c r="TC59" s="1489"/>
      <c r="TD59" s="424"/>
      <c r="TE59" s="424"/>
      <c r="TF59" s="424"/>
      <c r="TG59" s="424"/>
      <c r="TH59" s="424"/>
      <c r="TI59" s="424"/>
      <c r="TJ59" s="424"/>
      <c r="TK59" s="424"/>
      <c r="TL59" s="424"/>
      <c r="TM59" s="424"/>
      <c r="TN59" s="424"/>
      <c r="TO59" s="424"/>
      <c r="TP59" s="424"/>
      <c r="TQ59" s="424"/>
      <c r="TR59" s="424"/>
      <c r="TS59" s="424"/>
      <c r="TT59" s="424"/>
      <c r="TU59" s="424"/>
      <c r="TV59" s="424"/>
      <c r="TW59" s="424"/>
      <c r="TY59" s="20"/>
      <c r="TZ59" s="20"/>
      <c r="UA59" s="78"/>
      <c r="UB59" s="78"/>
      <c r="UC59" s="78"/>
      <c r="UD59" s="1528"/>
      <c r="UE59" s="1528"/>
      <c r="UF59" s="1528"/>
      <c r="UG59" s="1528"/>
      <c r="UH59" s="1528"/>
      <c r="UI59" s="1528"/>
      <c r="UJ59" s="1528"/>
      <c r="UK59" s="1528"/>
      <c r="UL59" s="1528"/>
      <c r="UM59" s="1528"/>
      <c r="UN59" s="1528"/>
      <c r="UO59" s="1528"/>
      <c r="UR59" s="1545"/>
      <c r="US59" s="1545"/>
      <c r="UT59" s="1545"/>
      <c r="UU59" s="1545"/>
      <c r="UV59" s="1545"/>
      <c r="UW59" s="1545"/>
      <c r="UX59" s="1545"/>
      <c r="UY59" s="1545"/>
      <c r="UZ59" s="1545"/>
      <c r="VA59" s="1545"/>
      <c r="VB59" s="1545"/>
      <c r="VC59" s="1545"/>
      <c r="VD59" s="1545"/>
    </row>
    <row r="60" spans="1:576" x14ac:dyDescent="0.25">
      <c r="A60" s="22">
        <f>ROW()</f>
        <v>60</v>
      </c>
      <c r="B60" s="73" t="s">
        <v>879</v>
      </c>
      <c r="C60" s="1550" t="s">
        <v>876</v>
      </c>
      <c r="D60" s="1387"/>
      <c r="E60" s="1389"/>
      <c r="F60" s="560"/>
      <c r="G60" s="619"/>
      <c r="H60" s="560"/>
      <c r="I60" s="619"/>
      <c r="J60" s="619"/>
      <c r="K60" s="619"/>
      <c r="L60" s="619"/>
      <c r="M60" s="619"/>
      <c r="N60" s="619"/>
      <c r="O60" s="619"/>
      <c r="P60" s="619"/>
      <c r="Q60" s="619"/>
      <c r="R60" s="619"/>
      <c r="S60" s="22">
        <f>ROW()</f>
        <v>60</v>
      </c>
      <c r="T60" s="603" t="s">
        <v>878</v>
      </c>
      <c r="U60" s="1415">
        <f>V60/SUM(V28,V32)</f>
        <v>0.95657856050349466</v>
      </c>
      <c r="V60" s="668">
        <v>59171890.659999996</v>
      </c>
      <c r="W60" s="74">
        <f t="shared" si="125"/>
        <v>-59171890.659999996</v>
      </c>
      <c r="X60" s="1551">
        <f>SUM(V60:W60)</f>
        <v>0</v>
      </c>
      <c r="Y60" s="1551"/>
      <c r="Z60" s="1551">
        <f>SUM(X60:Y60)</f>
        <v>0</v>
      </c>
      <c r="AA60" s="1551"/>
      <c r="AB60" s="1551">
        <f>SUM(Z60:AA60)</f>
        <v>0</v>
      </c>
      <c r="AC60" s="1551"/>
      <c r="AD60" s="1551">
        <f>SUM(AB60:AC60)</f>
        <v>0</v>
      </c>
      <c r="AE60" s="1551"/>
      <c r="AF60" s="1551">
        <f>SUM(AD60:AE60)</f>
        <v>0</v>
      </c>
      <c r="AG60" s="17"/>
      <c r="AH60" s="17"/>
      <c r="AI60" s="17"/>
      <c r="AJ60" s="17"/>
      <c r="AK60" s="529"/>
      <c r="AL60" s="881"/>
      <c r="AM60" s="1191"/>
      <c r="AN60" s="619"/>
      <c r="AO60" s="619"/>
      <c r="AP60" s="619"/>
      <c r="AQ60" s="1511">
        <v>-23455.855920842849</v>
      </c>
      <c r="AR60" s="1511">
        <v>81100.435259652324</v>
      </c>
      <c r="AS60" s="1511"/>
      <c r="AT60" s="1511"/>
      <c r="AU60" s="1511"/>
      <c r="AV60" s="1511"/>
      <c r="AW60" s="1511"/>
      <c r="AX60" s="1511"/>
      <c r="AY60" s="18"/>
      <c r="AZ60" s="18"/>
      <c r="BA60" s="18"/>
      <c r="BB60" s="18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V60"/>
      <c r="BW60"/>
      <c r="BX60"/>
      <c r="BY60"/>
      <c r="BZ60"/>
      <c r="CA60"/>
      <c r="CB60"/>
      <c r="FY60" s="30"/>
      <c r="FZ60" s="1217"/>
      <c r="GA60" s="20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IS60"/>
      <c r="IT60"/>
      <c r="IU60"/>
      <c r="IV60"/>
      <c r="IW60"/>
      <c r="IX60"/>
      <c r="IY60"/>
      <c r="IZ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 s="482"/>
      <c r="NO60" s="30"/>
      <c r="NP60" s="842"/>
      <c r="NQ60" s="917"/>
      <c r="NR60" s="619"/>
      <c r="NS60" s="619"/>
      <c r="NT60" s="619"/>
      <c r="NU60" s="619"/>
      <c r="NV60" s="619"/>
      <c r="NW60" s="619"/>
      <c r="NX60" s="619"/>
      <c r="NY60" s="619"/>
      <c r="NZ60" s="619"/>
      <c r="OA60" s="619"/>
      <c r="OB60" s="619"/>
      <c r="OC60" s="1521"/>
      <c r="OD60" s="1521"/>
      <c r="OE60" s="1521"/>
      <c r="OF60" s="1521"/>
      <c r="OW60"/>
      <c r="OX60"/>
      <c r="OY60"/>
      <c r="OZ60" s="1203"/>
      <c r="PA60" s="1054"/>
      <c r="PB60" s="63"/>
      <c r="PC60" s="63"/>
      <c r="PD60" s="63"/>
      <c r="PE60" s="1451"/>
      <c r="PF60" s="1451"/>
      <c r="PG60" s="1451"/>
      <c r="PH60" s="1473"/>
      <c r="PI60" s="1451"/>
      <c r="PJ60" s="1472"/>
      <c r="PK60" s="1451"/>
      <c r="PL60" s="1472"/>
      <c r="PM60"/>
      <c r="PN60"/>
      <c r="PO60"/>
      <c r="PP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J60" s="424"/>
      <c r="QK60" s="424"/>
      <c r="QL60" s="424"/>
      <c r="QM60" s="424"/>
      <c r="QN60" s="424"/>
      <c r="QO60" s="424"/>
      <c r="QP60" s="424"/>
      <c r="QQ60" s="424"/>
      <c r="QR60" s="424"/>
      <c r="QS60" s="424"/>
      <c r="QT60" s="424"/>
      <c r="QU60" s="424"/>
      <c r="QV60" s="424"/>
      <c r="QW60" s="424"/>
      <c r="QX60" s="424"/>
      <c r="QY60" s="424"/>
      <c r="QZ60" s="424"/>
      <c r="RA60" s="424"/>
      <c r="RT60" s="424"/>
      <c r="RU60" s="424"/>
      <c r="RV60" s="424"/>
      <c r="RW60" s="424"/>
      <c r="RX60" s="424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82">
        <f>ROW()</f>
        <v>60</v>
      </c>
      <c r="SM60" s="616" t="s">
        <v>259</v>
      </c>
      <c r="SN60" s="1484">
        <v>0.21</v>
      </c>
      <c r="SO60" s="1469"/>
      <c r="SP60" s="1469"/>
      <c r="SQ60" s="1469"/>
      <c r="SR60" s="1469">
        <f t="shared" ref="SR60:SY60" si="134">SR58*-$SN$60</f>
        <v>-129.7338</v>
      </c>
      <c r="SS60" s="1469">
        <f t="shared" si="134"/>
        <v>-129.7338</v>
      </c>
      <c r="ST60" s="1469">
        <f t="shared" si="134"/>
        <v>-3191.6115</v>
      </c>
      <c r="SU60" s="1469">
        <f t="shared" si="134"/>
        <v>-3321.3453</v>
      </c>
      <c r="SV60" s="1469">
        <f t="shared" si="134"/>
        <v>-94482.626699999993</v>
      </c>
      <c r="SW60" s="1469">
        <f t="shared" si="134"/>
        <v>-97803.971999999994</v>
      </c>
      <c r="SX60" s="1469">
        <f t="shared" si="134"/>
        <v>-51191.174445600001</v>
      </c>
      <c r="SY60" s="1469">
        <f t="shared" si="134"/>
        <v>-148995.1464456</v>
      </c>
      <c r="SZ60" s="1469"/>
      <c r="TA60" s="1469"/>
      <c r="TB60" s="1468"/>
      <c r="TC60" s="1468"/>
      <c r="TD60" s="424"/>
      <c r="TE60" s="424"/>
      <c r="TF60" s="424"/>
      <c r="TG60" s="424"/>
      <c r="TH60" s="424"/>
      <c r="TI60" s="424"/>
      <c r="TJ60" s="424"/>
      <c r="TK60" s="424"/>
      <c r="TL60" s="424"/>
      <c r="TM60" s="424"/>
      <c r="TN60" s="424"/>
      <c r="TO60" s="424"/>
      <c r="TP60" s="424"/>
      <c r="TQ60" s="424"/>
      <c r="TR60" s="424"/>
      <c r="TS60" s="424"/>
      <c r="TT60" s="424"/>
      <c r="TU60" s="424"/>
      <c r="TV60" s="424"/>
      <c r="TW60" s="424"/>
      <c r="TY60" s="20"/>
      <c r="TZ60" s="20"/>
      <c r="UA60" s="78"/>
      <c r="UB60" s="78"/>
      <c r="UC60" s="78"/>
      <c r="UD60" s="1528"/>
      <c r="UE60" s="1528"/>
      <c r="UF60" s="1528"/>
      <c r="UG60" s="1528"/>
      <c r="UH60" s="1528"/>
      <c r="UI60" s="1528"/>
      <c r="UJ60" s="1528"/>
      <c r="UK60" s="1528"/>
      <c r="UL60" s="1528"/>
      <c r="UM60" s="1528"/>
      <c r="UN60" s="1528"/>
      <c r="UO60" s="1528"/>
      <c r="UR60" s="1545"/>
      <c r="US60" s="1545"/>
      <c r="UT60" s="1545"/>
      <c r="UU60" s="1545"/>
      <c r="UV60" s="1545"/>
      <c r="UW60" s="1545"/>
      <c r="UX60" s="1545"/>
      <c r="UY60" s="1545"/>
      <c r="UZ60" s="1545"/>
      <c r="VA60" s="1545"/>
      <c r="VB60" s="1545"/>
      <c r="VC60" s="1545"/>
      <c r="VD60" s="1545"/>
    </row>
    <row r="61" spans="1:576" x14ac:dyDescent="0.25">
      <c r="A61" s="22">
        <f>ROW()</f>
        <v>61</v>
      </c>
      <c r="B61" s="73" t="s">
        <v>877</v>
      </c>
      <c r="C61" s="1550" t="s">
        <v>876</v>
      </c>
      <c r="D61" s="1549"/>
      <c r="E61" s="1548"/>
      <c r="F61" s="759"/>
      <c r="G61" s="1547"/>
      <c r="H61" s="759"/>
      <c r="I61" s="1547"/>
      <c r="J61" s="1547"/>
      <c r="K61" s="1547"/>
      <c r="L61" s="1547"/>
      <c r="M61" s="1547"/>
      <c r="N61" s="1547"/>
      <c r="O61" s="1547"/>
      <c r="P61" s="1547"/>
      <c r="Q61" s="1547"/>
      <c r="R61" s="1547"/>
      <c r="S61" s="22">
        <f>ROW()</f>
        <v>61</v>
      </c>
      <c r="T61" s="1183" t="s">
        <v>312</v>
      </c>
      <c r="U61" s="1183"/>
      <c r="V61" s="663">
        <f t="shared" ref="V61:AF61" si="135">SUM(V42:V60)</f>
        <v>686766261.61999989</v>
      </c>
      <c r="W61" s="663">
        <f t="shared" si="135"/>
        <v>-686766261.61999989</v>
      </c>
      <c r="X61" s="663">
        <f t="shared" si="135"/>
        <v>0</v>
      </c>
      <c r="Y61" s="663">
        <f t="shared" si="135"/>
        <v>0</v>
      </c>
      <c r="Z61" s="663">
        <f t="shared" si="135"/>
        <v>0</v>
      </c>
      <c r="AA61" s="663">
        <f t="shared" si="135"/>
        <v>0</v>
      </c>
      <c r="AB61" s="663">
        <f t="shared" si="135"/>
        <v>0</v>
      </c>
      <c r="AC61" s="663">
        <f t="shared" si="135"/>
        <v>0</v>
      </c>
      <c r="AD61" s="663">
        <f t="shared" si="135"/>
        <v>0</v>
      </c>
      <c r="AE61" s="663">
        <f t="shared" si="135"/>
        <v>0</v>
      </c>
      <c r="AF61" s="663">
        <f t="shared" si="135"/>
        <v>0</v>
      </c>
      <c r="AG61" s="663"/>
      <c r="AH61" s="663"/>
      <c r="AI61" s="663"/>
      <c r="AJ61" s="663"/>
      <c r="AK61" s="529"/>
      <c r="AL61" s="881"/>
      <c r="AM61" s="1191"/>
      <c r="AN61" s="619"/>
      <c r="AO61" s="619"/>
      <c r="AP61" s="619"/>
      <c r="AQ61" s="1511">
        <v>0</v>
      </c>
      <c r="AR61" s="1511">
        <v>0</v>
      </c>
      <c r="AS61" s="1511"/>
      <c r="AT61" s="1511"/>
      <c r="AU61" s="1511"/>
      <c r="AV61" s="1511"/>
      <c r="AW61" s="1511"/>
      <c r="AX61" s="1511"/>
      <c r="AY61" s="18"/>
      <c r="AZ61" s="18"/>
      <c r="BA61" s="18"/>
      <c r="BB61" s="18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V61"/>
      <c r="BW61"/>
      <c r="BX61"/>
      <c r="BY61"/>
      <c r="BZ61"/>
      <c r="CA61"/>
      <c r="CB61"/>
      <c r="FY61" s="30"/>
      <c r="FZ61" s="1217"/>
      <c r="GA61" s="20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IS61"/>
      <c r="IT61"/>
      <c r="IU61"/>
      <c r="IV61"/>
      <c r="IW61"/>
      <c r="IX61"/>
      <c r="IY61"/>
      <c r="IZ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NO61" s="30"/>
      <c r="NP61" s="842"/>
      <c r="NQ61" s="20"/>
      <c r="NR61" s="619"/>
      <c r="NS61" s="619"/>
      <c r="NT61" s="619"/>
      <c r="NU61" s="619"/>
      <c r="NV61" s="619"/>
      <c r="NW61" s="619"/>
      <c r="NX61" s="619"/>
      <c r="NY61" s="619"/>
      <c r="NZ61" s="619"/>
      <c r="OA61" s="619"/>
      <c r="OB61" s="619"/>
      <c r="OC61" s="1521"/>
      <c r="OD61" s="1521"/>
      <c r="OE61" s="1521"/>
      <c r="OF61" s="1521"/>
      <c r="OW61"/>
      <c r="OX61"/>
      <c r="OY61"/>
      <c r="OZ61" s="4"/>
      <c r="PA61" s="1054"/>
      <c r="PB61" s="1476"/>
      <c r="PC61" s="1476"/>
      <c r="PD61" s="1477"/>
      <c r="PE61" s="1477"/>
      <c r="PF61" s="1477"/>
      <c r="PG61" s="1477"/>
      <c r="PH61" s="1477"/>
      <c r="PI61" s="1477"/>
      <c r="PJ61" s="1476"/>
      <c r="PK61" s="1477"/>
      <c r="PL61" s="1476"/>
      <c r="PM61"/>
      <c r="PN61"/>
      <c r="PO61"/>
      <c r="PP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J61" s="424"/>
      <c r="QK61" s="424"/>
      <c r="QL61" s="424"/>
      <c r="QM61" s="424"/>
      <c r="QN61" s="424"/>
      <c r="QO61" s="424"/>
      <c r="QP61" s="424"/>
      <c r="QQ61" s="424"/>
      <c r="QR61" s="424"/>
      <c r="QS61" s="424"/>
      <c r="QT61" s="424"/>
      <c r="QU61" s="424"/>
      <c r="QV61" s="424"/>
      <c r="QW61" s="424"/>
      <c r="QX61" s="424"/>
      <c r="QY61" s="424"/>
      <c r="QZ61" s="424"/>
      <c r="RA61" s="424"/>
      <c r="RT61" s="424"/>
      <c r="RU61" s="424"/>
      <c r="RV61" s="424"/>
      <c r="RW61" s="424"/>
      <c r="RX61" s="424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82">
        <f>ROW()</f>
        <v>61</v>
      </c>
      <c r="SM61" s="616"/>
      <c r="SN61" s="1484"/>
      <c r="SO61" s="1487"/>
      <c r="SP61" s="1487"/>
      <c r="SQ61" s="1487"/>
      <c r="SR61" s="1487"/>
      <c r="SS61" s="1487"/>
      <c r="ST61" s="1487"/>
      <c r="SU61" s="1487"/>
      <c r="SV61" s="1487"/>
      <c r="SW61" s="1487"/>
      <c r="SX61" s="1487"/>
      <c r="SY61" s="1487"/>
      <c r="SZ61" s="1487"/>
      <c r="TA61" s="1487"/>
      <c r="TB61" s="1486"/>
      <c r="TC61" s="1486"/>
      <c r="TD61" s="424"/>
      <c r="TE61" s="424"/>
      <c r="TF61" s="424"/>
      <c r="TG61" s="424"/>
      <c r="TH61" s="424"/>
      <c r="TI61" s="424"/>
      <c r="TJ61" s="424"/>
      <c r="TK61" s="424"/>
      <c r="TL61" s="424"/>
      <c r="TM61" s="424"/>
      <c r="TN61" s="424"/>
      <c r="TO61" s="424"/>
      <c r="TP61" s="424"/>
      <c r="TQ61" s="424"/>
      <c r="TR61" s="424"/>
      <c r="TS61" s="424"/>
      <c r="TT61" s="424"/>
      <c r="TU61" s="424"/>
      <c r="TV61" s="424"/>
      <c r="TW61" s="424"/>
      <c r="TY61" s="20"/>
      <c r="TZ61" s="20"/>
      <c r="UA61" s="78"/>
      <c r="UB61" s="78"/>
      <c r="UC61" s="78"/>
      <c r="UD61" s="1528"/>
      <c r="UE61" s="1528"/>
      <c r="UF61" s="1528"/>
      <c r="UG61" s="1528"/>
      <c r="UH61" s="1528"/>
      <c r="UI61" s="1528"/>
      <c r="UJ61" s="1528"/>
      <c r="UK61" s="1528"/>
      <c r="UL61" s="1528"/>
      <c r="UM61" s="1528"/>
      <c r="UN61" s="1528"/>
      <c r="UO61" s="1528"/>
      <c r="UR61" s="1545"/>
      <c r="US61" s="1545"/>
      <c r="UT61" s="1545"/>
      <c r="UU61" s="1545"/>
      <c r="UV61" s="1545"/>
      <c r="UW61" s="1545"/>
      <c r="UX61" s="1545"/>
      <c r="UY61" s="1545"/>
      <c r="UZ61" s="1545"/>
      <c r="VA61" s="1545"/>
      <c r="VB61" s="1545"/>
      <c r="VC61" s="1545"/>
      <c r="VD61" s="1545"/>
    </row>
    <row r="62" spans="1:576" ht="15.75" thickBot="1" x14ac:dyDescent="0.3">
      <c r="A62" s="22">
        <f>ROW()</f>
        <v>62</v>
      </c>
      <c r="B62" s="1537" t="s">
        <v>359</v>
      </c>
      <c r="C62" s="792"/>
      <c r="D62" s="63"/>
      <c r="E62" s="63">
        <f t="shared" ref="E62:R62" si="136">SUM(E60:E61)</f>
        <v>0</v>
      </c>
      <c r="F62" s="63">
        <f t="shared" si="136"/>
        <v>0</v>
      </c>
      <c r="G62" s="63">
        <f t="shared" si="136"/>
        <v>0</v>
      </c>
      <c r="H62" s="63">
        <f t="shared" si="136"/>
        <v>0</v>
      </c>
      <c r="I62" s="63">
        <f t="shared" si="136"/>
        <v>0</v>
      </c>
      <c r="J62" s="63">
        <f t="shared" si="136"/>
        <v>0</v>
      </c>
      <c r="K62" s="63">
        <f t="shared" si="136"/>
        <v>0</v>
      </c>
      <c r="L62" s="63">
        <f t="shared" si="136"/>
        <v>0</v>
      </c>
      <c r="M62" s="63">
        <f t="shared" si="136"/>
        <v>0</v>
      </c>
      <c r="N62" s="63">
        <f t="shared" si="136"/>
        <v>0</v>
      </c>
      <c r="O62" s="63">
        <f t="shared" si="136"/>
        <v>0</v>
      </c>
      <c r="P62" s="63">
        <f t="shared" si="136"/>
        <v>0</v>
      </c>
      <c r="Q62" s="63">
        <f t="shared" si="136"/>
        <v>0</v>
      </c>
      <c r="R62" s="63">
        <f t="shared" si="136"/>
        <v>0</v>
      </c>
      <c r="S62" s="22">
        <f>ROW()</f>
        <v>62</v>
      </c>
      <c r="V62" s="1546"/>
      <c r="AK62" s="529"/>
      <c r="AL62" s="842"/>
      <c r="AM62" s="776"/>
      <c r="AN62" s="619"/>
      <c r="AO62" s="619"/>
      <c r="AP62" s="619"/>
      <c r="AQ62" s="1508">
        <v>23455.85592084378</v>
      </c>
      <c r="AR62" s="1508">
        <v>-81100.435259655118</v>
      </c>
      <c r="AS62" s="1508"/>
      <c r="AT62" s="1508"/>
      <c r="AU62" s="1508"/>
      <c r="AV62" s="1508"/>
      <c r="AW62" s="1508"/>
      <c r="AX62" s="1508"/>
      <c r="AY62" s="18"/>
      <c r="AZ62" s="18"/>
      <c r="BA62" s="18"/>
      <c r="BB62" s="18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V62"/>
      <c r="BW62"/>
      <c r="BX62"/>
      <c r="BY62"/>
      <c r="BZ62"/>
      <c r="CA62"/>
      <c r="CB62"/>
      <c r="FY62" s="30"/>
      <c r="FZ62" s="1217"/>
      <c r="GA62" s="20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IS62"/>
      <c r="IT62"/>
      <c r="IU62"/>
      <c r="IV62"/>
      <c r="IW62"/>
      <c r="IX62"/>
      <c r="IY62"/>
      <c r="IZ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NO62" s="30"/>
      <c r="NP62" s="1195"/>
      <c r="NQ62" s="20"/>
      <c r="NR62" s="1196"/>
      <c r="NS62" s="1196"/>
      <c r="NT62" s="1196"/>
      <c r="NU62" s="1196"/>
      <c r="NV62" s="1196"/>
      <c r="NW62" s="1196"/>
      <c r="NX62" s="1196"/>
      <c r="NY62" s="1196"/>
      <c r="NZ62" s="1196"/>
      <c r="OA62" s="1196"/>
      <c r="OB62" s="1196"/>
      <c r="OC62" s="1521"/>
      <c r="OD62" s="1521"/>
      <c r="OE62" s="1521"/>
      <c r="OF62" s="1521"/>
      <c r="OW62"/>
      <c r="OX62"/>
      <c r="OY62"/>
      <c r="OZ62" s="1238"/>
      <c r="PA62" s="1451"/>
      <c r="PB62" s="63"/>
      <c r="PC62" s="63"/>
      <c r="PD62" s="63"/>
      <c r="PE62" s="1451"/>
      <c r="PF62" s="1451"/>
      <c r="PG62" s="1451"/>
      <c r="PH62" s="1473"/>
      <c r="PI62" s="1451"/>
      <c r="PJ62" s="1472"/>
      <c r="PK62" s="1451"/>
      <c r="PL62" s="1472"/>
      <c r="PM62"/>
      <c r="PN62"/>
      <c r="PO62"/>
      <c r="PP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J62" s="424"/>
      <c r="QK62" s="424"/>
      <c r="QL62" s="424"/>
      <c r="QM62" s="424"/>
      <c r="QN62" s="424"/>
      <c r="QO62" s="424"/>
      <c r="QP62" s="424"/>
      <c r="QQ62" s="424"/>
      <c r="QR62" s="424"/>
      <c r="QS62" s="424"/>
      <c r="QT62" s="424"/>
      <c r="QU62" s="424"/>
      <c r="QV62" s="424"/>
      <c r="QW62" s="424"/>
      <c r="QX62" s="424"/>
      <c r="QY62" s="424"/>
      <c r="QZ62" s="424"/>
      <c r="RA62" s="424"/>
      <c r="RT62" s="424"/>
      <c r="RU62" s="424"/>
      <c r="RV62" s="424"/>
      <c r="RW62" s="424"/>
      <c r="RX62" s="424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82">
        <f>ROW()</f>
        <v>62</v>
      </c>
      <c r="SM62" s="616" t="s">
        <v>240</v>
      </c>
      <c r="SN62" s="1484"/>
      <c r="SO62" s="1483"/>
      <c r="SP62" s="1483"/>
      <c r="SQ62" s="1483"/>
      <c r="SR62" s="1483">
        <f t="shared" ref="SR62:SY62" si="137">-SR58-SR60</f>
        <v>-488.0462</v>
      </c>
      <c r="SS62" s="1483">
        <f t="shared" si="137"/>
        <v>-488.0462</v>
      </c>
      <c r="ST62" s="1483">
        <f t="shared" si="137"/>
        <v>-12006.538499999999</v>
      </c>
      <c r="SU62" s="1483">
        <f t="shared" si="137"/>
        <v>-12494.584699999999</v>
      </c>
      <c r="SV62" s="1483">
        <f t="shared" si="137"/>
        <v>-355434.6433</v>
      </c>
      <c r="SW62" s="1483">
        <f t="shared" si="137"/>
        <v>-367929.228</v>
      </c>
      <c r="SX62" s="1483">
        <f t="shared" si="137"/>
        <v>-192576.32291440002</v>
      </c>
      <c r="SY62" s="1483">
        <f t="shared" si="137"/>
        <v>-560505.55091440002</v>
      </c>
      <c r="SZ62" s="1483"/>
      <c r="TA62" s="1483"/>
      <c r="TB62" s="1482"/>
      <c r="TC62" s="1482"/>
      <c r="TD62" s="424"/>
      <c r="TE62" s="424"/>
      <c r="TF62" s="424"/>
      <c r="TG62" s="424"/>
      <c r="TH62" s="424"/>
      <c r="TI62" s="424"/>
      <c r="TJ62" s="424"/>
      <c r="TK62" s="424"/>
      <c r="TL62" s="424"/>
      <c r="TM62" s="424"/>
      <c r="TN62" s="424"/>
      <c r="TO62" s="424"/>
      <c r="TP62" s="424"/>
      <c r="TQ62" s="424"/>
      <c r="TR62" s="424"/>
      <c r="TS62" s="424"/>
      <c r="TT62" s="424"/>
      <c r="TU62" s="424"/>
      <c r="TV62" s="424"/>
      <c r="TW62" s="424"/>
      <c r="TY62" s="20"/>
      <c r="TZ62" s="20"/>
      <c r="UA62" s="78"/>
      <c r="UB62" s="78"/>
      <c r="UC62" s="78"/>
      <c r="UD62" s="1528"/>
      <c r="UE62" s="1528"/>
      <c r="UF62" s="1528"/>
      <c r="UG62" s="1528"/>
      <c r="UH62" s="1528"/>
      <c r="UI62" s="1528"/>
      <c r="UJ62" s="1528"/>
      <c r="UK62" s="1528"/>
      <c r="UL62" s="1528"/>
      <c r="UM62" s="1528"/>
      <c r="UN62" s="1528"/>
      <c r="UO62" s="1528"/>
      <c r="UR62" s="1545"/>
      <c r="US62" s="20"/>
      <c r="UT62" s="78"/>
      <c r="UU62" s="78"/>
      <c r="UV62" s="78"/>
      <c r="UW62" s="78"/>
      <c r="UX62" s="78"/>
      <c r="UY62" s="78"/>
      <c r="UZ62" s="78"/>
      <c r="VA62" s="78"/>
      <c r="VB62" s="78"/>
      <c r="VC62" s="78"/>
      <c r="VD62" s="78"/>
    </row>
    <row r="63" spans="1:576" ht="15.75" thickTop="1" x14ac:dyDescent="0.25">
      <c r="A63" s="22">
        <f>ROW()</f>
        <v>63</v>
      </c>
      <c r="B63" s="1544"/>
      <c r="C63" s="23"/>
      <c r="D63" s="63"/>
      <c r="E63" s="63"/>
      <c r="F63" s="63"/>
      <c r="G63" s="63"/>
      <c r="H63" s="800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22">
        <f>ROW()</f>
        <v>63</v>
      </c>
      <c r="T63" s="41" t="s">
        <v>430</v>
      </c>
      <c r="U63" s="41"/>
      <c r="V63" s="786">
        <f t="shared" ref="V63:AF63" si="138">+V33-V39-V61</f>
        <v>-3355396.8169523478</v>
      </c>
      <c r="W63" s="786">
        <f t="shared" si="138"/>
        <v>3355396.8169523478</v>
      </c>
      <c r="X63" s="668">
        <f t="shared" si="138"/>
        <v>0</v>
      </c>
      <c r="Y63" s="668">
        <f t="shared" si="138"/>
        <v>0</v>
      </c>
      <c r="Z63" s="668">
        <f t="shared" si="138"/>
        <v>0</v>
      </c>
      <c r="AA63" s="668">
        <f t="shared" si="138"/>
        <v>0</v>
      </c>
      <c r="AB63" s="668">
        <f t="shared" si="138"/>
        <v>0</v>
      </c>
      <c r="AC63" s="668">
        <f t="shared" si="138"/>
        <v>0</v>
      </c>
      <c r="AD63" s="668">
        <f t="shared" si="138"/>
        <v>0</v>
      </c>
      <c r="AE63" s="668">
        <f t="shared" si="138"/>
        <v>0</v>
      </c>
      <c r="AF63" s="668">
        <f t="shared" si="138"/>
        <v>0</v>
      </c>
      <c r="AG63" s="668"/>
      <c r="AH63" s="668"/>
      <c r="AI63" s="668"/>
      <c r="AJ63" s="668"/>
      <c r="AK63" s="529"/>
      <c r="AL63" s="842"/>
      <c r="AM63" s="667"/>
      <c r="AN63" s="63"/>
      <c r="AO63" s="63"/>
      <c r="AP63" s="63"/>
      <c r="AQ63" s="1507">
        <v>0</v>
      </c>
      <c r="AR63" s="1507">
        <v>0</v>
      </c>
      <c r="AS63" s="1507"/>
      <c r="AT63" s="1507"/>
      <c r="AU63" s="1507"/>
      <c r="AV63" s="1507"/>
      <c r="AW63" s="1507"/>
      <c r="AX63" s="1507"/>
      <c r="AY63" s="18"/>
      <c r="AZ63" s="18"/>
      <c r="BA63" s="18"/>
      <c r="BB63" s="18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V63"/>
      <c r="BW63"/>
      <c r="BX63"/>
      <c r="BY63"/>
      <c r="BZ63"/>
      <c r="CA63"/>
      <c r="CB63"/>
      <c r="FY63" s="30"/>
      <c r="FZ63" s="1217"/>
      <c r="GA63" s="20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IS63"/>
      <c r="IT63"/>
      <c r="IU63"/>
      <c r="IV63"/>
      <c r="IW63"/>
      <c r="IX63"/>
      <c r="IY63"/>
      <c r="IZ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NO63" s="30"/>
      <c r="NP63" s="1197"/>
      <c r="NQ63" s="41"/>
      <c r="NR63" s="560"/>
      <c r="NS63" s="560"/>
      <c r="NT63" s="560"/>
      <c r="NU63" s="560"/>
      <c r="NV63" s="560"/>
      <c r="NW63" s="560"/>
      <c r="NX63" s="560"/>
      <c r="NY63" s="560"/>
      <c r="NZ63" s="560"/>
      <c r="OA63" s="560"/>
      <c r="OB63" s="560"/>
      <c r="OC63" s="1521"/>
      <c r="OD63" s="1521"/>
      <c r="OE63" s="1521"/>
      <c r="OF63" s="1521"/>
      <c r="OW63"/>
      <c r="OX63"/>
      <c r="OY63"/>
      <c r="OZ63" s="4"/>
      <c r="PA63" s="1203"/>
      <c r="PB63" s="99"/>
      <c r="PC63" s="99"/>
      <c r="PD63" s="99"/>
      <c r="PE63" s="1451"/>
      <c r="PF63" s="1451"/>
      <c r="PG63" s="1451"/>
      <c r="PH63" s="1451"/>
      <c r="PI63" s="1451"/>
      <c r="PJ63" s="1438"/>
      <c r="PK63" s="1451"/>
      <c r="PL63" s="1438"/>
      <c r="PM63"/>
      <c r="PN63"/>
      <c r="PO63"/>
      <c r="PP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J63" s="424"/>
      <c r="QK63" s="424"/>
      <c r="QL63" s="424"/>
      <c r="QM63" s="424"/>
      <c r="QN63" s="424"/>
      <c r="QO63" s="424"/>
      <c r="QP63" s="424"/>
      <c r="QQ63" s="424"/>
      <c r="QR63" s="424"/>
      <c r="QS63" s="424"/>
      <c r="QT63" s="424"/>
      <c r="QU63" s="424"/>
      <c r="QV63" s="424"/>
      <c r="QW63" s="424"/>
      <c r="QX63" s="424"/>
      <c r="QY63" s="424"/>
      <c r="QZ63" s="424"/>
      <c r="RA63" s="424"/>
      <c r="RT63" s="424"/>
      <c r="RU63" s="424"/>
      <c r="RV63" s="424"/>
      <c r="RW63" s="424"/>
      <c r="RX63" s="424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82">
        <f>ROW()</f>
        <v>63</v>
      </c>
      <c r="SM63" s="616"/>
      <c r="SN63" s="1484"/>
      <c r="SO63" s="1480"/>
      <c r="SP63" s="1480"/>
      <c r="SQ63" s="1480"/>
      <c r="SR63" s="1480"/>
      <c r="SS63" s="1480"/>
      <c r="ST63" s="1480"/>
      <c r="SU63" s="1480"/>
      <c r="SV63" s="1480"/>
      <c r="SW63" s="1480"/>
      <c r="SX63" s="1480"/>
      <c r="SY63" s="1480"/>
      <c r="SZ63" s="1480"/>
      <c r="TA63" s="1480"/>
      <c r="TB63" s="1500"/>
      <c r="TC63" s="1500"/>
      <c r="TD63" s="424"/>
      <c r="TE63" s="424"/>
      <c r="TF63" s="424"/>
      <c r="TG63" s="424"/>
      <c r="TH63" s="424"/>
      <c r="TI63" s="424"/>
      <c r="TJ63" s="424"/>
      <c r="TK63" s="424"/>
      <c r="TL63" s="424"/>
      <c r="TM63" s="424"/>
      <c r="TN63" s="424"/>
      <c r="TO63" s="424"/>
      <c r="TP63" s="424"/>
      <c r="TQ63" s="424"/>
      <c r="TR63" s="424"/>
      <c r="TS63" s="424"/>
      <c r="TT63" s="424"/>
      <c r="TU63" s="424"/>
      <c r="TV63" s="424"/>
      <c r="TW63" s="424"/>
      <c r="TY63" s="4"/>
      <c r="TZ63" s="20"/>
      <c r="UA63" s="78"/>
      <c r="UB63" s="78"/>
      <c r="UC63" s="78"/>
      <c r="UD63" s="1528"/>
      <c r="UE63" s="1528"/>
      <c r="UF63" s="1528"/>
      <c r="UG63" s="1528"/>
      <c r="UH63" s="1528"/>
      <c r="UI63" s="1528"/>
      <c r="UJ63" s="1528"/>
      <c r="UK63" s="1528"/>
      <c r="UL63" s="1528"/>
      <c r="UM63" s="1528"/>
      <c r="UN63" s="1528"/>
      <c r="UO63" s="1528"/>
      <c r="UR63" s="1543"/>
      <c r="US63" s="20"/>
      <c r="UT63" s="78"/>
      <c r="UU63" s="78"/>
      <c r="UV63" s="78"/>
      <c r="UW63" s="78"/>
      <c r="UX63" s="78"/>
      <c r="UY63" s="78"/>
      <c r="UZ63" s="78"/>
      <c r="VA63" s="78"/>
      <c r="VB63" s="78"/>
      <c r="VC63" s="78"/>
      <c r="VD63" s="78"/>
    </row>
    <row r="64" spans="1:576" x14ac:dyDescent="0.25">
      <c r="A64" s="22">
        <f>ROW()</f>
        <v>64</v>
      </c>
      <c r="B64" s="1537" t="s">
        <v>300</v>
      </c>
      <c r="C64" s="37">
        <f>+'SEF-35'!E12</f>
        <v>2.8909999999999999E-3</v>
      </c>
      <c r="D64" s="898">
        <f t="shared" ref="D64:N64" si="139">D56*$C$64</f>
        <v>0</v>
      </c>
      <c r="E64" s="898">
        <f t="shared" si="139"/>
        <v>123632.45326100978</v>
      </c>
      <c r="F64" s="898">
        <f t="shared" si="139"/>
        <v>0</v>
      </c>
      <c r="G64" s="898">
        <f t="shared" si="139"/>
        <v>-168750.04899203134</v>
      </c>
      <c r="H64" s="898">
        <f t="shared" si="139"/>
        <v>0</v>
      </c>
      <c r="I64" s="898">
        <f t="shared" si="139"/>
        <v>-30006.959215535953</v>
      </c>
      <c r="J64" s="898">
        <f t="shared" si="139"/>
        <v>0</v>
      </c>
      <c r="K64" s="898">
        <f t="shared" si="139"/>
        <v>-24653.25946749116</v>
      </c>
      <c r="L64" s="898">
        <f t="shared" si="139"/>
        <v>0</v>
      </c>
      <c r="M64" s="898">
        <f t="shared" si="139"/>
        <v>-7947.4307163943695</v>
      </c>
      <c r="N64" s="898">
        <f t="shared" si="139"/>
        <v>0</v>
      </c>
      <c r="O64" s="898"/>
      <c r="P64" s="898"/>
      <c r="Q64" s="898"/>
      <c r="R64" s="898"/>
      <c r="S64" s="22">
        <f>ROW()</f>
        <v>64</v>
      </c>
      <c r="T64" s="41" t="s">
        <v>875</v>
      </c>
      <c r="U64" s="893">
        <v>0.21</v>
      </c>
      <c r="V64" s="750">
        <f t="shared" ref="V64:AF64" si="140">V63*$U64</f>
        <v>-704633.33155999298</v>
      </c>
      <c r="W64" s="750">
        <f t="shared" si="140"/>
        <v>704633.33155999298</v>
      </c>
      <c r="X64" s="50">
        <f t="shared" si="140"/>
        <v>0</v>
      </c>
      <c r="Y64" s="50">
        <f t="shared" si="140"/>
        <v>0</v>
      </c>
      <c r="Z64" s="50">
        <f t="shared" si="140"/>
        <v>0</v>
      </c>
      <c r="AA64" s="50">
        <f t="shared" si="140"/>
        <v>0</v>
      </c>
      <c r="AB64" s="50">
        <f t="shared" si="140"/>
        <v>0</v>
      </c>
      <c r="AC64" s="50">
        <f t="shared" si="140"/>
        <v>0</v>
      </c>
      <c r="AD64" s="50">
        <f t="shared" si="140"/>
        <v>0</v>
      </c>
      <c r="AE64" s="50">
        <f t="shared" si="140"/>
        <v>0</v>
      </c>
      <c r="AF64" s="50">
        <f t="shared" si="140"/>
        <v>0</v>
      </c>
      <c r="AG64" s="50"/>
      <c r="AH64" s="50"/>
      <c r="AI64" s="50"/>
      <c r="AJ64" s="50"/>
      <c r="AK64" s="529"/>
      <c r="AL64" s="842"/>
      <c r="AM64" s="1191"/>
      <c r="AN64" s="78"/>
      <c r="AO64" s="78"/>
      <c r="AP64" s="78"/>
      <c r="AQ64" s="1504">
        <v>4925.7297433773056</v>
      </c>
      <c r="AR64" s="1504">
        <v>-17031.091404529288</v>
      </c>
      <c r="AS64" s="1504"/>
      <c r="AT64" s="1504"/>
      <c r="AU64" s="1504"/>
      <c r="AV64" s="1504"/>
      <c r="AW64" s="1504"/>
      <c r="AX64" s="1504"/>
      <c r="AY64" s="18"/>
      <c r="AZ64" s="18"/>
      <c r="BA64" s="18"/>
      <c r="BB64" s="18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V64"/>
      <c r="BW64"/>
      <c r="BX64"/>
      <c r="BY64"/>
      <c r="BZ64"/>
      <c r="CA64"/>
      <c r="CB64"/>
      <c r="FY64" s="30"/>
      <c r="FZ64" s="4"/>
      <c r="GA64" s="4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IS64"/>
      <c r="IT64"/>
      <c r="IU64"/>
      <c r="IV64"/>
      <c r="IW64"/>
      <c r="IX64"/>
      <c r="IY64"/>
      <c r="IZ64"/>
      <c r="JK64"/>
      <c r="JL64"/>
      <c r="JM64"/>
      <c r="JN64"/>
      <c r="JO64"/>
      <c r="JP64"/>
      <c r="JQ64"/>
      <c r="JR64"/>
      <c r="JS64"/>
      <c r="JT64"/>
      <c r="JU64"/>
      <c r="JV64"/>
      <c r="JW64"/>
      <c r="NO64" s="30"/>
      <c r="NP64" s="1186"/>
      <c r="NQ64" s="1172"/>
      <c r="NR64" s="63"/>
      <c r="NS64" s="63"/>
      <c r="NT64" s="63"/>
      <c r="NU64" s="63"/>
      <c r="NV64" s="63"/>
      <c r="NW64" s="63"/>
      <c r="NX64" s="63"/>
      <c r="NY64" s="63"/>
      <c r="NZ64" s="63"/>
      <c r="OA64" s="63"/>
      <c r="OB64" s="63"/>
      <c r="OC64" s="1521"/>
      <c r="OD64" s="1521"/>
      <c r="OE64" s="1521"/>
      <c r="OF64" s="1521"/>
      <c r="OW64"/>
      <c r="OX64"/>
      <c r="OY64"/>
      <c r="OZ64" s="1203"/>
      <c r="PA64" s="1203"/>
      <c r="PB64" s="63"/>
      <c r="PC64" s="624"/>
      <c r="PD64" s="63"/>
      <c r="PE64" s="63"/>
      <c r="PF64" s="1451"/>
      <c r="PG64" s="63"/>
      <c r="PH64" s="1451"/>
      <c r="PI64" s="63"/>
      <c r="PJ64" s="1442"/>
      <c r="PK64" s="63"/>
      <c r="PL64" s="1442"/>
      <c r="PM64"/>
      <c r="PN64"/>
      <c r="PO64"/>
      <c r="PP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J64" s="424"/>
      <c r="QK64" s="424"/>
      <c r="QL64" s="424"/>
      <c r="QM64" s="424"/>
      <c r="QN64" s="424"/>
      <c r="QO64" s="424"/>
      <c r="QP64" s="424"/>
      <c r="QQ64" s="424"/>
      <c r="QR64" s="424"/>
      <c r="QS64" s="424"/>
      <c r="QT64" s="424"/>
      <c r="QU64" s="424"/>
      <c r="QV64" s="424"/>
      <c r="QW64" s="424"/>
      <c r="QX64" s="424"/>
      <c r="QY64" s="424"/>
      <c r="QZ64" s="424"/>
      <c r="RA64" s="424"/>
      <c r="RT64" s="424"/>
      <c r="RU64" s="424"/>
      <c r="RV64" s="424"/>
      <c r="RW64" s="424"/>
      <c r="RX64" s="424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82">
        <f>ROW()</f>
        <v>64</v>
      </c>
      <c r="SM64" s="616" t="s">
        <v>361</v>
      </c>
      <c r="SN64" s="1484"/>
      <c r="SO64" s="1475"/>
      <c r="SP64" s="1475"/>
      <c r="SQ64" s="1475"/>
      <c r="SR64" s="1475">
        <v>58932.5</v>
      </c>
      <c r="SS64" s="1475">
        <f>SR64</f>
        <v>58932.5</v>
      </c>
      <c r="ST64" s="1475">
        <v>13145865.390000001</v>
      </c>
      <c r="SU64" s="1475">
        <f>ST64+SS64</f>
        <v>13204797.890000001</v>
      </c>
      <c r="SV64" s="1475">
        <v>0</v>
      </c>
      <c r="SW64" s="1475">
        <f>SV64+SU64</f>
        <v>13204797.890000001</v>
      </c>
      <c r="SX64" s="1475">
        <v>2437674.9908750001</v>
      </c>
      <c r="SY64" s="1475">
        <f>SX64+SW64</f>
        <v>15642472.880875001</v>
      </c>
      <c r="SZ64" s="1475"/>
      <c r="TA64" s="1475"/>
      <c r="TB64" s="1474"/>
      <c r="TC64" s="1474"/>
      <c r="TD64" s="424"/>
      <c r="TE64" s="424"/>
      <c r="TF64" s="424"/>
      <c r="TG64" s="424"/>
      <c r="TH64" s="424"/>
      <c r="TI64" s="424"/>
      <c r="TJ64" s="424"/>
      <c r="TK64" s="424"/>
      <c r="TL64" s="424"/>
      <c r="TM64" s="424"/>
      <c r="TN64" s="424"/>
      <c r="TO64" s="424"/>
      <c r="TP64" s="424"/>
      <c r="TQ64" s="424"/>
      <c r="TR64" s="424"/>
      <c r="TS64" s="424"/>
      <c r="TT64" s="424"/>
      <c r="TU64" s="424"/>
      <c r="TV64" s="424"/>
      <c r="TW64" s="424"/>
      <c r="TY64" s="20"/>
      <c r="TZ64" s="20"/>
      <c r="UA64" s="78"/>
      <c r="UB64" s="78"/>
      <c r="UC64" s="78"/>
      <c r="UD64" s="1542"/>
      <c r="UE64" s="1542"/>
      <c r="UF64" s="1542"/>
      <c r="UG64" s="1542"/>
      <c r="UH64" s="1542"/>
      <c r="UI64" s="1542"/>
      <c r="UJ64" s="1542"/>
      <c r="UK64" s="1542"/>
      <c r="UL64" s="1542"/>
      <c r="UM64" s="1542"/>
      <c r="UN64" s="1542"/>
      <c r="UO64" s="1542"/>
      <c r="UR64" s="1536"/>
      <c r="US64" s="20"/>
      <c r="UT64" s="78"/>
      <c r="UU64" s="78"/>
      <c r="UV64" s="78"/>
      <c r="UW64" s="78"/>
      <c r="UX64" s="78"/>
      <c r="UY64" s="78"/>
      <c r="UZ64" s="78"/>
      <c r="VA64" s="78"/>
      <c r="VB64" s="1541"/>
      <c r="VC64" s="78"/>
      <c r="VD64" s="1541"/>
    </row>
    <row r="65" spans="1:576" ht="15.75" thickBot="1" x14ac:dyDescent="0.3">
      <c r="A65" s="22">
        <f>ROW()</f>
        <v>65</v>
      </c>
      <c r="B65" s="1537" t="s">
        <v>310</v>
      </c>
      <c r="C65" s="1151">
        <v>5.0000000000000001E-3</v>
      </c>
      <c r="D65" s="898">
        <f t="shared" ref="D65:N65" si="141">D56*$C$65</f>
        <v>0</v>
      </c>
      <c r="E65" s="910">
        <f t="shared" si="141"/>
        <v>213822.99076618781</v>
      </c>
      <c r="F65" s="898">
        <f t="shared" si="141"/>
        <v>0</v>
      </c>
      <c r="G65" s="910">
        <f t="shared" si="141"/>
        <v>-291854.11447947315</v>
      </c>
      <c r="H65" s="898">
        <f t="shared" si="141"/>
        <v>0</v>
      </c>
      <c r="I65" s="910">
        <f t="shared" si="141"/>
        <v>-51897.196844579652</v>
      </c>
      <c r="J65" s="898">
        <f t="shared" si="141"/>
        <v>0</v>
      </c>
      <c r="K65" s="910">
        <f t="shared" si="141"/>
        <v>-42637.944426653681</v>
      </c>
      <c r="L65" s="898">
        <f t="shared" si="141"/>
        <v>0</v>
      </c>
      <c r="M65" s="910">
        <f t="shared" si="141"/>
        <v>-13745.124033888567</v>
      </c>
      <c r="N65" s="898">
        <f t="shared" si="141"/>
        <v>0</v>
      </c>
      <c r="O65" s="898"/>
      <c r="P65" s="898"/>
      <c r="Q65" s="898"/>
      <c r="R65" s="898"/>
      <c r="S65" s="22">
        <f>ROW()</f>
        <v>65</v>
      </c>
      <c r="T65" s="41" t="s">
        <v>240</v>
      </c>
      <c r="U65" s="41"/>
      <c r="V65" s="1540">
        <f t="shared" ref="V65:AF65" si="142">V63-V64</f>
        <v>-2650763.4853923549</v>
      </c>
      <c r="W65" s="1540">
        <f t="shared" si="142"/>
        <v>2650763.4853923549</v>
      </c>
      <c r="X65" s="765">
        <f t="shared" si="142"/>
        <v>0</v>
      </c>
      <c r="Y65" s="765">
        <f t="shared" si="142"/>
        <v>0</v>
      </c>
      <c r="Z65" s="765">
        <f t="shared" si="142"/>
        <v>0</v>
      </c>
      <c r="AA65" s="765">
        <f t="shared" si="142"/>
        <v>0</v>
      </c>
      <c r="AB65" s="765">
        <f t="shared" si="142"/>
        <v>0</v>
      </c>
      <c r="AC65" s="765">
        <f t="shared" si="142"/>
        <v>0</v>
      </c>
      <c r="AD65" s="765">
        <f t="shared" si="142"/>
        <v>0</v>
      </c>
      <c r="AE65" s="765">
        <f t="shared" si="142"/>
        <v>0</v>
      </c>
      <c r="AF65" s="765">
        <f t="shared" si="142"/>
        <v>0</v>
      </c>
      <c r="AG65" s="765"/>
      <c r="AH65" s="765"/>
      <c r="AI65" s="765"/>
      <c r="AJ65" s="765"/>
      <c r="AK65" s="529"/>
      <c r="AL65" s="842"/>
      <c r="AM65" s="20"/>
      <c r="AN65" s="21"/>
      <c r="AO65" s="21"/>
      <c r="AP65" s="21"/>
      <c r="AQ65" s="1502">
        <v>18530.126177467406</v>
      </c>
      <c r="AR65" s="1502">
        <v>-64069.343855120242</v>
      </c>
      <c r="AS65" s="1502"/>
      <c r="AT65" s="1502"/>
      <c r="AU65" s="1502"/>
      <c r="AV65" s="1502"/>
      <c r="AW65" s="1502"/>
      <c r="AX65" s="1502"/>
      <c r="AY65" s="18"/>
      <c r="AZ65" s="18"/>
      <c r="BA65" s="18"/>
      <c r="BB65" s="18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V65"/>
      <c r="BW65"/>
      <c r="BX65"/>
      <c r="BY65"/>
      <c r="BZ65"/>
      <c r="CA65"/>
      <c r="CB65"/>
      <c r="FY65" s="30"/>
      <c r="FZ65" s="20"/>
      <c r="GA65" s="20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IS65"/>
      <c r="IT65"/>
      <c r="IU65"/>
      <c r="IV65"/>
      <c r="IW65"/>
      <c r="IX65"/>
      <c r="IY65"/>
      <c r="IZ65"/>
      <c r="JK65"/>
      <c r="JL65"/>
      <c r="JM65"/>
      <c r="JN65"/>
      <c r="JO65"/>
      <c r="JP65"/>
      <c r="JQ65"/>
      <c r="JR65"/>
      <c r="JS65"/>
      <c r="JT65"/>
      <c r="JU65"/>
      <c r="JV65"/>
      <c r="JW65"/>
      <c r="NO65" s="30"/>
      <c r="NP65" s="1539"/>
      <c r="NQ65" s="547"/>
      <c r="NR65" s="63"/>
      <c r="NS65" s="63"/>
      <c r="NT65" s="63"/>
      <c r="NU65" s="63"/>
      <c r="NV65" s="800"/>
      <c r="NW65" s="63"/>
      <c r="NX65" s="63"/>
      <c r="NY65" s="63"/>
      <c r="NZ65" s="800"/>
      <c r="OA65" s="63"/>
      <c r="OB65" s="800"/>
      <c r="OC65" s="1521"/>
      <c r="OD65" s="1521"/>
      <c r="OE65" s="1521"/>
      <c r="OF65" s="1521"/>
      <c r="OW65"/>
      <c r="OX65"/>
      <c r="OY65"/>
      <c r="OZ65" s="1203"/>
      <c r="PA65" s="1203"/>
      <c r="PB65" s="63"/>
      <c r="PC65" s="63"/>
      <c r="PD65" s="63"/>
      <c r="PE65" s="63"/>
      <c r="PF65" s="1451"/>
      <c r="PG65" s="63"/>
      <c r="PH65" s="1451"/>
      <c r="PI65" s="63"/>
      <c r="PJ65" s="1438"/>
      <c r="PK65" s="63"/>
      <c r="PL65" s="1438"/>
      <c r="PM65"/>
      <c r="PN65"/>
      <c r="PO65"/>
      <c r="PP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J65" s="424"/>
      <c r="QK65" s="424"/>
      <c r="QL65" s="424"/>
      <c r="QM65" s="424"/>
      <c r="QN65" s="424"/>
      <c r="QO65" s="424"/>
      <c r="QP65" s="424"/>
      <c r="QQ65" s="424"/>
      <c r="QR65" s="424"/>
      <c r="QS65" s="424"/>
      <c r="QT65" s="424"/>
      <c r="QU65" s="424"/>
      <c r="QV65" s="424"/>
      <c r="QW65" s="424"/>
      <c r="QX65" s="424"/>
      <c r="QY65" s="424"/>
      <c r="QZ65" s="424"/>
      <c r="RA65" s="424"/>
      <c r="RT65" s="424"/>
      <c r="RU65" s="424"/>
      <c r="RV65" s="424"/>
      <c r="RW65" s="424"/>
      <c r="RX65" s="424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82">
        <f>ROW()</f>
        <v>65</v>
      </c>
      <c r="SM65" s="616" t="s">
        <v>369</v>
      </c>
      <c r="SN65" s="1484"/>
      <c r="SO65" s="1471"/>
      <c r="SP65" s="1471"/>
      <c r="SQ65" s="1471"/>
      <c r="SR65" s="1471">
        <v>-617.78</v>
      </c>
      <c r="SS65" s="1471">
        <f>SR65</f>
        <v>-617.78</v>
      </c>
      <c r="ST65" s="1471">
        <v>-15815.929999999998</v>
      </c>
      <c r="SU65" s="1471">
        <f>ST65+SS65</f>
        <v>-16433.71</v>
      </c>
      <c r="SV65" s="1471">
        <v>-232866.6</v>
      </c>
      <c r="SW65" s="1471">
        <f>SV65+SU65</f>
        <v>-249300.31</v>
      </c>
      <c r="SX65" s="1471">
        <v>-492049.07124999998</v>
      </c>
      <c r="SY65" s="1471">
        <f>SX65+SW65</f>
        <v>-741349.38124999998</v>
      </c>
      <c r="SZ65" s="1471"/>
      <c r="TA65" s="1471"/>
      <c r="TB65" s="1470"/>
      <c r="TC65" s="1470"/>
      <c r="TD65" s="424"/>
      <c r="TE65" s="424"/>
      <c r="TF65" s="424"/>
      <c r="TG65" s="424"/>
      <c r="TH65" s="424"/>
      <c r="TI65" s="424"/>
      <c r="TJ65" s="424"/>
      <c r="TK65" s="424"/>
      <c r="TL65" s="424"/>
      <c r="TM65" s="424"/>
      <c r="TN65" s="424"/>
      <c r="TO65" s="424"/>
      <c r="TP65" s="424"/>
      <c r="TQ65" s="424"/>
      <c r="TR65" s="424"/>
      <c r="TS65" s="424"/>
      <c r="TT65" s="424"/>
      <c r="TU65" s="424"/>
      <c r="TV65" s="424"/>
      <c r="TW65" s="424"/>
      <c r="TY65" s="942"/>
      <c r="TZ65" s="20"/>
      <c r="UA65" s="78"/>
      <c r="UB65" s="78"/>
      <c r="UC65" s="20"/>
      <c r="UD65" s="1538"/>
      <c r="UE65" s="1538"/>
      <c r="UF65" s="1538"/>
      <c r="UG65" s="1538"/>
      <c r="UH65" s="1538"/>
      <c r="UI65" s="1538"/>
      <c r="UJ65" s="1538"/>
      <c r="UK65" s="1538"/>
      <c r="UL65" s="1538"/>
      <c r="UM65" s="1538"/>
      <c r="UN65" s="1538"/>
      <c r="UO65" s="1538"/>
      <c r="UR65" s="1536"/>
      <c r="US65" s="20"/>
      <c r="UT65" s="78"/>
      <c r="UU65" s="78"/>
      <c r="UV65" s="78"/>
      <c r="UW65" s="78"/>
      <c r="UX65" s="78"/>
      <c r="UY65" s="78"/>
      <c r="UZ65" s="78"/>
      <c r="VA65" s="78"/>
      <c r="VB65" s="78"/>
      <c r="VC65" s="78"/>
      <c r="VD65" s="78"/>
    </row>
    <row r="66" spans="1:576" ht="16.5" thickTop="1" thickBot="1" x14ac:dyDescent="0.3">
      <c r="A66" s="22">
        <f>ROW()</f>
        <v>66</v>
      </c>
      <c r="B66" s="1537" t="s">
        <v>325</v>
      </c>
      <c r="C66" s="37">
        <f>+'SEF-35'!E14</f>
        <v>3.8408999999999999E-2</v>
      </c>
      <c r="D66" s="912">
        <f t="shared" ref="D66:N66" si="143">(D56+D58)*$C$66</f>
        <v>0</v>
      </c>
      <c r="E66" s="912">
        <f t="shared" si="143"/>
        <v>1642545.4504677013</v>
      </c>
      <c r="F66" s="912">
        <f t="shared" si="143"/>
        <v>0</v>
      </c>
      <c r="G66" s="912">
        <f t="shared" si="143"/>
        <v>-2241964.9366084165</v>
      </c>
      <c r="H66" s="912">
        <f t="shared" si="143"/>
        <v>0</v>
      </c>
      <c r="I66" s="912">
        <f t="shared" si="143"/>
        <v>-398663.88672069198</v>
      </c>
      <c r="J66" s="912">
        <f t="shared" si="143"/>
        <v>0</v>
      </c>
      <c r="K66" s="912">
        <f t="shared" si="143"/>
        <v>-327536.16149666824</v>
      </c>
      <c r="L66" s="912">
        <f t="shared" si="143"/>
        <v>0</v>
      </c>
      <c r="M66" s="912">
        <f t="shared" si="143"/>
        <v>-105587.29380352519</v>
      </c>
      <c r="N66" s="912">
        <f t="shared" si="143"/>
        <v>0</v>
      </c>
      <c r="O66" s="912"/>
      <c r="P66" s="912"/>
      <c r="Q66" s="912"/>
      <c r="R66" s="912"/>
      <c r="S66" s="22">
        <f>ROW()</f>
        <v>66</v>
      </c>
      <c r="AK66" s="529"/>
      <c r="AL66" s="99"/>
      <c r="AM66" s="99"/>
      <c r="AN66" s="99"/>
      <c r="AO66" s="99"/>
      <c r="AP66" s="99"/>
      <c r="AQ66"/>
      <c r="AR66"/>
      <c r="AS66"/>
      <c r="AT66"/>
      <c r="AU66" s="18"/>
      <c r="AV66" s="18"/>
      <c r="AW66" s="18"/>
      <c r="AX66" s="18"/>
      <c r="AY66" s="18"/>
      <c r="AZ66" s="18"/>
      <c r="BA66" s="18"/>
      <c r="BB66" s="18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V66"/>
      <c r="BW66"/>
      <c r="BX66"/>
      <c r="BY66"/>
      <c r="BZ66"/>
      <c r="CA66"/>
      <c r="CB66"/>
      <c r="FY66" s="30"/>
      <c r="FZ66" s="4"/>
      <c r="GA66" s="4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IS66"/>
      <c r="IT66"/>
      <c r="IU66"/>
      <c r="IV66"/>
      <c r="IW66"/>
      <c r="IX66"/>
      <c r="IY66"/>
      <c r="IZ66"/>
      <c r="JK66"/>
      <c r="JL66"/>
      <c r="JM66"/>
      <c r="JN66"/>
      <c r="JO66"/>
      <c r="JP66"/>
      <c r="JQ66"/>
      <c r="JR66"/>
      <c r="JS66"/>
      <c r="JT66"/>
      <c r="JU66"/>
      <c r="JV66"/>
      <c r="JW66"/>
      <c r="NO66" s="30"/>
      <c r="NP66" s="888"/>
      <c r="NQ66" s="20"/>
      <c r="NR66" s="20"/>
      <c r="NS66" s="20"/>
      <c r="NT66" s="20"/>
      <c r="NU66" s="20"/>
      <c r="NV66" s="20"/>
      <c r="NW66" s="20"/>
      <c r="NX66" s="20"/>
      <c r="NY66" s="20"/>
      <c r="NZ66" s="20"/>
      <c r="OA66" s="20"/>
      <c r="OB66" s="20"/>
      <c r="OC66" s="1521"/>
      <c r="OD66" s="1521"/>
      <c r="OE66" s="1521"/>
      <c r="OF66" s="1521"/>
      <c r="OW66"/>
      <c r="OX66"/>
      <c r="OY66"/>
      <c r="OZ66" s="1203"/>
      <c r="PA66" s="1203"/>
      <c r="PB66" s="63"/>
      <c r="PC66" s="63"/>
      <c r="PD66" s="63"/>
      <c r="PE66" s="1451"/>
      <c r="PF66" s="1451"/>
      <c r="PG66" s="1451"/>
      <c r="PH66" s="1451"/>
      <c r="PI66" s="1451"/>
      <c r="PJ66" s="1438"/>
      <c r="PK66" s="1451"/>
      <c r="PL66" s="1438"/>
      <c r="PM66"/>
      <c r="PN66"/>
      <c r="PO66"/>
      <c r="PP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J66" s="424"/>
      <c r="QK66" s="424"/>
      <c r="QL66" s="424"/>
      <c r="QM66" s="424"/>
      <c r="QN66" s="424"/>
      <c r="QO66" s="424"/>
      <c r="QP66" s="424"/>
      <c r="QQ66" s="424"/>
      <c r="QR66" s="424"/>
      <c r="QS66" s="424"/>
      <c r="QT66" s="424"/>
      <c r="QU66" s="424"/>
      <c r="QV66" s="424"/>
      <c r="QW66" s="424"/>
      <c r="QX66" s="424"/>
      <c r="QY66" s="424"/>
      <c r="QZ66" s="424"/>
      <c r="RA66" s="424"/>
      <c r="RT66" s="424"/>
      <c r="RU66" s="424"/>
      <c r="RV66" s="424"/>
      <c r="RW66" s="424"/>
      <c r="RX66" s="424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82">
        <f>ROW()</f>
        <v>66</v>
      </c>
      <c r="SM66" s="616" t="s">
        <v>375</v>
      </c>
      <c r="SN66" s="1484"/>
      <c r="SO66" s="1469"/>
      <c r="SP66" s="1469"/>
      <c r="SQ66" s="1469"/>
      <c r="SR66" s="1469">
        <v>-334.38</v>
      </c>
      <c r="SS66" s="1469">
        <f>SR66</f>
        <v>-334.38</v>
      </c>
      <c r="ST66" s="1469">
        <v>-101095.87</v>
      </c>
      <c r="SU66" s="1469">
        <f>ST66+SS66</f>
        <v>-101430.25</v>
      </c>
      <c r="SV66" s="1469">
        <v>-47395.330000000016</v>
      </c>
      <c r="SW66" s="1469">
        <f>SV66+SU66</f>
        <v>-148825.58000000002</v>
      </c>
      <c r="SX66" s="1469">
        <v>-170827.32979499997</v>
      </c>
      <c r="SY66" s="1469">
        <f>SX66+SW66</f>
        <v>-319652.90979499999</v>
      </c>
      <c r="SZ66" s="1469"/>
      <c r="TA66" s="1469"/>
      <c r="TB66" s="1468"/>
      <c r="TC66" s="1468"/>
      <c r="TD66" s="424"/>
      <c r="TE66" s="424"/>
      <c r="TF66" s="424"/>
      <c r="TG66" s="424"/>
      <c r="TH66" s="424"/>
      <c r="TI66" s="424"/>
      <c r="TJ66" s="424"/>
      <c r="TK66" s="424"/>
      <c r="TL66" s="424"/>
      <c r="TM66" s="424"/>
      <c r="TN66" s="424"/>
      <c r="TO66" s="424"/>
      <c r="TP66" s="424"/>
      <c r="TQ66" s="424"/>
      <c r="TR66" s="424"/>
      <c r="TS66" s="424"/>
      <c r="TT66" s="424"/>
      <c r="TU66" s="424"/>
      <c r="TV66" s="424"/>
      <c r="TW66" s="424"/>
      <c r="TY66" s="609"/>
      <c r="TZ66" s="20"/>
      <c r="UA66" s="78"/>
      <c r="UB66" s="78"/>
      <c r="UC66" s="78"/>
      <c r="UD66" s="1528"/>
      <c r="UE66" s="1528"/>
      <c r="UF66" s="1528"/>
      <c r="UG66" s="1528"/>
      <c r="UH66" s="1528"/>
      <c r="UI66" s="1528"/>
      <c r="UJ66" s="1528"/>
      <c r="UK66" s="1528"/>
      <c r="UL66" s="1528"/>
      <c r="UM66" s="1528"/>
      <c r="UN66" s="1528"/>
      <c r="UO66" s="1528"/>
      <c r="UR66" s="1536"/>
      <c r="US66" s="20"/>
      <c r="UT66" s="78"/>
      <c r="UU66" s="78"/>
      <c r="UV66" s="78"/>
      <c r="UW66" s="78"/>
      <c r="UX66" s="78"/>
      <c r="UY66" s="78"/>
      <c r="UZ66" s="78"/>
      <c r="VA66" s="78"/>
      <c r="VB66" s="78"/>
      <c r="VC66" s="78"/>
      <c r="VD66" s="78"/>
    </row>
    <row r="67" spans="1:576" ht="15.75" thickBot="1" x14ac:dyDescent="0.3">
      <c r="A67" s="22">
        <f>ROW()</f>
        <v>67</v>
      </c>
      <c r="B67" s="1535" t="s">
        <v>874</v>
      </c>
      <c r="D67" s="550">
        <f t="shared" ref="D67:R67" si="144">SUM(D64:D66)</f>
        <v>0</v>
      </c>
      <c r="E67" s="910">
        <f t="shared" si="144"/>
        <v>1980000.8944948989</v>
      </c>
      <c r="F67" s="550">
        <f t="shared" si="144"/>
        <v>0</v>
      </c>
      <c r="G67" s="910">
        <f t="shared" si="144"/>
        <v>-2702569.1000799211</v>
      </c>
      <c r="H67" s="550">
        <f t="shared" si="144"/>
        <v>0</v>
      </c>
      <c r="I67" s="910">
        <f t="shared" si="144"/>
        <v>-480568.04278080759</v>
      </c>
      <c r="J67" s="550">
        <f t="shared" si="144"/>
        <v>0</v>
      </c>
      <c r="K67" s="910">
        <f t="shared" si="144"/>
        <v>-394827.36539081309</v>
      </c>
      <c r="L67" s="550">
        <f t="shared" si="144"/>
        <v>0</v>
      </c>
      <c r="M67" s="910">
        <f t="shared" si="144"/>
        <v>-127279.84855380811</v>
      </c>
      <c r="N67" s="550">
        <f t="shared" si="144"/>
        <v>0</v>
      </c>
      <c r="O67" s="550">
        <f t="shared" si="144"/>
        <v>0</v>
      </c>
      <c r="P67" s="550">
        <f t="shared" si="144"/>
        <v>0</v>
      </c>
      <c r="Q67" s="550">
        <f t="shared" si="144"/>
        <v>0</v>
      </c>
      <c r="R67" s="550">
        <f t="shared" si="144"/>
        <v>0</v>
      </c>
      <c r="S67" s="22">
        <f>ROW()</f>
        <v>67</v>
      </c>
      <c r="T67" s="895"/>
      <c r="U67" s="895"/>
      <c r="V67" s="895"/>
      <c r="W67" s="895"/>
      <c r="X67" s="895"/>
      <c r="Y67" s="895"/>
      <c r="Z67" s="895"/>
      <c r="AA67" s="895"/>
      <c r="AB67" s="895"/>
      <c r="AC67" s="895"/>
      <c r="AD67" s="895"/>
      <c r="AE67" s="895"/>
      <c r="AF67" s="895"/>
      <c r="AG67" s="895"/>
      <c r="AH67" s="895"/>
      <c r="AI67" s="895"/>
      <c r="AJ67" s="895"/>
      <c r="AL67" s="20"/>
      <c r="AM67" s="20"/>
      <c r="AN67" s="1534"/>
      <c r="AO67" s="1534"/>
      <c r="AP67" s="1534"/>
      <c r="AQ67" s="1533" t="s">
        <v>873</v>
      </c>
      <c r="AR67" s="1532"/>
      <c r="AS67" s="86"/>
      <c r="AT67" s="86"/>
      <c r="AU67" s="86"/>
      <c r="AV67" s="86"/>
      <c r="AW67" s="86"/>
      <c r="AX67" s="86"/>
      <c r="AY67" s="18"/>
      <c r="AZ67" s="18"/>
      <c r="BA67" s="18"/>
      <c r="BB67" s="18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V67"/>
      <c r="BW67"/>
      <c r="BX67"/>
      <c r="BY67"/>
      <c r="BZ67"/>
      <c r="CA67"/>
      <c r="CB67"/>
      <c r="FY67" s="30"/>
      <c r="FZ67" s="4"/>
      <c r="GA67" s="4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IS67"/>
      <c r="IT67"/>
      <c r="IU67"/>
      <c r="IV67"/>
      <c r="IW67"/>
      <c r="IX67"/>
      <c r="IY67"/>
      <c r="IZ67"/>
      <c r="JK67"/>
      <c r="JL67"/>
      <c r="JM67"/>
      <c r="JN67"/>
      <c r="JO67"/>
      <c r="JP67"/>
      <c r="JQ67"/>
      <c r="JR67"/>
      <c r="JS67"/>
      <c r="JT67"/>
      <c r="JU67"/>
      <c r="JV67"/>
      <c r="JW67"/>
      <c r="NO67" s="30"/>
      <c r="NP67" s="888"/>
      <c r="NQ67" s="1177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1521"/>
      <c r="OD67" s="1521"/>
      <c r="OE67" s="1521"/>
      <c r="OF67" s="1521"/>
      <c r="OW67"/>
      <c r="OX67"/>
      <c r="OY67"/>
      <c r="OZ67" s="4"/>
      <c r="PA67" s="1203"/>
      <c r="PB67" s="1438"/>
      <c r="PC67" s="1438"/>
      <c r="PD67" s="1438"/>
      <c r="PE67" s="1438"/>
      <c r="PF67" s="1451"/>
      <c r="PG67" s="1451"/>
      <c r="PH67" s="1451"/>
      <c r="PI67" s="1451"/>
      <c r="PJ67" s="1438"/>
      <c r="PK67" s="1451"/>
      <c r="PL67" s="1438"/>
      <c r="PM67"/>
      <c r="PN67"/>
      <c r="PO67"/>
      <c r="PP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J67" s="424"/>
      <c r="QK67" s="424"/>
      <c r="QL67" s="424"/>
      <c r="QM67" s="424"/>
      <c r="QN67" s="424"/>
      <c r="QO67" s="424"/>
      <c r="QP67" s="424"/>
      <c r="QQ67" s="424"/>
      <c r="QR67" s="424"/>
      <c r="QS67" s="424"/>
      <c r="QT67" s="424"/>
      <c r="QU67" s="424"/>
      <c r="QV67" s="424"/>
      <c r="QW67" s="424"/>
      <c r="QX67" s="424"/>
      <c r="QY67" s="424"/>
      <c r="QZ67" s="424"/>
      <c r="RA67" s="424"/>
      <c r="RT67" s="424"/>
      <c r="RU67" s="424"/>
      <c r="RV67" s="424"/>
      <c r="RW67" s="424"/>
      <c r="RX67" s="424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82">
        <f>ROW()</f>
        <v>67</v>
      </c>
      <c r="SM67" s="616" t="s">
        <v>382</v>
      </c>
      <c r="SN67" s="1484"/>
      <c r="SO67" s="1467"/>
      <c r="SP67" s="1467"/>
      <c r="SQ67" s="1467"/>
      <c r="SR67" s="1467">
        <f t="shared" ref="SR67:SY67" si="145">SUM(SR64:SR66)</f>
        <v>57980.340000000004</v>
      </c>
      <c r="SS67" s="1467">
        <f t="shared" si="145"/>
        <v>57980.340000000004</v>
      </c>
      <c r="ST67" s="1467">
        <f t="shared" si="145"/>
        <v>13028953.590000002</v>
      </c>
      <c r="SU67" s="1467">
        <f t="shared" si="145"/>
        <v>13086933.93</v>
      </c>
      <c r="SV67" s="1467">
        <f t="shared" si="145"/>
        <v>-280261.93000000005</v>
      </c>
      <c r="SW67" s="1467">
        <f t="shared" si="145"/>
        <v>12806672</v>
      </c>
      <c r="SX67" s="1467">
        <f t="shared" si="145"/>
        <v>1774798.5898300002</v>
      </c>
      <c r="SY67" s="1467">
        <f t="shared" si="145"/>
        <v>14581470.589830002</v>
      </c>
      <c r="SZ67" s="1467"/>
      <c r="TA67" s="1467"/>
      <c r="TB67" s="1466"/>
      <c r="TC67" s="1466"/>
      <c r="TD67" s="424"/>
      <c r="TE67" s="424"/>
      <c r="TF67" s="424"/>
      <c r="TG67" s="424"/>
      <c r="TH67" s="424"/>
      <c r="TI67" s="424"/>
      <c r="TJ67" s="424"/>
      <c r="TK67" s="424"/>
      <c r="TL67" s="424"/>
      <c r="TM67" s="424"/>
      <c r="TN67" s="424"/>
      <c r="TO67" s="424"/>
      <c r="TP67" s="424"/>
      <c r="TQ67" s="424"/>
      <c r="TR67" s="424"/>
      <c r="TS67" s="424"/>
      <c r="TT67" s="424"/>
      <c r="TU67" s="424"/>
      <c r="TV67" s="424"/>
      <c r="TW67" s="424"/>
      <c r="TY67" s="609"/>
      <c r="TZ67" s="20"/>
      <c r="UA67" s="646"/>
      <c r="UB67" s="78"/>
      <c r="UC67" s="78"/>
      <c r="UD67" s="1528"/>
      <c r="UE67" s="1528"/>
      <c r="UF67" s="1528"/>
      <c r="UG67" s="1528"/>
      <c r="UH67" s="1528"/>
      <c r="UI67" s="1528"/>
      <c r="UJ67" s="1528"/>
      <c r="UK67" s="1528"/>
      <c r="UL67" s="1528"/>
      <c r="UM67" s="1528"/>
      <c r="UN67" s="1528"/>
      <c r="UO67" s="1528"/>
      <c r="UR67" s="1531"/>
      <c r="US67" s="20"/>
      <c r="UT67" s="20"/>
      <c r="UU67" s="20"/>
      <c r="UV67" s="20"/>
      <c r="UW67" s="20"/>
      <c r="UX67" s="20"/>
      <c r="UY67" s="20"/>
      <c r="UZ67" s="20"/>
      <c r="VA67" s="20"/>
      <c r="VB67" s="20"/>
      <c r="VC67" s="20"/>
      <c r="VD67" s="20"/>
    </row>
    <row r="68" spans="1:576" ht="15.75" thickTop="1" x14ac:dyDescent="0.25">
      <c r="A68" s="22">
        <f>ROW()</f>
        <v>68</v>
      </c>
      <c r="B68" s="971"/>
      <c r="S68" s="22">
        <f>ROW()</f>
        <v>68</v>
      </c>
      <c r="T68" s="43" t="s">
        <v>82</v>
      </c>
      <c r="U68" s="43"/>
      <c r="V68" s="24">
        <f>SUM(V17:V22,V24,V26,V28,V29)</f>
        <v>727661685.21031713</v>
      </c>
      <c r="W68" s="24">
        <f>SUM(W17:W22,W24,W26,W28,W29)</f>
        <v>-727661685.21031713</v>
      </c>
      <c r="X68" s="24">
        <f t="shared" ref="X68:AF68" si="146">SUM(X17:X22,X26,X28)</f>
        <v>0</v>
      </c>
      <c r="Y68" s="24">
        <f t="shared" si="146"/>
        <v>0</v>
      </c>
      <c r="Z68" s="24">
        <f t="shared" si="146"/>
        <v>0</v>
      </c>
      <c r="AA68" s="24">
        <f t="shared" si="146"/>
        <v>0</v>
      </c>
      <c r="AB68" s="24">
        <f t="shared" si="146"/>
        <v>0</v>
      </c>
      <c r="AC68" s="24">
        <f t="shared" si="146"/>
        <v>0</v>
      </c>
      <c r="AD68" s="24">
        <f t="shared" si="146"/>
        <v>0</v>
      </c>
      <c r="AE68" s="24">
        <f t="shared" si="146"/>
        <v>0</v>
      </c>
      <c r="AF68" s="24">
        <f t="shared" si="146"/>
        <v>0</v>
      </c>
      <c r="AG68" s="24"/>
      <c r="AH68" s="24"/>
      <c r="AI68" s="24"/>
      <c r="AJ68" s="24"/>
      <c r="AL68" s="1518"/>
      <c r="AM68" s="30"/>
      <c r="AN68" s="591"/>
      <c r="AO68" s="591"/>
      <c r="AP68" s="591"/>
      <c r="AQ68" s="1530">
        <f>+AQ16-AQ34-AQ51</f>
        <v>0</v>
      </c>
      <c r="AR68" s="1530">
        <f>+AR16-AR34-AR51</f>
        <v>0</v>
      </c>
      <c r="AS68" s="1530"/>
      <c r="AT68" s="1530"/>
      <c r="AU68" s="1530"/>
      <c r="AV68" s="1530"/>
      <c r="AW68" s="1530"/>
      <c r="AX68" s="1530"/>
      <c r="AY68" s="18"/>
      <c r="AZ68" s="18"/>
      <c r="BA68" s="18"/>
      <c r="BB68" s="1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V68"/>
      <c r="BW68"/>
      <c r="BX68"/>
      <c r="BY68"/>
      <c r="BZ68"/>
      <c r="CA68"/>
      <c r="CB68"/>
      <c r="FY68" s="30"/>
      <c r="FZ68" s="20"/>
      <c r="GA68" s="20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IS68"/>
      <c r="IT68"/>
      <c r="IU68"/>
      <c r="IV68"/>
      <c r="IW68"/>
      <c r="IX68"/>
      <c r="IY68"/>
      <c r="IZ68"/>
      <c r="JK68"/>
      <c r="JL68"/>
      <c r="JM68"/>
      <c r="JN68"/>
      <c r="JO68"/>
      <c r="JP68"/>
      <c r="JQ68"/>
      <c r="JR68"/>
      <c r="JS68"/>
      <c r="JT68"/>
      <c r="JU68"/>
      <c r="JV68"/>
      <c r="JW68"/>
      <c r="NO68" s="30"/>
      <c r="NP68" s="888"/>
      <c r="NQ68" s="1198"/>
      <c r="NR68" s="647"/>
      <c r="NS68" s="647"/>
      <c r="NT68" s="647"/>
      <c r="NU68" s="647"/>
      <c r="NV68" s="647"/>
      <c r="NW68" s="647"/>
      <c r="NX68" s="647"/>
      <c r="NY68" s="647"/>
      <c r="NZ68" s="647"/>
      <c r="OA68" s="647"/>
      <c r="OB68" s="647"/>
      <c r="OC68" s="1521"/>
      <c r="OD68" s="1521"/>
      <c r="OE68" s="1521"/>
      <c r="OF68" s="1521"/>
      <c r="OW68"/>
      <c r="OX68"/>
      <c r="OY68"/>
      <c r="OZ68" s="4"/>
      <c r="PA68" s="1203"/>
      <c r="PB68" s="99"/>
      <c r="PC68" s="99"/>
      <c r="PD68" s="99"/>
      <c r="PE68" s="1451"/>
      <c r="PF68" s="1451"/>
      <c r="PG68" s="1451"/>
      <c r="PH68" s="1451"/>
      <c r="PI68" s="1451"/>
      <c r="PJ68" s="1438"/>
      <c r="PK68" s="1451"/>
      <c r="PL68" s="1438"/>
      <c r="PM68"/>
      <c r="PN68"/>
      <c r="PO68"/>
      <c r="PP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J68" s="424"/>
      <c r="QK68" s="424"/>
      <c r="QL68" s="424"/>
      <c r="QM68" s="424"/>
      <c r="QN68" s="424"/>
      <c r="QO68" s="424"/>
      <c r="QP68" s="424"/>
      <c r="QQ68" s="424"/>
      <c r="QR68" s="424"/>
      <c r="QS68" s="424"/>
      <c r="QT68" s="424"/>
      <c r="QU68" s="424"/>
      <c r="QV68" s="424"/>
      <c r="QW68" s="424"/>
      <c r="QX68" s="424"/>
      <c r="QY68" s="424"/>
      <c r="QZ68" s="424"/>
      <c r="RA68" s="424"/>
      <c r="RT68" s="424"/>
      <c r="RU68" s="424"/>
      <c r="RV68" s="424"/>
      <c r="RW68" s="424"/>
      <c r="RX68" s="424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82">
        <f>ROW()</f>
        <v>68</v>
      </c>
      <c r="SM68" s="616"/>
      <c r="SN68" s="1484"/>
      <c r="SO68" s="1480"/>
      <c r="SP68" s="1480"/>
      <c r="SQ68" s="1480"/>
      <c r="SR68" s="1480"/>
      <c r="SS68" s="1480"/>
      <c r="ST68" s="1480"/>
      <c r="SU68" s="1480"/>
      <c r="SV68" s="1480"/>
      <c r="SW68" s="1480"/>
      <c r="SX68" s="1480"/>
      <c r="SY68" s="1480"/>
      <c r="SZ68" s="1480"/>
      <c r="TA68" s="1480"/>
      <c r="TB68" s="1500"/>
      <c r="TC68" s="1500"/>
      <c r="TD68" s="424"/>
      <c r="TE68" s="424"/>
      <c r="TF68" s="424"/>
      <c r="TG68" s="424"/>
      <c r="TH68" s="424"/>
      <c r="TI68" s="424"/>
      <c r="TJ68" s="424"/>
      <c r="TK68" s="424"/>
      <c r="TL68" s="424"/>
      <c r="TM68" s="424"/>
      <c r="TN68" s="424"/>
      <c r="TO68" s="424"/>
      <c r="TP68" s="424"/>
      <c r="TQ68" s="424"/>
      <c r="TR68" s="424"/>
      <c r="TS68" s="424"/>
      <c r="TT68" s="424"/>
      <c r="TU68" s="424"/>
      <c r="TV68" s="424"/>
      <c r="TW68" s="424"/>
      <c r="TY68" s="609"/>
      <c r="TZ68" s="1497"/>
      <c r="UA68" s="646"/>
      <c r="UB68" s="646"/>
      <c r="UC68" s="646"/>
      <c r="UD68" s="1528"/>
      <c r="UE68" s="1529"/>
      <c r="UF68" s="1528"/>
      <c r="UG68" s="1529"/>
      <c r="UH68" s="1528"/>
      <c r="UI68" s="1529"/>
      <c r="UJ68" s="1528"/>
      <c r="UK68" s="1529"/>
      <c r="UL68" s="1528"/>
      <c r="UM68" s="1529"/>
      <c r="UN68" s="1528"/>
      <c r="UO68" s="1528"/>
      <c r="UR68" s="609"/>
      <c r="US68" s="695"/>
      <c r="UT68" s="659"/>
      <c r="UU68" s="659"/>
      <c r="UV68" s="659"/>
      <c r="UW68" s="659"/>
      <c r="UX68" s="659"/>
      <c r="UY68" s="659"/>
      <c r="UZ68" s="659"/>
      <c r="VA68" s="659"/>
      <c r="VB68" s="659"/>
      <c r="VC68" s="659"/>
      <c r="VD68" s="659"/>
    </row>
    <row r="69" spans="1:576" ht="15.75" thickBot="1" x14ac:dyDescent="0.3">
      <c r="A69" s="22">
        <f>ROW()</f>
        <v>69</v>
      </c>
      <c r="B69" s="971" t="s">
        <v>380</v>
      </c>
      <c r="C69" s="798"/>
      <c r="D69" s="64">
        <f t="shared" ref="D69:R69" si="147">+D56-D62-D67</f>
        <v>0</v>
      </c>
      <c r="E69" s="794">
        <f t="shared" si="147"/>
        <v>40784597.25874266</v>
      </c>
      <c r="F69" s="64">
        <f t="shared" si="147"/>
        <v>0</v>
      </c>
      <c r="G69" s="794">
        <f t="shared" si="147"/>
        <v>-55668253.7958147</v>
      </c>
      <c r="H69" s="64">
        <f t="shared" si="147"/>
        <v>0</v>
      </c>
      <c r="I69" s="794">
        <f t="shared" si="147"/>
        <v>-9898871.3261351231</v>
      </c>
      <c r="J69" s="64">
        <f t="shared" si="147"/>
        <v>0</v>
      </c>
      <c r="K69" s="794">
        <f t="shared" si="147"/>
        <v>-8132761.5199399237</v>
      </c>
      <c r="L69" s="64">
        <f t="shared" si="147"/>
        <v>0</v>
      </c>
      <c r="M69" s="794">
        <f t="shared" si="147"/>
        <v>-2621744.9582239054</v>
      </c>
      <c r="N69" s="64">
        <f t="shared" si="147"/>
        <v>0</v>
      </c>
      <c r="O69" s="64">
        <f t="shared" si="147"/>
        <v>0</v>
      </c>
      <c r="P69" s="64">
        <f t="shared" si="147"/>
        <v>0</v>
      </c>
      <c r="Q69" s="64">
        <f t="shared" si="147"/>
        <v>0</v>
      </c>
      <c r="R69" s="64">
        <f t="shared" si="147"/>
        <v>0</v>
      </c>
      <c r="S69" s="22">
        <f>ROW()</f>
        <v>69</v>
      </c>
      <c r="T69" s="43" t="s">
        <v>85</v>
      </c>
      <c r="U69" s="43"/>
      <c r="V69" s="49">
        <f>SUM(V23,V25,V27,V30:V31,V32)</f>
        <v>-11058338.82</v>
      </c>
      <c r="W69" s="49">
        <f>SUM(W23,W25,W27,W30:W31,W32)</f>
        <v>11058338.82</v>
      </c>
      <c r="X69" s="49">
        <f t="shared" ref="X69:AF69" si="148">SUM(X23,X27,X29,X32)</f>
        <v>0</v>
      </c>
      <c r="Y69" s="49">
        <f t="shared" si="148"/>
        <v>0</v>
      </c>
      <c r="Z69" s="49">
        <f t="shared" si="148"/>
        <v>0</v>
      </c>
      <c r="AA69" s="49">
        <f t="shared" si="148"/>
        <v>0</v>
      </c>
      <c r="AB69" s="49">
        <f t="shared" si="148"/>
        <v>0</v>
      </c>
      <c r="AC69" s="49">
        <f t="shared" si="148"/>
        <v>0</v>
      </c>
      <c r="AD69" s="49">
        <f t="shared" si="148"/>
        <v>0</v>
      </c>
      <c r="AE69" s="49">
        <f t="shared" si="148"/>
        <v>0</v>
      </c>
      <c r="AF69" s="49">
        <f t="shared" si="148"/>
        <v>0</v>
      </c>
      <c r="AG69" s="49"/>
      <c r="AH69" s="49"/>
      <c r="AI69" s="49"/>
      <c r="AJ69" s="49"/>
      <c r="AL69" s="1527"/>
      <c r="AM69" s="1189"/>
      <c r="AN69" s="1189"/>
      <c r="AO69" s="1189"/>
      <c r="AP69" s="1189"/>
      <c r="AQ69" s="1526"/>
      <c r="AR69" s="1526"/>
      <c r="AS69" s="1526"/>
      <c r="AT69" s="1526"/>
      <c r="AU69" s="1526"/>
      <c r="AV69" s="1526"/>
      <c r="AW69" s="1526"/>
      <c r="AX69" s="1526"/>
      <c r="AY69" s="18"/>
      <c r="AZ69" s="18"/>
      <c r="BA69" s="18"/>
      <c r="BB69" s="18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V69"/>
      <c r="BW69"/>
      <c r="BX69"/>
      <c r="BY69"/>
      <c r="BZ69"/>
      <c r="CA69"/>
      <c r="CB69"/>
      <c r="FY69" s="30"/>
      <c r="FZ69" s="1525"/>
      <c r="GA69" s="610"/>
      <c r="GB69" s="1524"/>
      <c r="GC69" s="1524"/>
      <c r="GD69" s="1524"/>
      <c r="GE69" s="1524"/>
      <c r="GF69" s="1524"/>
      <c r="GG69" s="1524"/>
      <c r="GH69" s="1524"/>
      <c r="GI69" s="1524"/>
      <c r="GJ69" s="1524"/>
      <c r="GK69" s="1524"/>
      <c r="GL69" s="1524"/>
      <c r="IS69"/>
      <c r="IT69"/>
      <c r="IU69"/>
      <c r="IV69"/>
      <c r="IW69"/>
      <c r="IX69"/>
      <c r="IY69"/>
      <c r="IZ69"/>
      <c r="JK69"/>
      <c r="JL69"/>
      <c r="JM69"/>
      <c r="JN69"/>
      <c r="JO69"/>
      <c r="JP69"/>
      <c r="JQ69"/>
      <c r="JR69"/>
      <c r="JS69"/>
      <c r="JT69"/>
      <c r="JU69"/>
      <c r="JV69"/>
      <c r="JW69"/>
      <c r="NO69" s="30"/>
      <c r="NP69" s="888"/>
      <c r="NQ69" s="547"/>
      <c r="NR69" s="980"/>
      <c r="NS69" s="980"/>
      <c r="NT69" s="980"/>
      <c r="NU69" s="980"/>
      <c r="NV69" s="980"/>
      <c r="NW69" s="980"/>
      <c r="NX69" s="980"/>
      <c r="NY69" s="1023"/>
      <c r="NZ69" s="980"/>
      <c r="OA69" s="1023"/>
      <c r="OB69" s="980"/>
      <c r="OC69" s="1521"/>
      <c r="OD69" s="1521"/>
      <c r="OE69" s="1521"/>
      <c r="OF69" s="1521"/>
      <c r="OW69"/>
      <c r="OX69"/>
      <c r="OY69"/>
      <c r="OZ69" s="4"/>
      <c r="PA69" s="1203"/>
      <c r="PB69" s="99"/>
      <c r="PC69" s="99"/>
      <c r="PD69" s="99"/>
      <c r="PE69" s="1451"/>
      <c r="PF69" s="1451"/>
      <c r="PG69" s="1451"/>
      <c r="PH69" s="1451"/>
      <c r="PI69" s="1451"/>
      <c r="PJ69" s="1438"/>
      <c r="PK69" s="1451"/>
      <c r="PL69" s="1438"/>
      <c r="PM69"/>
      <c r="PN69"/>
      <c r="PO69"/>
      <c r="PP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J69" s="424"/>
      <c r="QK69" s="424"/>
      <c r="QL69" s="424"/>
      <c r="QM69" s="424"/>
      <c r="QN69" s="424"/>
      <c r="QO69" s="424"/>
      <c r="QP69" s="424"/>
      <c r="QQ69" s="424"/>
      <c r="QR69" s="424"/>
      <c r="QS69" s="424"/>
      <c r="QT69" s="424"/>
      <c r="QU69" s="424"/>
      <c r="QV69" s="424"/>
      <c r="QW69" s="424"/>
      <c r="QX69" s="424"/>
      <c r="QY69" s="424"/>
      <c r="QZ69" s="424"/>
      <c r="RA69" s="424"/>
      <c r="RT69" s="424"/>
      <c r="RU69" s="424"/>
      <c r="RV69" s="424"/>
      <c r="RW69" s="424"/>
      <c r="RX69" s="424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82">
        <f>ROW()</f>
        <v>69</v>
      </c>
      <c r="SM69" s="430" t="s">
        <v>872</v>
      </c>
      <c r="SN69" s="1484"/>
      <c r="SO69" s="1480"/>
      <c r="SP69" s="1480"/>
      <c r="SQ69" s="1480"/>
      <c r="SR69" s="1480"/>
      <c r="SS69" s="1480"/>
      <c r="ST69" s="1480"/>
      <c r="SU69" s="1480"/>
      <c r="SV69" s="1480"/>
      <c r="SW69" s="1480"/>
      <c r="SX69" s="1480"/>
      <c r="SY69" s="1480"/>
      <c r="SZ69" s="1480"/>
      <c r="TA69" s="1480"/>
      <c r="TB69" s="1500"/>
      <c r="TC69" s="1500"/>
      <c r="TD69" s="424"/>
      <c r="TE69" s="424"/>
      <c r="TF69" s="424"/>
      <c r="TG69" s="424"/>
      <c r="TH69" s="424"/>
      <c r="TI69" s="424"/>
      <c r="TJ69" s="424"/>
      <c r="TK69" s="424"/>
      <c r="TL69" s="424"/>
      <c r="TM69" s="424"/>
      <c r="TN69" s="424"/>
      <c r="TO69" s="424"/>
      <c r="TP69" s="424"/>
      <c r="TQ69" s="424"/>
      <c r="TR69" s="424"/>
      <c r="TS69" s="424"/>
      <c r="TT69" s="424"/>
      <c r="TU69" s="424"/>
      <c r="TV69" s="424"/>
      <c r="TW69" s="424"/>
      <c r="TY69" s="624"/>
      <c r="TZ69" s="624"/>
      <c r="UA69" s="1494"/>
      <c r="UB69" s="1494"/>
      <c r="UC69" s="624"/>
      <c r="UD69" s="1523"/>
      <c r="UE69" s="1523"/>
      <c r="UF69" s="1523"/>
      <c r="UG69" s="1523"/>
      <c r="UH69" s="1523"/>
      <c r="UI69" s="1523"/>
      <c r="UJ69" s="1523"/>
      <c r="UK69" s="1523"/>
      <c r="UL69" s="1523"/>
      <c r="UM69" s="1523"/>
      <c r="UN69" s="1523"/>
      <c r="UO69" s="1523"/>
      <c r="UR69" s="609"/>
      <c r="US69" s="20"/>
      <c r="UT69" s="1212"/>
      <c r="UU69" s="1212"/>
      <c r="UV69" s="1212"/>
      <c r="UW69" s="1212"/>
      <c r="UX69" s="1212"/>
      <c r="UY69" s="1212"/>
      <c r="UZ69" s="1212"/>
      <c r="VA69" s="1212"/>
      <c r="VB69" s="1212"/>
      <c r="VC69" s="1212"/>
      <c r="VD69" s="1212"/>
    </row>
    <row r="70" spans="1:576" ht="16.5" thickTop="1" thickBot="1" x14ac:dyDescent="0.3">
      <c r="A70" s="22">
        <f>ROW()</f>
        <v>70</v>
      </c>
      <c r="B70" s="971" t="s">
        <v>283</v>
      </c>
      <c r="C70" s="822">
        <v>0.21</v>
      </c>
      <c r="D70" s="647">
        <f t="shared" ref="D70:R70" si="149">D69*$C$70</f>
        <v>0</v>
      </c>
      <c r="E70" s="823">
        <f t="shared" si="149"/>
        <v>8564765.4243359584</v>
      </c>
      <c r="F70" s="647">
        <f t="shared" si="149"/>
        <v>0</v>
      </c>
      <c r="G70" s="823">
        <f t="shared" si="149"/>
        <v>-11690333.297121087</v>
      </c>
      <c r="H70" s="647">
        <f t="shared" si="149"/>
        <v>0</v>
      </c>
      <c r="I70" s="823">
        <f t="shared" si="149"/>
        <v>-2078762.9784883759</v>
      </c>
      <c r="J70" s="647">
        <f t="shared" si="149"/>
        <v>0</v>
      </c>
      <c r="K70" s="823">
        <f t="shared" si="149"/>
        <v>-1707879.919187384</v>
      </c>
      <c r="L70" s="647">
        <f t="shared" si="149"/>
        <v>0</v>
      </c>
      <c r="M70" s="823">
        <f t="shared" si="149"/>
        <v>-550566.44122702011</v>
      </c>
      <c r="N70" s="647">
        <f t="shared" si="149"/>
        <v>0</v>
      </c>
      <c r="O70" s="647">
        <f t="shared" si="149"/>
        <v>0</v>
      </c>
      <c r="P70" s="647">
        <f t="shared" si="149"/>
        <v>0</v>
      </c>
      <c r="Q70" s="647">
        <f t="shared" si="149"/>
        <v>0</v>
      </c>
      <c r="R70" s="647">
        <f t="shared" si="149"/>
        <v>0</v>
      </c>
      <c r="S70" s="22">
        <f>ROW()</f>
        <v>70</v>
      </c>
      <c r="T70" s="43" t="s">
        <v>438</v>
      </c>
      <c r="U70" s="43"/>
      <c r="V70" s="915">
        <f>SUM(V68:V69)</f>
        <v>716603346.39031708</v>
      </c>
      <c r="W70" s="915">
        <f>SUM(W68:W69)</f>
        <v>-716603346.39031708</v>
      </c>
      <c r="X70" s="1509"/>
      <c r="Y70" s="1509"/>
      <c r="Z70" s="1509"/>
      <c r="AA70" s="1509"/>
      <c r="AB70" s="1509"/>
      <c r="AC70" s="1509"/>
      <c r="AD70" s="1509"/>
      <c r="AE70" s="1509"/>
      <c r="AF70" s="1509"/>
      <c r="AG70" s="1509"/>
      <c r="AH70" s="1509"/>
      <c r="AI70" s="1509"/>
      <c r="AJ70" s="1509"/>
      <c r="AL70" s="1518"/>
      <c r="AM70" s="776"/>
      <c r="AN70" s="1190"/>
      <c r="AO70" s="1190"/>
      <c r="AP70" s="1190"/>
      <c r="AQ70" s="1522">
        <f t="shared" ref="AQ70:AR82" si="150">+AQ18-AQ36-AQ53</f>
        <v>5.5511151231257827E-17</v>
      </c>
      <c r="AR70" s="1522">
        <f t="shared" si="150"/>
        <v>5.5511151231257827E-17</v>
      </c>
      <c r="AS70" s="1522"/>
      <c r="AT70" s="1522"/>
      <c r="AU70" s="1522"/>
      <c r="AV70" s="1522"/>
      <c r="AW70" s="1522"/>
      <c r="AX70" s="1522"/>
      <c r="AY70" s="18"/>
      <c r="AZ70" s="18"/>
      <c r="BA70" s="18"/>
      <c r="BB70" s="18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V70"/>
      <c r="BW70"/>
      <c r="BX70"/>
      <c r="BY70"/>
      <c r="BZ70"/>
      <c r="CA70"/>
      <c r="CB70"/>
      <c r="FY70" s="30"/>
      <c r="FZ70" s="4"/>
      <c r="GA70" s="20"/>
      <c r="GB70" s="543"/>
      <c r="GC70" s="543"/>
      <c r="GD70" s="543"/>
      <c r="GE70" s="543"/>
      <c r="GF70" s="543"/>
      <c r="GG70" s="543"/>
      <c r="GH70" s="543"/>
      <c r="GI70" s="543"/>
      <c r="GJ70" s="543"/>
      <c r="GK70" s="543"/>
      <c r="GL70" s="543"/>
      <c r="IS70"/>
      <c r="IT70"/>
      <c r="IU70"/>
      <c r="IV70"/>
      <c r="IW70"/>
      <c r="IX70"/>
      <c r="IY70"/>
      <c r="IZ70"/>
      <c r="JK70"/>
      <c r="JL70"/>
      <c r="JM70"/>
      <c r="JN70"/>
      <c r="JO70"/>
      <c r="JP70"/>
      <c r="JQ70"/>
      <c r="JR70"/>
      <c r="JS70"/>
      <c r="JT70"/>
      <c r="JU70"/>
      <c r="JV70"/>
      <c r="JW70"/>
      <c r="NO70" s="20"/>
      <c r="NP70" s="917"/>
      <c r="NQ70" s="20"/>
      <c r="NR70" s="20"/>
      <c r="NS70" s="20"/>
      <c r="NT70" s="20"/>
      <c r="NU70" s="20"/>
      <c r="NV70" s="20"/>
      <c r="NW70" s="20"/>
      <c r="NX70" s="20"/>
      <c r="NY70" s="20"/>
      <c r="NZ70" s="20"/>
      <c r="OA70" s="20"/>
      <c r="OB70" s="20"/>
      <c r="OC70" s="1521"/>
      <c r="OD70" s="1521"/>
      <c r="OE70" s="1521"/>
      <c r="OF70" s="1521"/>
      <c r="OW70"/>
      <c r="OX70"/>
      <c r="OY70"/>
      <c r="OZ70" s="1203"/>
      <c r="PA70" s="1203"/>
      <c r="PB70" s="63"/>
      <c r="PC70" s="624"/>
      <c r="PD70" s="63"/>
      <c r="PE70" s="63"/>
      <c r="PF70" s="1451"/>
      <c r="PG70" s="63"/>
      <c r="PH70" s="1451"/>
      <c r="PI70" s="63"/>
      <c r="PJ70" s="1442"/>
      <c r="PK70" s="63"/>
      <c r="PL70" s="1442"/>
      <c r="PM70"/>
      <c r="PN70"/>
      <c r="PO70"/>
      <c r="PP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J70" s="424"/>
      <c r="QK70" s="424"/>
      <c r="QL70" s="424"/>
      <c r="QM70" s="424"/>
      <c r="QN70" s="424"/>
      <c r="QO70" s="424"/>
      <c r="QP70" s="424"/>
      <c r="QQ70" s="424"/>
      <c r="QR70" s="424"/>
      <c r="QS70" s="424"/>
      <c r="QT70" s="424"/>
      <c r="QU70" s="424"/>
      <c r="QV70" s="424"/>
      <c r="QW70" s="424"/>
      <c r="QX70" s="424"/>
      <c r="QY70" s="424"/>
      <c r="QZ70" s="424"/>
      <c r="RA70" s="424"/>
      <c r="RT70" s="424"/>
      <c r="RU70" s="424"/>
      <c r="RV70" s="424"/>
      <c r="RW70" s="424"/>
      <c r="RX70" s="424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82">
        <f>ROW()</f>
        <v>70</v>
      </c>
      <c r="SM70" s="616" t="s">
        <v>866</v>
      </c>
      <c r="SN70" s="1484"/>
      <c r="SO70" s="653"/>
      <c r="SP70" s="653"/>
      <c r="SQ70" s="653"/>
      <c r="SR70" s="653">
        <v>113370.00999999998</v>
      </c>
      <c r="SS70" s="1475">
        <f>SR70</f>
        <v>113370.00999999998</v>
      </c>
      <c r="ST70" s="1475">
        <v>1087765.6900000002</v>
      </c>
      <c r="SU70" s="1475">
        <f>ST70+SS70</f>
        <v>1201135.7000000002</v>
      </c>
      <c r="SV70" s="1475">
        <v>1046767.73</v>
      </c>
      <c r="SW70" s="1475">
        <f>SV70+SU70</f>
        <v>2247903.4300000002</v>
      </c>
      <c r="SX70" s="1475">
        <v>881172.93000000017</v>
      </c>
      <c r="SY70" s="1475">
        <f>SX70+SW70</f>
        <v>3129076.3600000003</v>
      </c>
      <c r="SZ70" s="1475"/>
      <c r="TA70" s="1475"/>
      <c r="TB70" s="1474"/>
      <c r="TC70" s="1474"/>
      <c r="TD70" s="424"/>
      <c r="TE70" s="424"/>
      <c r="TF70" s="424"/>
      <c r="TG70" s="424"/>
      <c r="TH70" s="424"/>
      <c r="TI70" s="424"/>
      <c r="TJ70" s="424"/>
      <c r="TK70" s="424"/>
      <c r="TL70" s="424"/>
      <c r="TM70" s="424"/>
      <c r="TN70" s="424"/>
      <c r="TO70" s="424"/>
      <c r="TP70" s="424"/>
      <c r="TQ70" s="424"/>
      <c r="TR70" s="424"/>
      <c r="TS70" s="424"/>
      <c r="TT70" s="424"/>
      <c r="TU70" s="424"/>
      <c r="TV70" s="424"/>
      <c r="TW70" s="424"/>
      <c r="TY70" s="523"/>
      <c r="TZ70" s="20"/>
      <c r="UA70" s="20"/>
      <c r="UB70" s="20"/>
      <c r="UC70" s="20"/>
      <c r="UR70" s="20"/>
      <c r="US70" s="20"/>
      <c r="UT70" s="20"/>
      <c r="UU70" s="20"/>
      <c r="UV70" s="20"/>
      <c r="UW70" s="20"/>
      <c r="UX70" s="20"/>
      <c r="UY70" s="20"/>
      <c r="UZ70" s="20"/>
      <c r="VA70" s="20"/>
      <c r="VB70" s="20"/>
      <c r="VC70" s="20"/>
      <c r="VD70" s="20"/>
    </row>
    <row r="71" spans="1:576" ht="16.5" thickTop="1" thickBot="1" x14ac:dyDescent="0.3">
      <c r="A71" s="22">
        <f>ROW()</f>
        <v>71</v>
      </c>
      <c r="B71" s="971" t="s">
        <v>240</v>
      </c>
      <c r="C71" s="23"/>
      <c r="D71" s="824">
        <f t="shared" ref="D71:R71" si="151">D69-D70</f>
        <v>0</v>
      </c>
      <c r="E71" s="704">
        <f t="shared" si="151"/>
        <v>32219831.834406704</v>
      </c>
      <c r="F71" s="824">
        <f t="shared" si="151"/>
        <v>0</v>
      </c>
      <c r="G71" s="704">
        <f t="shared" si="151"/>
        <v>-43977920.498693615</v>
      </c>
      <c r="H71" s="824">
        <f t="shared" si="151"/>
        <v>0</v>
      </c>
      <c r="I71" s="704">
        <f t="shared" si="151"/>
        <v>-7820108.3476467468</v>
      </c>
      <c r="J71" s="824">
        <f t="shared" si="151"/>
        <v>0</v>
      </c>
      <c r="K71" s="704">
        <f t="shared" si="151"/>
        <v>-6424881.6007525399</v>
      </c>
      <c r="L71" s="824">
        <f t="shared" si="151"/>
        <v>0</v>
      </c>
      <c r="M71" s="704">
        <f t="shared" si="151"/>
        <v>-2071178.5169968852</v>
      </c>
      <c r="N71" s="824">
        <f t="shared" si="151"/>
        <v>0</v>
      </c>
      <c r="O71" s="824">
        <f t="shared" si="151"/>
        <v>0</v>
      </c>
      <c r="P71" s="824">
        <f t="shared" si="151"/>
        <v>0</v>
      </c>
      <c r="Q71" s="824">
        <f t="shared" si="151"/>
        <v>0</v>
      </c>
      <c r="R71" s="824">
        <f t="shared" si="151"/>
        <v>0</v>
      </c>
      <c r="S71" s="22">
        <f>ROW()</f>
        <v>71</v>
      </c>
      <c r="T71" s="43"/>
      <c r="U71" s="43"/>
      <c r="V71" s="900"/>
      <c r="W71" s="900"/>
      <c r="X71" s="1291"/>
      <c r="Y71" s="1291"/>
      <c r="Z71" s="1291"/>
      <c r="AA71" s="1291"/>
      <c r="AB71" s="1291"/>
      <c r="AC71" s="1291"/>
      <c r="AD71" s="1291"/>
      <c r="AE71" s="1291"/>
      <c r="AF71" s="1291"/>
      <c r="AG71" s="1291"/>
      <c r="AH71" s="1291"/>
      <c r="AI71" s="1291"/>
      <c r="AJ71" s="1291"/>
      <c r="AL71" s="1520"/>
      <c r="AM71" s="776"/>
      <c r="AN71" s="776"/>
      <c r="AO71" s="776"/>
      <c r="AP71" s="776"/>
      <c r="AQ71" s="1514">
        <f t="shared" si="150"/>
        <v>0</v>
      </c>
      <c r="AR71" s="1514">
        <f t="shared" si="150"/>
        <v>0</v>
      </c>
      <c r="AS71" s="1514"/>
      <c r="AT71" s="1514"/>
      <c r="AU71" s="1514"/>
      <c r="AV71" s="1514"/>
      <c r="AW71" s="1514"/>
      <c r="AX71" s="1514"/>
      <c r="AY71" s="18"/>
      <c r="AZ71" s="18"/>
      <c r="BA71" s="18"/>
      <c r="BB71" s="18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V71"/>
      <c r="BW71"/>
      <c r="BX71"/>
      <c r="BY71"/>
      <c r="BZ71"/>
      <c r="CA71"/>
      <c r="CB71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IS71"/>
      <c r="IT71"/>
      <c r="IU71"/>
      <c r="IV71"/>
      <c r="IW71"/>
      <c r="IX71"/>
      <c r="IY71"/>
      <c r="IZ71"/>
      <c r="JK71"/>
      <c r="JL71"/>
      <c r="JM71"/>
      <c r="JN71"/>
      <c r="JO71"/>
      <c r="JP71"/>
      <c r="JQ71"/>
      <c r="JR71"/>
      <c r="JS71"/>
      <c r="JT71"/>
      <c r="JU71"/>
      <c r="JV71"/>
      <c r="JW71"/>
      <c r="NP71" s="88"/>
      <c r="OC71" s="1519"/>
      <c r="OD71" s="1519"/>
      <c r="OE71" s="1519"/>
      <c r="OF71" s="1519"/>
      <c r="OW71"/>
      <c r="OX71"/>
      <c r="OY71"/>
      <c r="OZ71" s="1203"/>
      <c r="PA71" s="1203"/>
      <c r="PB71" s="63"/>
      <c r="PC71" s="63"/>
      <c r="PD71" s="63"/>
      <c r="PE71" s="63"/>
      <c r="PF71" s="1451"/>
      <c r="PG71" s="63"/>
      <c r="PH71" s="1451"/>
      <c r="PI71" s="63"/>
      <c r="PJ71" s="1442"/>
      <c r="PK71" s="63"/>
      <c r="PL71" s="1442"/>
      <c r="PM71"/>
      <c r="PN71"/>
      <c r="PO71"/>
      <c r="PP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J71" s="424"/>
      <c r="QK71" s="424"/>
      <c r="QL71" s="424"/>
      <c r="QM71" s="424"/>
      <c r="QN71" s="424"/>
      <c r="QO71" s="424"/>
      <c r="QP71" s="424"/>
      <c r="QQ71" s="424"/>
      <c r="QR71" s="424"/>
      <c r="QS71" s="424"/>
      <c r="QT71" s="424"/>
      <c r="QU71" s="424"/>
      <c r="QV71" s="424"/>
      <c r="QW71" s="424"/>
      <c r="QX71" s="424"/>
      <c r="QY71" s="424"/>
      <c r="QZ71" s="424"/>
      <c r="RA71" s="424"/>
      <c r="RT71" s="424"/>
      <c r="RU71" s="424"/>
      <c r="RV71" s="424"/>
      <c r="RW71" s="424"/>
      <c r="RX71" s="424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82">
        <f>ROW()</f>
        <v>71</v>
      </c>
      <c r="SM71" s="616" t="s">
        <v>865</v>
      </c>
      <c r="SN71" s="1484"/>
      <c r="SO71" s="674"/>
      <c r="SP71" s="674"/>
      <c r="SQ71" s="674"/>
      <c r="SR71" s="674">
        <v>10627.835669999999</v>
      </c>
      <c r="SS71" s="1471">
        <f>SR71</f>
        <v>10627.835669999999</v>
      </c>
      <c r="ST71" s="1471">
        <v>244509.99067999996</v>
      </c>
      <c r="SU71" s="1471">
        <f>ST71+SS71</f>
        <v>255137.82634999996</v>
      </c>
      <c r="SV71" s="1471">
        <v>1185416.8986599997</v>
      </c>
      <c r="SW71" s="1471">
        <f>SV71+SU71</f>
        <v>1440554.7250099997</v>
      </c>
      <c r="SX71" s="1471">
        <v>1001332.5569500001</v>
      </c>
      <c r="SY71" s="1471">
        <f>SX71+SW71</f>
        <v>2441887.2819599998</v>
      </c>
      <c r="SZ71" s="1471"/>
      <c r="TA71" s="1471"/>
      <c r="TB71" s="1470"/>
      <c r="TC71" s="1470"/>
      <c r="TD71" s="424"/>
      <c r="TE71" s="424"/>
      <c r="TF71" s="424"/>
      <c r="TG71" s="424"/>
      <c r="TH71" s="424"/>
      <c r="TI71" s="424"/>
      <c r="TJ71" s="424"/>
      <c r="TK71" s="424"/>
      <c r="TL71" s="424"/>
      <c r="TM71" s="424"/>
      <c r="TN71" s="424"/>
      <c r="TO71" s="424"/>
      <c r="TP71" s="424"/>
      <c r="TQ71" s="424"/>
      <c r="TR71" s="424"/>
      <c r="TS71" s="424"/>
      <c r="TT71" s="424"/>
      <c r="TU71" s="424"/>
      <c r="TV71" s="424"/>
      <c r="TW71" s="424"/>
      <c r="TY71" s="942"/>
      <c r="TZ71" s="20"/>
      <c r="UA71" s="20"/>
      <c r="UB71" s="20"/>
      <c r="UC71" s="20"/>
      <c r="UD71" s="86"/>
      <c r="UE71" s="86"/>
      <c r="UF71" s="86"/>
      <c r="UG71" s="86"/>
      <c r="UH71" s="86"/>
      <c r="UI71" s="86"/>
      <c r="UJ71" s="86"/>
      <c r="UK71" s="86"/>
      <c r="UL71" s="86"/>
      <c r="UM71" s="86"/>
      <c r="UN71" s="86"/>
      <c r="UO71" s="86"/>
    </row>
    <row r="72" spans="1:576" ht="15.75" thickTop="1" x14ac:dyDescent="0.25">
      <c r="A72" s="22">
        <f>ROW()</f>
        <v>72</v>
      </c>
      <c r="S72" s="22">
        <f>ROW()</f>
        <v>72</v>
      </c>
      <c r="T72" s="43" t="s">
        <v>871</v>
      </c>
      <c r="U72" s="43"/>
      <c r="V72" s="24">
        <f>SUM(V45:V50,V55)</f>
        <v>581461939.38</v>
      </c>
      <c r="W72" s="24">
        <f>SUM(W45:W50,W55)</f>
        <v>-581461939.38</v>
      </c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L72" s="1518"/>
      <c r="AM72" s="776"/>
      <c r="AN72" s="21"/>
      <c r="AO72" s="21"/>
      <c r="AP72" s="21"/>
      <c r="AQ72" s="1516">
        <f t="shared" si="150"/>
        <v>-3.7252902984619141E-9</v>
      </c>
      <c r="AR72" s="1516">
        <f t="shared" si="150"/>
        <v>1.4901161193847656E-8</v>
      </c>
      <c r="AS72" s="1516"/>
      <c r="AT72" s="1516"/>
      <c r="AU72" s="1517"/>
      <c r="AV72" s="1517"/>
      <c r="AW72" s="1517"/>
      <c r="AX72" s="1516"/>
      <c r="AY72" s="18"/>
      <c r="AZ72" s="18"/>
      <c r="BA72" s="18"/>
      <c r="BB72" s="18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V72"/>
      <c r="BW72"/>
      <c r="BX72"/>
      <c r="BY72"/>
      <c r="BZ72"/>
      <c r="CA72"/>
      <c r="CB72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IS72"/>
      <c r="IT72"/>
      <c r="IU72"/>
      <c r="IV72"/>
      <c r="IW72"/>
      <c r="IX72"/>
      <c r="IY72"/>
      <c r="IZ72"/>
      <c r="JK72"/>
      <c r="JL72"/>
      <c r="JM72"/>
      <c r="JN72"/>
      <c r="JO72"/>
      <c r="JP72"/>
      <c r="JQ72"/>
      <c r="JR72"/>
      <c r="JS72"/>
      <c r="JT72"/>
      <c r="JU72"/>
      <c r="JV72"/>
      <c r="JW72"/>
      <c r="NP72" s="88"/>
      <c r="OW72"/>
      <c r="OX72"/>
      <c r="OY72"/>
      <c r="OZ72" s="1203"/>
      <c r="PA72" s="1203"/>
      <c r="PB72" s="63"/>
      <c r="PC72" s="63"/>
      <c r="PD72" s="63"/>
      <c r="PE72" s="63"/>
      <c r="PF72" s="1451"/>
      <c r="PG72" s="1451"/>
      <c r="PH72" s="1451"/>
      <c r="PI72" s="1442"/>
      <c r="PJ72" s="1442"/>
      <c r="PK72" s="1442"/>
      <c r="PL72" s="1442"/>
      <c r="PM72"/>
      <c r="PN72"/>
      <c r="PO72"/>
      <c r="PP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J72" s="424"/>
      <c r="QK72" s="424"/>
      <c r="QL72" s="424"/>
      <c r="QM72" s="424"/>
      <c r="QN72" s="424"/>
      <c r="QO72" s="424"/>
      <c r="QP72" s="424"/>
      <c r="QQ72" s="424"/>
      <c r="QR72" s="424"/>
      <c r="QS72" s="424"/>
      <c r="QT72" s="424"/>
      <c r="QU72" s="424"/>
      <c r="QV72" s="424"/>
      <c r="QW72" s="424"/>
      <c r="QX72" s="424"/>
      <c r="QY72" s="424"/>
      <c r="QZ72" s="424"/>
      <c r="RA72" s="424"/>
      <c r="RT72" s="424"/>
      <c r="RU72" s="424"/>
      <c r="RV72" s="424"/>
      <c r="RW72" s="424"/>
      <c r="RX72" s="424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82">
        <f>ROW()</f>
        <v>72</v>
      </c>
      <c r="SM72" s="616" t="s">
        <v>864</v>
      </c>
      <c r="SN72" s="1484"/>
      <c r="SO72" s="674"/>
      <c r="SP72" s="674"/>
      <c r="SQ72" s="674"/>
      <c r="SR72" s="674">
        <v>64439.08</v>
      </c>
      <c r="SS72" s="1471">
        <f>SR72</f>
        <v>64439.08</v>
      </c>
      <c r="ST72" s="1471">
        <v>1244342.2899999998</v>
      </c>
      <c r="SU72" s="1471">
        <f>ST72+SS72</f>
        <v>1308781.3699999999</v>
      </c>
      <c r="SV72" s="1471">
        <v>2271649.9799999995</v>
      </c>
      <c r="SW72" s="1471">
        <f>SV72+SU72</f>
        <v>3580431.3499999996</v>
      </c>
      <c r="SX72" s="1471">
        <v>1575921.3100000005</v>
      </c>
      <c r="SY72" s="1471">
        <f>SX72+SW72</f>
        <v>5156352.66</v>
      </c>
      <c r="SZ72" s="1471"/>
      <c r="TA72" s="1471"/>
      <c r="TB72" s="1470"/>
      <c r="TC72" s="1470"/>
      <c r="TD72" s="424"/>
      <c r="TE72" s="424"/>
      <c r="TF72" s="424"/>
      <c r="TG72" s="424"/>
      <c r="TH72" s="424"/>
      <c r="TI72" s="424"/>
      <c r="TJ72" s="424"/>
      <c r="TK72" s="424"/>
      <c r="TL72" s="424"/>
      <c r="TM72" s="424"/>
      <c r="TN72" s="424"/>
      <c r="TO72" s="424"/>
      <c r="TP72" s="424"/>
      <c r="TQ72" s="424"/>
      <c r="TR72" s="424"/>
      <c r="TS72" s="424"/>
      <c r="TT72" s="424"/>
      <c r="TU72" s="424"/>
      <c r="TV72" s="424"/>
      <c r="TW72" s="424"/>
      <c r="TY72" s="20"/>
      <c r="TZ72" s="20"/>
      <c r="UA72" s="611"/>
      <c r="UB72" s="611"/>
      <c r="UC72" s="611"/>
      <c r="UD72" s="1515"/>
      <c r="UE72" s="1515"/>
      <c r="UF72" s="1515"/>
      <c r="UG72" s="1515"/>
      <c r="UH72" s="1515"/>
      <c r="UI72" s="1515"/>
      <c r="UJ72" s="1515"/>
      <c r="UK72" s="1515"/>
      <c r="UL72" s="1515"/>
      <c r="UM72" s="1515"/>
      <c r="UN72" s="1515"/>
      <c r="UO72" s="1515"/>
    </row>
    <row r="73" spans="1:576" x14ac:dyDescent="0.25">
      <c r="A73" s="22">
        <f>ROW()</f>
        <v>73</v>
      </c>
      <c r="B73" s="1" t="s">
        <v>870</v>
      </c>
      <c r="S73" s="22">
        <f>ROW()</f>
        <v>73</v>
      </c>
      <c r="T73" s="43" t="s">
        <v>97</v>
      </c>
      <c r="U73" s="43"/>
      <c r="V73" s="49">
        <f>V36</f>
        <v>2072558.6235161237</v>
      </c>
      <c r="W73" s="49">
        <f>W36</f>
        <v>-2072558.6235161237</v>
      </c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L73" s="776"/>
      <c r="AM73" s="776"/>
      <c r="AN73" s="776"/>
      <c r="AO73" s="776"/>
      <c r="AP73" s="776"/>
      <c r="AQ73" s="1514">
        <f t="shared" si="150"/>
        <v>0</v>
      </c>
      <c r="AR73" s="1514">
        <f t="shared" si="150"/>
        <v>0</v>
      </c>
      <c r="AS73" s="1514"/>
      <c r="AT73" s="1514"/>
      <c r="AU73" s="1514"/>
      <c r="AV73" s="1514"/>
      <c r="AW73" s="1514"/>
      <c r="AX73" s="1514"/>
      <c r="AY73" s="18"/>
      <c r="AZ73" s="18"/>
      <c r="BA73" s="18"/>
      <c r="BB73" s="18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V73"/>
      <c r="BW73"/>
      <c r="BX73"/>
      <c r="BY73"/>
      <c r="BZ73"/>
      <c r="CA73"/>
      <c r="CB73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IS73"/>
      <c r="IT73"/>
      <c r="IU73"/>
      <c r="IV73"/>
      <c r="IW73"/>
      <c r="IX73"/>
      <c r="IY73"/>
      <c r="IZ73"/>
      <c r="JK73"/>
      <c r="JL73"/>
      <c r="JM73"/>
      <c r="JN73"/>
      <c r="JO73"/>
      <c r="JP73"/>
      <c r="JQ73"/>
      <c r="JR73"/>
      <c r="JS73"/>
      <c r="JT73"/>
      <c r="JU73"/>
      <c r="JV73"/>
      <c r="JW73"/>
      <c r="NP73" s="88"/>
      <c r="OW73"/>
      <c r="OX73"/>
      <c r="OY73"/>
      <c r="OZ73" s="4"/>
      <c r="PA73" s="1203"/>
      <c r="PB73" s="1438"/>
      <c r="PC73" s="1438"/>
      <c r="PD73" s="1438"/>
      <c r="PE73" s="1438"/>
      <c r="PF73" s="1451"/>
      <c r="PG73" s="1451"/>
      <c r="PH73" s="1451"/>
      <c r="PI73" s="1442"/>
      <c r="PJ73" s="1442"/>
      <c r="PK73" s="1442"/>
      <c r="PL73" s="1442"/>
      <c r="PM73"/>
      <c r="PN73"/>
      <c r="PO73"/>
      <c r="PP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J73" s="424"/>
      <c r="QK73" s="424"/>
      <c r="QL73" s="424"/>
      <c r="QM73" s="424"/>
      <c r="QN73" s="424"/>
      <c r="QO73" s="424"/>
      <c r="QP73" s="424"/>
      <c r="QQ73" s="424"/>
      <c r="QR73" s="424"/>
      <c r="QS73" s="424"/>
      <c r="QT73" s="424"/>
      <c r="QU73" s="424"/>
      <c r="QV73" s="424"/>
      <c r="QW73" s="424"/>
      <c r="QX73" s="424"/>
      <c r="QY73" s="424"/>
      <c r="QZ73" s="424"/>
      <c r="RA73" s="424"/>
      <c r="RT73" s="424"/>
      <c r="RU73" s="424"/>
      <c r="RV73" s="424"/>
      <c r="RW73" s="424"/>
      <c r="RX73" s="424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82">
        <f>ROW()</f>
        <v>73</v>
      </c>
      <c r="SM73" s="616" t="s">
        <v>863</v>
      </c>
      <c r="SN73" s="1484"/>
      <c r="SO73" s="693"/>
      <c r="SP73" s="693"/>
      <c r="SQ73" s="693"/>
      <c r="SR73" s="693">
        <v>192073.8841</v>
      </c>
      <c r="SS73" s="1469">
        <f>SR73</f>
        <v>192073.8841</v>
      </c>
      <c r="ST73" s="1469">
        <v>3522674.4220850002</v>
      </c>
      <c r="SU73" s="1469">
        <f>ST73+SS73</f>
        <v>3714748.3061850001</v>
      </c>
      <c r="SV73" s="1469">
        <v>4675711.5133500006</v>
      </c>
      <c r="SW73" s="1469">
        <f>SV73+SU73</f>
        <v>8390459.8195350002</v>
      </c>
      <c r="SX73" s="1469">
        <v>4887204.4564349987</v>
      </c>
      <c r="SY73" s="1469">
        <f>SX73+SW73</f>
        <v>13277664.275969999</v>
      </c>
      <c r="SZ73" s="1469"/>
      <c r="TA73" s="1469"/>
      <c r="TB73" s="1468"/>
      <c r="TC73" s="1468"/>
      <c r="TD73" s="424"/>
      <c r="TE73" s="424"/>
      <c r="TF73" s="424"/>
      <c r="TG73" s="424"/>
      <c r="TH73" s="424"/>
      <c r="TI73" s="424"/>
      <c r="TJ73" s="424"/>
      <c r="TK73" s="424"/>
      <c r="TL73" s="424"/>
      <c r="TM73" s="424"/>
      <c r="TN73" s="424"/>
      <c r="TO73" s="424"/>
      <c r="TP73" s="424"/>
      <c r="TQ73" s="424"/>
      <c r="TR73" s="424"/>
      <c r="TS73" s="424"/>
      <c r="TT73" s="424"/>
      <c r="TU73" s="424"/>
      <c r="TV73" s="424"/>
      <c r="TW73" s="424"/>
      <c r="TY73" s="20"/>
      <c r="TZ73" s="20"/>
      <c r="UA73" s="78"/>
      <c r="UB73" s="78"/>
      <c r="UC73" s="78"/>
      <c r="UD73" s="1499"/>
      <c r="UE73" s="1499"/>
      <c r="UF73" s="1499"/>
      <c r="UG73" s="1499"/>
      <c r="UH73" s="1499"/>
      <c r="UI73" s="1499"/>
      <c r="UJ73" s="1499"/>
      <c r="UK73" s="1499"/>
      <c r="UL73" s="1499"/>
      <c r="UM73" s="1499"/>
      <c r="UN73" s="1499"/>
      <c r="UO73" s="1499"/>
    </row>
    <row r="74" spans="1:576" x14ac:dyDescent="0.25">
      <c r="A74" s="22">
        <f>ROW()</f>
        <v>74</v>
      </c>
      <c r="B74" s="1" t="s">
        <v>869</v>
      </c>
      <c r="S74" s="22">
        <f>ROW()</f>
        <v>74</v>
      </c>
      <c r="T74" s="43" t="s">
        <v>98</v>
      </c>
      <c r="U74" s="43"/>
      <c r="V74" s="49">
        <f>SUM(V42,V57,V52,V51,V56)</f>
        <v>2874088.03</v>
      </c>
      <c r="W74" s="49">
        <f>SUM(W42,W57,W52,W51,W56)</f>
        <v>-2874088.03</v>
      </c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L74" s="842"/>
      <c r="AM74" s="1191"/>
      <c r="AN74" s="619"/>
      <c r="AO74" s="619"/>
      <c r="AP74" s="619"/>
      <c r="AQ74" s="1512">
        <f t="shared" si="150"/>
        <v>-1.4551915228366852E-11</v>
      </c>
      <c r="AR74" s="1512">
        <f t="shared" si="150"/>
        <v>5.8207660913467407E-11</v>
      </c>
      <c r="AS74" s="1512"/>
      <c r="AT74" s="1512"/>
      <c r="AU74" s="1512"/>
      <c r="AV74" s="1512"/>
      <c r="AW74" s="1512"/>
      <c r="AX74" s="1512"/>
      <c r="AY74" s="18"/>
      <c r="AZ74" s="18"/>
      <c r="BA74" s="18"/>
      <c r="BB74" s="18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V74"/>
      <c r="BW74"/>
      <c r="BX74"/>
      <c r="BY74"/>
      <c r="BZ74"/>
      <c r="CA74"/>
      <c r="CB74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IS74"/>
      <c r="IT74"/>
      <c r="IU74"/>
      <c r="IV74"/>
      <c r="IW74"/>
      <c r="IX74"/>
      <c r="IY74"/>
      <c r="IZ74"/>
      <c r="JK74"/>
      <c r="JL74"/>
      <c r="JM74"/>
      <c r="JN74"/>
      <c r="JO74"/>
      <c r="JP74"/>
      <c r="JQ74"/>
      <c r="JR74"/>
      <c r="JS74"/>
      <c r="JT74"/>
      <c r="JU74"/>
      <c r="JV74"/>
      <c r="JW74"/>
      <c r="NP74" s="88"/>
      <c r="OW74"/>
      <c r="OX74"/>
      <c r="OY74"/>
      <c r="OZ74" s="4"/>
      <c r="PA74" s="1203"/>
      <c r="PB74" s="1438"/>
      <c r="PC74" s="1438"/>
      <c r="PD74" s="1438"/>
      <c r="PE74" s="1438"/>
      <c r="PF74" s="1451"/>
      <c r="PG74" s="1451"/>
      <c r="PH74" s="1451"/>
      <c r="PI74" s="1442"/>
      <c r="PJ74" s="1442"/>
      <c r="PK74" s="1442"/>
      <c r="PL74" s="1442"/>
      <c r="PM74"/>
      <c r="PN74"/>
      <c r="PO74"/>
      <c r="PP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J74" s="424"/>
      <c r="QK74" s="424"/>
      <c r="QL74" s="424"/>
      <c r="QM74" s="424"/>
      <c r="QN74" s="424"/>
      <c r="QO74" s="424"/>
      <c r="QP74" s="424"/>
      <c r="QQ74" s="424"/>
      <c r="QR74" s="424"/>
      <c r="QS74" s="424"/>
      <c r="QT74" s="424"/>
      <c r="QU74" s="424"/>
      <c r="QV74" s="424"/>
      <c r="QW74" s="424"/>
      <c r="QX74" s="424"/>
      <c r="QY74" s="424"/>
      <c r="QZ74" s="424"/>
      <c r="RA74" s="424"/>
      <c r="RT74" s="424"/>
      <c r="RU74" s="424"/>
      <c r="RV74" s="424"/>
      <c r="RW74" s="424"/>
      <c r="RX74" s="424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82">
        <f>ROW()</f>
        <v>74</v>
      </c>
      <c r="SM74" s="616" t="s">
        <v>280</v>
      </c>
      <c r="SN74" s="1484"/>
      <c r="SO74" s="1471"/>
      <c r="SP74" s="1471"/>
      <c r="SQ74" s="1471"/>
      <c r="SR74" s="1471">
        <f t="shared" ref="SR74:SY74" si="152">SUM(SR70:SR73)</f>
        <v>380510.80976999993</v>
      </c>
      <c r="SS74" s="1471">
        <f t="shared" si="152"/>
        <v>380510.80976999993</v>
      </c>
      <c r="ST74" s="1471">
        <f t="shared" si="152"/>
        <v>6099292.3927650005</v>
      </c>
      <c r="SU74" s="1471">
        <f t="shared" si="152"/>
        <v>6479803.2025349997</v>
      </c>
      <c r="SV74" s="1471">
        <f t="shared" si="152"/>
        <v>9179546.1220100001</v>
      </c>
      <c r="SW74" s="1471">
        <f t="shared" si="152"/>
        <v>15659349.324545</v>
      </c>
      <c r="SX74" s="1471">
        <f t="shared" si="152"/>
        <v>8345631.2533849999</v>
      </c>
      <c r="SY74" s="1471">
        <f t="shared" si="152"/>
        <v>24004980.57793</v>
      </c>
      <c r="SZ74" s="1471"/>
      <c r="TA74" s="1471"/>
      <c r="TB74" s="1470"/>
      <c r="TC74" s="1470"/>
      <c r="TD74" s="424"/>
      <c r="TE74" s="424"/>
      <c r="TF74" s="424"/>
      <c r="TG74" s="424"/>
      <c r="TH74" s="424"/>
      <c r="TI74" s="424"/>
      <c r="TJ74" s="424"/>
      <c r="TK74" s="424"/>
      <c r="TL74" s="424"/>
      <c r="TM74" s="424"/>
      <c r="TN74" s="424"/>
      <c r="TO74" s="424"/>
      <c r="TP74" s="424"/>
      <c r="TQ74" s="424"/>
      <c r="TR74" s="424"/>
      <c r="TS74" s="424"/>
      <c r="TT74" s="424"/>
      <c r="TU74" s="424"/>
      <c r="TV74" s="424"/>
      <c r="TW74" s="424"/>
      <c r="TY74" s="942"/>
      <c r="TZ74" s="20"/>
      <c r="UA74" s="573"/>
      <c r="UB74" s="573"/>
      <c r="UC74" s="20"/>
      <c r="UD74" s="86"/>
      <c r="UE74" s="86"/>
      <c r="UF74" s="86"/>
      <c r="UG74" s="86"/>
      <c r="UH74" s="86"/>
      <c r="UI74" s="86"/>
      <c r="UJ74" s="86"/>
      <c r="UK74" s="86"/>
      <c r="UL74" s="86"/>
      <c r="UM74" s="86"/>
      <c r="UN74" s="86"/>
      <c r="UO74" s="86"/>
    </row>
    <row r="75" spans="1:576" x14ac:dyDescent="0.25">
      <c r="A75" s="22">
        <f>ROW()</f>
        <v>75</v>
      </c>
      <c r="B75" s="1" t="s">
        <v>868</v>
      </c>
      <c r="C75" s="932"/>
      <c r="D75" s="932"/>
      <c r="E75" s="932"/>
      <c r="F75" s="932"/>
      <c r="G75" s="932"/>
      <c r="H75" s="932"/>
      <c r="I75" s="932"/>
      <c r="J75" s="932"/>
      <c r="K75" s="932"/>
      <c r="L75" s="932"/>
      <c r="M75" s="932"/>
      <c r="N75" s="932"/>
      <c r="O75" s="932"/>
      <c r="P75" s="932"/>
      <c r="Q75" s="932"/>
      <c r="R75" s="932"/>
      <c r="S75" s="22">
        <f>ROW()</f>
        <v>75</v>
      </c>
      <c r="T75" s="43" t="s">
        <v>99</v>
      </c>
      <c r="U75" s="43"/>
      <c r="V75" s="49">
        <f>V43</f>
        <v>22395680.359999999</v>
      </c>
      <c r="W75" s="49">
        <f>W43</f>
        <v>-22395680.359999999</v>
      </c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L75" s="842"/>
      <c r="AM75" s="1191"/>
      <c r="AN75" s="619"/>
      <c r="AO75" s="619"/>
      <c r="AP75" s="619"/>
      <c r="AQ75" s="1512">
        <f t="shared" si="150"/>
        <v>0</v>
      </c>
      <c r="AR75" s="1512">
        <f t="shared" si="150"/>
        <v>0</v>
      </c>
      <c r="AS75" s="1512"/>
      <c r="AT75" s="1512"/>
      <c r="AU75" s="1512"/>
      <c r="AV75" s="1512"/>
      <c r="AW75" s="1512"/>
      <c r="AX75" s="1512"/>
      <c r="AY75" s="18"/>
      <c r="AZ75" s="18"/>
      <c r="BA75" s="18"/>
      <c r="BB75" s="18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V75"/>
      <c r="BW75"/>
      <c r="BX75"/>
      <c r="BY75"/>
      <c r="BZ75"/>
      <c r="CA75"/>
      <c r="CB75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IS75"/>
      <c r="IT75"/>
      <c r="IU75"/>
      <c r="IV75"/>
      <c r="IW75"/>
      <c r="IX75"/>
      <c r="IY75"/>
      <c r="IZ75"/>
      <c r="JK75"/>
      <c r="JL75"/>
      <c r="JM75"/>
      <c r="JN75"/>
      <c r="JO75"/>
      <c r="JP75"/>
      <c r="JQ75"/>
      <c r="JR75"/>
      <c r="JS75"/>
      <c r="JT75"/>
      <c r="JU75"/>
      <c r="JV75"/>
      <c r="JW75"/>
      <c r="NP75" s="88"/>
      <c r="OW75"/>
      <c r="OX75"/>
      <c r="OY75"/>
      <c r="OZ75" s="4"/>
      <c r="PA75" s="4"/>
      <c r="PB75" s="1438"/>
      <c r="PC75" s="1438"/>
      <c r="PD75" s="1438"/>
      <c r="PE75" s="1438"/>
      <c r="PF75" s="1451"/>
      <c r="PG75" s="1451"/>
      <c r="PH75" s="1451"/>
      <c r="PI75" s="1442"/>
      <c r="PJ75" s="1442"/>
      <c r="PK75" s="1442"/>
      <c r="PL75" s="1442"/>
      <c r="PM75"/>
      <c r="PN75"/>
      <c r="PO75"/>
      <c r="PP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J75" s="424"/>
      <c r="QK75" s="424"/>
      <c r="QL75" s="424"/>
      <c r="QM75" s="424"/>
      <c r="QN75" s="424"/>
      <c r="QO75" s="424"/>
      <c r="QP75" s="424"/>
      <c r="QQ75" s="424"/>
      <c r="QR75" s="424"/>
      <c r="QS75" s="424"/>
      <c r="QT75" s="424"/>
      <c r="QU75" s="424"/>
      <c r="QV75" s="424"/>
      <c r="QW75" s="424"/>
      <c r="QX75" s="424"/>
      <c r="QY75" s="424"/>
      <c r="QZ75" s="424"/>
      <c r="RA75" s="424"/>
      <c r="RT75" s="424"/>
      <c r="RU75" s="424"/>
      <c r="RV75" s="424"/>
      <c r="RW75" s="424"/>
      <c r="RX75" s="424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82">
        <f>ROW()</f>
        <v>75</v>
      </c>
      <c r="SM75" s="616"/>
      <c r="SN75" s="1484"/>
      <c r="SO75" s="1471"/>
      <c r="SP75" s="1471"/>
      <c r="SQ75" s="1471"/>
      <c r="SR75" s="1471"/>
      <c r="SS75" s="1471"/>
      <c r="ST75" s="1471"/>
      <c r="SU75" s="1471"/>
      <c r="SV75" s="1471"/>
      <c r="SW75" s="1471"/>
      <c r="SX75" s="1471"/>
      <c r="SY75" s="1471"/>
      <c r="SZ75" s="1471"/>
      <c r="TA75" s="1471"/>
      <c r="TB75" s="1513"/>
      <c r="TC75" s="1513"/>
      <c r="TD75" s="424"/>
      <c r="TE75" s="424"/>
      <c r="TF75" s="424"/>
      <c r="TG75" s="424"/>
      <c r="TH75" s="424"/>
      <c r="TI75" s="424"/>
      <c r="TJ75" s="424"/>
      <c r="TK75" s="424"/>
      <c r="TL75" s="424"/>
      <c r="TM75" s="424"/>
      <c r="TN75" s="424"/>
      <c r="TO75" s="424"/>
      <c r="TP75" s="424"/>
      <c r="TQ75" s="424"/>
      <c r="TR75" s="424"/>
      <c r="TS75" s="424"/>
      <c r="TT75" s="424"/>
      <c r="TU75" s="424"/>
      <c r="TV75" s="424"/>
      <c r="TW75" s="424"/>
      <c r="TY75" s="689"/>
      <c r="TZ75" s="20"/>
      <c r="UA75" s="573"/>
      <c r="UB75" s="573"/>
      <c r="UC75" s="20"/>
      <c r="UD75" s="86"/>
      <c r="UE75" s="86"/>
      <c r="UF75" s="86"/>
      <c r="UG75" s="86"/>
      <c r="UH75" s="86"/>
      <c r="UI75" s="86"/>
      <c r="UJ75" s="86"/>
      <c r="UK75" s="86"/>
      <c r="UL75" s="86"/>
      <c r="UM75" s="86"/>
      <c r="UN75" s="86"/>
      <c r="UO75" s="86"/>
    </row>
    <row r="76" spans="1:576" x14ac:dyDescent="0.25">
      <c r="S76" s="22">
        <f>ROW()</f>
        <v>76</v>
      </c>
      <c r="T76" s="43" t="s">
        <v>100</v>
      </c>
      <c r="U76" s="43"/>
      <c r="V76" s="750">
        <f>SUM(V37,V54,V59)</f>
        <v>3609862.5113250152</v>
      </c>
      <c r="W76" s="750">
        <f>SUM(W37,W54,W59)</f>
        <v>-3609862.5113250152</v>
      </c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L76" s="842"/>
      <c r="AM76" s="1191"/>
      <c r="AN76" s="619"/>
      <c r="AO76" s="619"/>
      <c r="AP76" s="619"/>
      <c r="AQ76" s="1512">
        <f t="shared" si="150"/>
        <v>-1.1641532182693481E-10</v>
      </c>
      <c r="AR76" s="1512">
        <f t="shared" si="150"/>
        <v>4.6566128730773926E-10</v>
      </c>
      <c r="AS76" s="1512"/>
      <c r="AT76" s="1512"/>
      <c r="AU76" s="1512"/>
      <c r="AV76" s="1512"/>
      <c r="AW76" s="1512"/>
      <c r="AX76" s="1512"/>
      <c r="AY76" s="18"/>
      <c r="AZ76" s="18"/>
      <c r="BA76" s="18"/>
      <c r="BB76" s="18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V76"/>
      <c r="BW76"/>
      <c r="BX76"/>
      <c r="BY76"/>
      <c r="BZ76"/>
      <c r="CA76"/>
      <c r="CB76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IS76"/>
      <c r="IT76"/>
      <c r="IU76"/>
      <c r="IV76"/>
      <c r="IW76"/>
      <c r="IX76"/>
      <c r="IY76"/>
      <c r="IZ76"/>
      <c r="JK76"/>
      <c r="JL76"/>
      <c r="JM76"/>
      <c r="JN76"/>
      <c r="JO76"/>
      <c r="JP76"/>
      <c r="JQ76"/>
      <c r="JR76"/>
      <c r="JS76"/>
      <c r="JT76"/>
      <c r="JU76"/>
      <c r="JV76"/>
      <c r="JW76"/>
      <c r="NP76" s="88"/>
      <c r="OW76"/>
      <c r="OX76"/>
      <c r="OY76"/>
      <c r="OZ76" s="1205"/>
      <c r="PA76" s="1205"/>
      <c r="PB76" s="846"/>
      <c r="PC76" s="846"/>
      <c r="PD76" s="846"/>
      <c r="PE76" s="846"/>
      <c r="PF76" s="846"/>
      <c r="PG76" s="846"/>
      <c r="PH76" s="846"/>
      <c r="PI76" s="846"/>
      <c r="PJ76" s="846"/>
      <c r="PK76" s="846"/>
      <c r="PL76" s="846"/>
      <c r="PM76"/>
      <c r="PN76"/>
      <c r="PO76"/>
      <c r="PP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J76" s="424"/>
      <c r="QK76" s="424"/>
      <c r="QL76" s="424"/>
      <c r="QM76" s="424"/>
      <c r="QN76" s="424"/>
      <c r="QO76" s="424"/>
      <c r="QP76" s="424"/>
      <c r="QQ76" s="424"/>
      <c r="QR76" s="424"/>
      <c r="QS76" s="424"/>
      <c r="QT76" s="424"/>
      <c r="QU76" s="424"/>
      <c r="QV76" s="424"/>
      <c r="QW76" s="424"/>
      <c r="QX76" s="424"/>
      <c r="QY76" s="424"/>
      <c r="QZ76" s="424"/>
      <c r="RA76" s="424"/>
      <c r="RT76" s="424"/>
      <c r="RU76" s="424"/>
      <c r="RV76" s="424"/>
      <c r="RW76" s="424"/>
      <c r="RX76" s="424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82">
        <f>ROW()</f>
        <v>76</v>
      </c>
      <c r="SM76" s="616" t="s">
        <v>258</v>
      </c>
      <c r="SN76" s="1484"/>
      <c r="SO76" s="1471"/>
      <c r="SP76" s="1471"/>
      <c r="SQ76" s="1471"/>
      <c r="SR76" s="1471">
        <f t="shared" ref="SR76:SY76" si="153">SR74</f>
        <v>380510.80976999993</v>
      </c>
      <c r="SS76" s="1471">
        <f t="shared" si="153"/>
        <v>380510.80976999993</v>
      </c>
      <c r="ST76" s="1471">
        <f t="shared" si="153"/>
        <v>6099292.3927650005</v>
      </c>
      <c r="SU76" s="1471">
        <f t="shared" si="153"/>
        <v>6479803.2025349997</v>
      </c>
      <c r="SV76" s="1471">
        <f t="shared" si="153"/>
        <v>9179546.1220100001</v>
      </c>
      <c r="SW76" s="1471">
        <f t="shared" si="153"/>
        <v>15659349.324545</v>
      </c>
      <c r="SX76" s="1471">
        <f t="shared" si="153"/>
        <v>8345631.2533849999</v>
      </c>
      <c r="SY76" s="1471">
        <f t="shared" si="153"/>
        <v>24004980.57793</v>
      </c>
      <c r="SZ76" s="1471"/>
      <c r="TA76" s="1471"/>
      <c r="TB76" s="1470"/>
      <c r="TC76" s="1470"/>
      <c r="TD76" s="424"/>
      <c r="TE76" s="424"/>
      <c r="TF76" s="424"/>
      <c r="TG76" s="424"/>
      <c r="TH76" s="424"/>
      <c r="TI76" s="424"/>
      <c r="TJ76" s="424"/>
      <c r="TK76" s="424"/>
      <c r="TL76" s="424"/>
      <c r="TM76" s="424"/>
      <c r="TN76" s="424"/>
      <c r="TO76" s="424"/>
      <c r="TP76" s="424"/>
      <c r="TQ76" s="424"/>
      <c r="TR76" s="424"/>
      <c r="TS76" s="424"/>
      <c r="TT76" s="424"/>
      <c r="TU76" s="424"/>
      <c r="TV76" s="424"/>
      <c r="TW76" s="424"/>
      <c r="TY76" s="679"/>
      <c r="TZ76" s="1175"/>
      <c r="UA76" s="78"/>
      <c r="UB76" s="78"/>
      <c r="UC76" s="20"/>
      <c r="UD76" s="86"/>
      <c r="UE76" s="86"/>
      <c r="UF76" s="86"/>
      <c r="UG76" s="86"/>
      <c r="UH76" s="86"/>
      <c r="UI76" s="86"/>
      <c r="UJ76" s="86"/>
      <c r="UK76" s="86"/>
      <c r="UL76" s="86"/>
      <c r="UM76" s="86"/>
      <c r="UN76" s="86"/>
      <c r="UO76" s="86"/>
    </row>
    <row r="77" spans="1:576" x14ac:dyDescent="0.25">
      <c r="A77" s="65" t="s">
        <v>30</v>
      </c>
      <c r="B77" s="523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S77" s="22">
        <f>ROW()</f>
        <v>77</v>
      </c>
      <c r="T77" s="43" t="s">
        <v>105</v>
      </c>
      <c r="U77" s="43"/>
      <c r="V77" s="49">
        <f>SUM(V38,V44,V53,V58,V60)</f>
        <v>107544614.3024285</v>
      </c>
      <c r="W77" s="49">
        <f>SUM(W38,W44,W53,W58,W60)</f>
        <v>-107544614.3024285</v>
      </c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L77" s="881"/>
      <c r="AM77" s="1191"/>
      <c r="AN77" s="619"/>
      <c r="AO77" s="619"/>
      <c r="AP77" s="619"/>
      <c r="AQ77" s="1511">
        <f t="shared" si="150"/>
        <v>-2.3283064365386963E-10</v>
      </c>
      <c r="AR77" s="1511">
        <f t="shared" si="150"/>
        <v>4.6566128730773926E-10</v>
      </c>
      <c r="AS77" s="1511"/>
      <c r="AT77" s="1511"/>
      <c r="AU77" s="1511"/>
      <c r="AV77" s="1511"/>
      <c r="AW77" s="1511"/>
      <c r="AX77" s="1511"/>
      <c r="AY77" s="18"/>
      <c r="AZ77" s="18"/>
      <c r="BA77" s="18"/>
      <c r="BB77" s="18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V77"/>
      <c r="BW77"/>
      <c r="BX77"/>
      <c r="BY77"/>
      <c r="BZ77"/>
      <c r="CA77"/>
      <c r="CB77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IS77"/>
      <c r="IT77"/>
      <c r="IU77"/>
      <c r="IV77"/>
      <c r="IW77"/>
      <c r="IX77"/>
      <c r="IY77"/>
      <c r="IZ77"/>
      <c r="JK77"/>
      <c r="JL77"/>
      <c r="JM77"/>
      <c r="JN77"/>
      <c r="JO77"/>
      <c r="JP77"/>
      <c r="JQ77"/>
      <c r="JR77"/>
      <c r="JS77"/>
      <c r="JT77"/>
      <c r="JU77"/>
      <c r="JV77"/>
      <c r="JW77"/>
      <c r="NP77" s="88"/>
      <c r="OW77"/>
      <c r="OX77"/>
      <c r="OY77"/>
      <c r="OZ77" s="1454"/>
      <c r="PA77" s="1454"/>
      <c r="PB77" s="1464"/>
      <c r="PC77" s="1464"/>
      <c r="PD77" s="1464"/>
      <c r="PE77" s="1464"/>
      <c r="PF77" s="1464"/>
      <c r="PG77" s="1464"/>
      <c r="PH77" s="1464"/>
      <c r="PI77" s="1464"/>
      <c r="PJ77" s="1464"/>
      <c r="PK77" s="1464"/>
      <c r="PL77" s="1464"/>
      <c r="PM77"/>
      <c r="PN77"/>
      <c r="PO77"/>
      <c r="PP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J77" s="424"/>
      <c r="QK77" s="424"/>
      <c r="QL77" s="424"/>
      <c r="QM77" s="424"/>
      <c r="QN77" s="424"/>
      <c r="QO77" s="424"/>
      <c r="QP77" s="424"/>
      <c r="QQ77" s="424"/>
      <c r="QR77" s="424"/>
      <c r="QS77" s="424"/>
      <c r="QT77" s="424"/>
      <c r="QU77" s="424"/>
      <c r="QV77" s="424"/>
      <c r="QW77" s="424"/>
      <c r="QX77" s="424"/>
      <c r="QY77" s="424"/>
      <c r="QZ77" s="424"/>
      <c r="RA77" s="424"/>
      <c r="RT77" s="424"/>
      <c r="RU77" s="424"/>
      <c r="RV77" s="424"/>
      <c r="RW77" s="424"/>
      <c r="RX77" s="424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82">
        <f>ROW()</f>
        <v>77</v>
      </c>
      <c r="SM77" s="616"/>
      <c r="SN77" s="1484"/>
      <c r="SO77" s="1490"/>
      <c r="SP77" s="1490"/>
      <c r="SQ77" s="1490"/>
      <c r="SR77" s="1490"/>
      <c r="SS77" s="1490"/>
      <c r="ST77" s="1490"/>
      <c r="SU77" s="1490"/>
      <c r="SV77" s="1490"/>
      <c r="SW77" s="1490"/>
      <c r="SX77" s="1490"/>
      <c r="SY77" s="1490"/>
      <c r="SZ77" s="1490"/>
      <c r="TA77" s="1490"/>
      <c r="TB77" s="1489"/>
      <c r="TC77" s="1489"/>
      <c r="TD77" s="424"/>
      <c r="TE77" s="424"/>
      <c r="TF77" s="424"/>
      <c r="TG77" s="424"/>
      <c r="TH77" s="424"/>
      <c r="TI77" s="424"/>
      <c r="TJ77" s="424"/>
      <c r="TK77" s="424"/>
      <c r="TL77" s="424"/>
      <c r="TM77" s="424"/>
      <c r="TN77" s="424"/>
      <c r="TO77" s="424"/>
      <c r="TP77" s="424"/>
      <c r="TQ77" s="424"/>
      <c r="TR77" s="424"/>
      <c r="TS77" s="424"/>
      <c r="TT77" s="424"/>
      <c r="TU77" s="424"/>
      <c r="TV77" s="424"/>
      <c r="TW77" s="424"/>
      <c r="TY77" s="679"/>
      <c r="TZ77" s="1175"/>
      <c r="UA77" s="78"/>
      <c r="UB77" s="78"/>
      <c r="UC77" s="20"/>
      <c r="UD77" s="86"/>
      <c r="UE77" s="86"/>
      <c r="UF77" s="86"/>
      <c r="UG77" s="86"/>
      <c r="UH77" s="86"/>
      <c r="UI77" s="86"/>
      <c r="UJ77" s="86"/>
      <c r="UK77" s="86"/>
      <c r="UL77" s="86"/>
      <c r="UM77" s="86"/>
      <c r="UN77" s="86"/>
      <c r="UO77" s="86"/>
    </row>
    <row r="78" spans="1:576" x14ac:dyDescent="0.25">
      <c r="B78" s="139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S78" s="22">
        <f>ROW()</f>
        <v>78</v>
      </c>
      <c r="T78" s="43" t="s">
        <v>106</v>
      </c>
      <c r="U78" s="43"/>
      <c r="V78" s="750">
        <f>V64</f>
        <v>-704633.33155999298</v>
      </c>
      <c r="W78" s="750">
        <f>W64</f>
        <v>704633.33155999298</v>
      </c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L78" s="881"/>
      <c r="AM78" s="1191"/>
      <c r="AN78" s="619"/>
      <c r="AO78" s="619"/>
      <c r="AP78" s="619"/>
      <c r="AQ78" s="1511">
        <f t="shared" si="150"/>
        <v>0</v>
      </c>
      <c r="AR78" s="1511">
        <f t="shared" si="150"/>
        <v>0</v>
      </c>
      <c r="AS78" s="1511"/>
      <c r="AT78" s="1511"/>
      <c r="AU78" s="1511"/>
      <c r="AV78" s="1511"/>
      <c r="AW78" s="1511"/>
      <c r="AX78" s="1511"/>
      <c r="AY78" s="18"/>
      <c r="AZ78" s="18"/>
      <c r="BA78" s="18"/>
      <c r="BB78" s="1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V78"/>
      <c r="BW78"/>
      <c r="BX78"/>
      <c r="BY78"/>
      <c r="BZ78"/>
      <c r="CA78"/>
      <c r="CB78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IS78"/>
      <c r="IT78"/>
      <c r="IU78"/>
      <c r="IV78"/>
      <c r="IW78"/>
      <c r="IX78"/>
      <c r="IY78"/>
      <c r="IZ78"/>
      <c r="JK78"/>
      <c r="JL78"/>
      <c r="JM78"/>
      <c r="JN78"/>
      <c r="JO78"/>
      <c r="JP78"/>
      <c r="JQ78"/>
      <c r="JR78"/>
      <c r="JS78"/>
      <c r="JT78"/>
      <c r="JU78"/>
      <c r="JV78"/>
      <c r="JW78"/>
      <c r="NP78" s="88"/>
      <c r="OW78"/>
      <c r="OX78"/>
      <c r="OY78"/>
      <c r="OZ78" s="1449"/>
      <c r="PA78" s="1463"/>
      <c r="PB78" s="63"/>
      <c r="PC78" s="624"/>
      <c r="PD78" s="63"/>
      <c r="PE78" s="63"/>
      <c r="PF78" s="1451"/>
      <c r="PG78" s="63"/>
      <c r="PH78" s="1451"/>
      <c r="PI78" s="63"/>
      <c r="PJ78" s="1442"/>
      <c r="PK78" s="63"/>
      <c r="PL78" s="1442"/>
      <c r="PM78"/>
      <c r="PN78"/>
      <c r="PO78"/>
      <c r="PP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J78" s="424"/>
      <c r="QK78" s="424"/>
      <c r="QL78" s="424"/>
      <c r="QM78" s="424"/>
      <c r="QN78" s="424"/>
      <c r="QO78" s="424"/>
      <c r="QP78" s="424"/>
      <c r="QQ78" s="424"/>
      <c r="QR78" s="424"/>
      <c r="QS78" s="424"/>
      <c r="QT78" s="424"/>
      <c r="QU78" s="424"/>
      <c r="QV78" s="424"/>
      <c r="QW78" s="424"/>
      <c r="QX78" s="424"/>
      <c r="QY78" s="424"/>
      <c r="QZ78" s="424"/>
      <c r="RA78" s="424"/>
      <c r="RT78" s="424"/>
      <c r="RU78" s="424"/>
      <c r="RV78" s="424"/>
      <c r="RW78" s="424"/>
      <c r="RX78" s="424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82">
        <f>ROW()</f>
        <v>78</v>
      </c>
      <c r="SM78" s="616" t="s">
        <v>259</v>
      </c>
      <c r="SN78" s="1484">
        <v>0.21</v>
      </c>
      <c r="SO78" s="1469"/>
      <c r="SP78" s="1469"/>
      <c r="SQ78" s="1469"/>
      <c r="SR78" s="1469">
        <f t="shared" ref="SR78:SY78" si="154">SR76*-$SN$78</f>
        <v>-79907.27005169999</v>
      </c>
      <c r="SS78" s="1469">
        <f t="shared" si="154"/>
        <v>-79907.27005169999</v>
      </c>
      <c r="ST78" s="1469">
        <f t="shared" si="154"/>
        <v>-1280851.40248065</v>
      </c>
      <c r="SU78" s="1469">
        <f t="shared" si="154"/>
        <v>-1360758.6725323498</v>
      </c>
      <c r="SV78" s="1469">
        <f t="shared" si="154"/>
        <v>-1927704.6856221</v>
      </c>
      <c r="SW78" s="1469">
        <f t="shared" si="154"/>
        <v>-3288463.3581544496</v>
      </c>
      <c r="SX78" s="1469">
        <f t="shared" si="154"/>
        <v>-1752582.5632108499</v>
      </c>
      <c r="SY78" s="1469">
        <f t="shared" si="154"/>
        <v>-5041045.9213653002</v>
      </c>
      <c r="SZ78" s="1469"/>
      <c r="TA78" s="1469"/>
      <c r="TB78" s="1468"/>
      <c r="TC78" s="1468"/>
      <c r="TD78" s="424"/>
      <c r="TE78" s="424"/>
      <c r="TF78" s="424"/>
      <c r="TG78" s="424"/>
      <c r="TH78" s="424"/>
      <c r="TI78" s="424"/>
      <c r="TJ78" s="424"/>
      <c r="TK78" s="424"/>
      <c r="TL78" s="424"/>
      <c r="TM78" s="424"/>
      <c r="TN78" s="424"/>
      <c r="TO78" s="424"/>
      <c r="TP78" s="424"/>
      <c r="TQ78" s="424"/>
      <c r="TR78" s="424"/>
      <c r="TS78" s="424"/>
      <c r="TT78" s="424"/>
      <c r="TU78" s="424"/>
      <c r="TV78" s="424"/>
      <c r="TW78" s="424"/>
      <c r="TY78" s="679"/>
      <c r="TZ78" s="1175"/>
      <c r="UA78" s="78"/>
      <c r="UB78" s="78"/>
      <c r="UC78" s="20"/>
      <c r="UD78" s="86"/>
      <c r="UE78" s="86"/>
      <c r="UF78" s="86"/>
      <c r="UG78" s="86"/>
      <c r="UH78" s="86"/>
      <c r="UI78" s="86"/>
      <c r="UJ78" s="86"/>
      <c r="UK78" s="86"/>
      <c r="UL78" s="86"/>
      <c r="UM78" s="86"/>
      <c r="UN78" s="86"/>
      <c r="UO78" s="86"/>
    </row>
    <row r="79" spans="1:576" ht="15.75" thickBot="1" x14ac:dyDescent="0.3">
      <c r="B79" s="1217"/>
      <c r="C79" s="547"/>
      <c r="D79" s="880"/>
      <c r="E79" s="980"/>
      <c r="F79" s="880"/>
      <c r="G79" s="980"/>
      <c r="H79" s="880"/>
      <c r="I79" s="1412"/>
      <c r="J79" s="1412"/>
      <c r="K79" s="1412"/>
      <c r="L79" s="1412"/>
      <c r="M79" s="1412"/>
      <c r="N79" s="526"/>
      <c r="S79" s="22">
        <f>ROW()</f>
        <v>79</v>
      </c>
      <c r="T79" s="43" t="s">
        <v>109</v>
      </c>
      <c r="U79" s="43"/>
      <c r="V79" s="1510">
        <f>SUM(V72:V78)</f>
        <v>719254109.87570953</v>
      </c>
      <c r="W79" s="1510">
        <f>SUM(W72:W78)</f>
        <v>-719254109.87570953</v>
      </c>
      <c r="X79" s="36"/>
      <c r="Y79" s="36"/>
      <c r="Z79" s="36"/>
      <c r="AA79" s="36"/>
      <c r="AB79" s="36"/>
      <c r="AC79" s="36"/>
      <c r="AD79" s="36"/>
      <c r="AE79" s="36"/>
      <c r="AF79" s="36"/>
      <c r="AG79" s="1509"/>
      <c r="AH79" s="1509"/>
      <c r="AI79" s="1509"/>
      <c r="AJ79" s="1509"/>
      <c r="AL79" s="842"/>
      <c r="AM79" s="776"/>
      <c r="AN79" s="619"/>
      <c r="AO79" s="619"/>
      <c r="AP79" s="619"/>
      <c r="AQ79" s="1508">
        <f t="shared" si="150"/>
        <v>-3.7252902984619141E-9</v>
      </c>
      <c r="AR79" s="1508">
        <f t="shared" si="150"/>
        <v>1.4901161193847656E-8</v>
      </c>
      <c r="AS79" s="1508"/>
      <c r="AT79" s="1508"/>
      <c r="AU79" s="1508"/>
      <c r="AV79" s="1508"/>
      <c r="AW79" s="1508"/>
      <c r="AX79" s="1508"/>
      <c r="AY79" s="18"/>
      <c r="AZ79" s="18"/>
      <c r="BA79" s="18"/>
      <c r="BB79" s="18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V79"/>
      <c r="BW79"/>
      <c r="BX79"/>
      <c r="BY79"/>
      <c r="BZ79"/>
      <c r="CA79"/>
      <c r="CB79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IS79"/>
      <c r="IT79"/>
      <c r="IU79"/>
      <c r="IV79"/>
      <c r="IW79"/>
      <c r="IX79"/>
      <c r="IY79"/>
      <c r="IZ79"/>
      <c r="JK79"/>
      <c r="JL79"/>
      <c r="JM79"/>
      <c r="JN79"/>
      <c r="JO79"/>
      <c r="JP79"/>
      <c r="JQ79"/>
      <c r="JR79"/>
      <c r="JS79"/>
      <c r="JT79"/>
      <c r="JU79"/>
      <c r="JV79"/>
      <c r="JW79"/>
      <c r="NP79" s="88"/>
      <c r="OW79"/>
      <c r="OX79"/>
      <c r="OY79"/>
      <c r="OZ79" s="1462"/>
      <c r="PA79" s="1461"/>
      <c r="PB79" s="1453"/>
      <c r="PC79" s="1453"/>
      <c r="PD79" s="1453"/>
      <c r="PE79" s="1453"/>
      <c r="PF79" s="1453"/>
      <c r="PG79" s="1453"/>
      <c r="PH79" s="1453"/>
      <c r="PI79" s="1453"/>
      <c r="PJ79" s="1453"/>
      <c r="PK79" s="1453"/>
      <c r="PL79" s="1452"/>
      <c r="PM79"/>
      <c r="PN79"/>
      <c r="PO79"/>
      <c r="PP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J79" s="424"/>
      <c r="QK79" s="424"/>
      <c r="QL79" s="424"/>
      <c r="QM79" s="424"/>
      <c r="QN79" s="424"/>
      <c r="QO79" s="424"/>
      <c r="QP79" s="424"/>
      <c r="QQ79" s="424"/>
      <c r="QR79" s="424"/>
      <c r="QS79" s="424"/>
      <c r="QT79" s="424"/>
      <c r="QU79" s="424"/>
      <c r="QV79" s="424"/>
      <c r="QW79" s="424"/>
      <c r="QX79" s="424"/>
      <c r="QY79" s="424"/>
      <c r="QZ79" s="424"/>
      <c r="RA79" s="424"/>
      <c r="RT79" s="424"/>
      <c r="RU79" s="424"/>
      <c r="RV79" s="424"/>
      <c r="RW79" s="424"/>
      <c r="RX79" s="424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82">
        <f>ROW()</f>
        <v>79</v>
      </c>
      <c r="SM79" s="616"/>
      <c r="SN79" s="1484"/>
      <c r="SO79" s="1487"/>
      <c r="SP79" s="1487"/>
      <c r="SQ79" s="1487"/>
      <c r="SR79" s="1487"/>
      <c r="SS79" s="1487"/>
      <c r="ST79" s="1487"/>
      <c r="SU79" s="1487"/>
      <c r="SV79" s="1487"/>
      <c r="SW79" s="1487"/>
      <c r="SX79" s="1487"/>
      <c r="SY79" s="1487"/>
      <c r="SZ79" s="1487"/>
      <c r="TA79" s="1487"/>
      <c r="TB79" s="1486"/>
      <c r="TC79" s="1486"/>
      <c r="TD79" s="424"/>
      <c r="TE79" s="424"/>
      <c r="TF79" s="424"/>
      <c r="TG79" s="424"/>
      <c r="TH79" s="424"/>
      <c r="TI79" s="424"/>
      <c r="TJ79" s="424"/>
      <c r="TK79" s="424"/>
      <c r="TL79" s="424"/>
      <c r="TM79" s="424"/>
      <c r="TN79" s="424"/>
      <c r="TO79" s="424"/>
      <c r="TP79" s="424"/>
      <c r="TQ79" s="424"/>
      <c r="TR79" s="424"/>
      <c r="TS79" s="424"/>
      <c r="TT79" s="424"/>
      <c r="TU79" s="424"/>
      <c r="TV79" s="424"/>
      <c r="TW79" s="424"/>
      <c r="TY79" s="690"/>
      <c r="TZ79" s="20"/>
      <c r="UA79" s="78"/>
      <c r="UB79" s="78"/>
      <c r="UC79" s="20"/>
      <c r="UD79" s="86"/>
      <c r="UE79" s="86"/>
      <c r="UF79" s="86"/>
      <c r="UG79" s="86"/>
      <c r="UH79" s="86"/>
      <c r="UI79" s="86"/>
      <c r="UJ79" s="86"/>
      <c r="UK79" s="86"/>
      <c r="UL79" s="86"/>
      <c r="UM79" s="86"/>
      <c r="UN79" s="86"/>
      <c r="UO79" s="86"/>
    </row>
    <row r="80" spans="1:576" ht="16.5" thickTop="1" thickBot="1" x14ac:dyDescent="0.3">
      <c r="B80" s="99"/>
      <c r="C80" s="1388"/>
      <c r="D80" s="880"/>
      <c r="E80" s="880"/>
      <c r="F80" s="880"/>
      <c r="G80" s="1052"/>
      <c r="H80" s="880"/>
      <c r="I80" s="1052"/>
      <c r="J80" s="1052"/>
      <c r="K80" s="1052"/>
      <c r="L80" s="1052"/>
      <c r="M80" s="1052"/>
      <c r="N80" s="984"/>
      <c r="S80" s="22"/>
      <c r="T80" s="523"/>
      <c r="U80" s="72"/>
      <c r="V80" s="1399"/>
      <c r="W80" s="1399"/>
      <c r="X80" s="1399"/>
      <c r="Y80" s="1399"/>
      <c r="Z80" s="1399"/>
      <c r="AA80" s="1398"/>
      <c r="AB80" s="1398"/>
      <c r="AC80" s="1398"/>
      <c r="AD80" s="1398"/>
      <c r="AE80" s="1398"/>
      <c r="AF80" s="1398"/>
      <c r="AG80" s="411"/>
      <c r="AH80" s="411"/>
      <c r="AI80" s="411"/>
      <c r="AJ80" s="411"/>
      <c r="AL80" s="842"/>
      <c r="AM80" s="667"/>
      <c r="AN80" s="63"/>
      <c r="AO80" s="63"/>
      <c r="AP80" s="63"/>
      <c r="AQ80" s="1507">
        <f t="shared" si="150"/>
        <v>0</v>
      </c>
      <c r="AR80" s="1507">
        <f t="shared" si="150"/>
        <v>0</v>
      </c>
      <c r="AS80" s="1507"/>
      <c r="AT80" s="1507"/>
      <c r="AU80" s="1507"/>
      <c r="AV80" s="1507"/>
      <c r="AW80" s="1507"/>
      <c r="AX80" s="1507"/>
      <c r="AY80" s="18"/>
      <c r="AZ80" s="18"/>
      <c r="BA80" s="18"/>
      <c r="BB80" s="18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V80"/>
      <c r="BW80"/>
      <c r="BX80"/>
      <c r="BY80"/>
      <c r="BZ80"/>
      <c r="CA80"/>
      <c r="CB8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IS80"/>
      <c r="IT80"/>
      <c r="IU80"/>
      <c r="IV80"/>
      <c r="IW80"/>
      <c r="IX80"/>
      <c r="IY80"/>
      <c r="IZ80"/>
      <c r="JK80"/>
      <c r="JL80"/>
      <c r="JM80"/>
      <c r="JN80"/>
      <c r="JO80"/>
      <c r="JP80"/>
      <c r="JQ80"/>
      <c r="JR80"/>
      <c r="JS80"/>
      <c r="JT80"/>
      <c r="JU80"/>
      <c r="JV80"/>
      <c r="JW80"/>
      <c r="NP80" s="88"/>
      <c r="OW80"/>
      <c r="OX80"/>
      <c r="OY80"/>
      <c r="OZ80" s="689"/>
      <c r="PA80" s="689"/>
      <c r="PB80" s="690"/>
      <c r="PC80" s="78"/>
      <c r="PD80" s="78"/>
      <c r="PE80" s="78"/>
      <c r="PF80" s="20"/>
      <c r="PG80" s="20"/>
      <c r="PH80" s="20"/>
      <c r="PI80" s="1456"/>
      <c r="PJ80" s="1456"/>
      <c r="PK80" s="1456"/>
      <c r="PL80" s="1456"/>
      <c r="PM80"/>
      <c r="PN80"/>
      <c r="PO80"/>
      <c r="PP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J80" s="424"/>
      <c r="QK80" s="424"/>
      <c r="QL80" s="424"/>
      <c r="QM80" s="424"/>
      <c r="QN80" s="424"/>
      <c r="QO80" s="424"/>
      <c r="QP80" s="424"/>
      <c r="QQ80" s="424"/>
      <c r="QR80" s="424"/>
      <c r="QS80" s="424"/>
      <c r="QT80" s="424"/>
      <c r="QU80" s="424"/>
      <c r="QV80" s="424"/>
      <c r="QW80" s="424"/>
      <c r="QX80" s="424"/>
      <c r="QY80" s="424"/>
      <c r="QZ80" s="424"/>
      <c r="RA80" s="424"/>
      <c r="RT80" s="424"/>
      <c r="RU80" s="424"/>
      <c r="RV80" s="424"/>
      <c r="RW80" s="424"/>
      <c r="RX80" s="424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82">
        <f>ROW()</f>
        <v>80</v>
      </c>
      <c r="SM80" s="616" t="s">
        <v>240</v>
      </c>
      <c r="SN80" s="1484"/>
      <c r="SO80" s="1483"/>
      <c r="SP80" s="1483"/>
      <c r="SQ80" s="1483"/>
      <c r="SR80" s="1483">
        <f t="shared" ref="SR80:SY80" si="155">-SR76-SR78</f>
        <v>-300603.53971829993</v>
      </c>
      <c r="SS80" s="1483">
        <f t="shared" si="155"/>
        <v>-300603.53971829993</v>
      </c>
      <c r="ST80" s="1483">
        <f t="shared" si="155"/>
        <v>-4818440.9902843507</v>
      </c>
      <c r="SU80" s="1483">
        <f t="shared" si="155"/>
        <v>-5119044.5300026499</v>
      </c>
      <c r="SV80" s="1483">
        <f t="shared" si="155"/>
        <v>-7251841.4363879003</v>
      </c>
      <c r="SW80" s="1483">
        <f t="shared" si="155"/>
        <v>-12370885.96639055</v>
      </c>
      <c r="SX80" s="1483">
        <f t="shared" si="155"/>
        <v>-6593048.6901741503</v>
      </c>
      <c r="SY80" s="1483">
        <f t="shared" si="155"/>
        <v>-18963934.656564698</v>
      </c>
      <c r="SZ80" s="1483"/>
      <c r="TA80" s="1483"/>
      <c r="TB80" s="1482"/>
      <c r="TC80" s="1482"/>
      <c r="TD80" s="1506"/>
      <c r="TE80" s="424"/>
      <c r="TF80" s="424"/>
      <c r="TG80" s="424"/>
      <c r="TH80" s="424"/>
      <c r="TI80" s="424"/>
      <c r="TJ80" s="424"/>
      <c r="TK80" s="424"/>
      <c r="TL80" s="424"/>
      <c r="TM80" s="424"/>
      <c r="TN80" s="424"/>
      <c r="TO80" s="424"/>
      <c r="TP80" s="424"/>
      <c r="TQ80" s="424"/>
      <c r="TR80" s="424"/>
      <c r="TS80" s="424"/>
      <c r="TT80" s="424"/>
      <c r="TU80" s="424"/>
      <c r="TV80" s="424"/>
      <c r="TW80" s="424"/>
      <c r="TY80" s="942"/>
      <c r="TZ80" s="20"/>
      <c r="UA80" s="573"/>
      <c r="UB80" s="573"/>
      <c r="UC80" s="20"/>
      <c r="UD80" s="86"/>
      <c r="UE80" s="86"/>
      <c r="UF80" s="86"/>
      <c r="UG80" s="86"/>
      <c r="UH80" s="86"/>
      <c r="UI80" s="86"/>
      <c r="UJ80" s="86"/>
      <c r="UK80" s="86"/>
      <c r="UL80" s="86"/>
      <c r="UM80" s="86"/>
      <c r="UN80" s="86"/>
      <c r="UO80" s="86"/>
    </row>
    <row r="81" spans="2:561" ht="15.75" thickTop="1" x14ac:dyDescent="0.25">
      <c r="B81" s="99"/>
      <c r="C81" s="1388"/>
      <c r="D81" s="1392"/>
      <c r="E81" s="1392"/>
      <c r="F81" s="880"/>
      <c r="G81" s="641"/>
      <c r="H81" s="880"/>
      <c r="I81" s="641"/>
      <c r="J81" s="1052"/>
      <c r="K81" s="641"/>
      <c r="L81" s="641"/>
      <c r="M81" s="641"/>
      <c r="N81" s="619"/>
      <c r="S81" s="65" t="s">
        <v>30</v>
      </c>
      <c r="T81" s="689"/>
      <c r="U81" s="1432"/>
      <c r="V81" s="1432"/>
      <c r="W81" s="20"/>
      <c r="X81" s="20"/>
      <c r="Y81" s="20"/>
      <c r="Z81" s="20"/>
      <c r="AA81" s="526"/>
      <c r="AB81" s="526"/>
      <c r="AC81" s="526"/>
      <c r="AD81" s="526"/>
      <c r="AE81" s="526"/>
      <c r="AF81" s="526"/>
      <c r="AG81" s="1505"/>
      <c r="AH81" s="1505"/>
      <c r="AI81" s="1505"/>
      <c r="AJ81" s="1505"/>
      <c r="AL81" s="842"/>
      <c r="AM81" s="1191"/>
      <c r="AN81" s="78"/>
      <c r="AO81" s="78"/>
      <c r="AP81" s="78"/>
      <c r="AQ81" s="1504">
        <f t="shared" si="150"/>
        <v>-9.3132257461547852E-10</v>
      </c>
      <c r="AR81" s="1504">
        <f t="shared" si="150"/>
        <v>3.7252902984619141E-9</v>
      </c>
      <c r="AS81" s="1504"/>
      <c r="AT81" s="1504"/>
      <c r="AU81" s="1504"/>
      <c r="AV81" s="1504"/>
      <c r="AW81" s="1504"/>
      <c r="AX81" s="1504"/>
      <c r="AY81" s="18"/>
      <c r="AZ81" s="18"/>
      <c r="BA81" s="18"/>
      <c r="BB81" s="18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V81"/>
      <c r="BW81"/>
      <c r="BX81"/>
      <c r="BY81"/>
      <c r="BZ81"/>
      <c r="CA81"/>
      <c r="CB81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IS81"/>
      <c r="IT81"/>
      <c r="IU81"/>
      <c r="IV81"/>
      <c r="IW81"/>
      <c r="IX81"/>
      <c r="IY81"/>
      <c r="IZ81"/>
      <c r="JK81"/>
      <c r="JL81"/>
      <c r="JM81"/>
      <c r="JN81"/>
      <c r="JO81"/>
      <c r="JP81"/>
      <c r="JQ81"/>
      <c r="JR81"/>
      <c r="JS81"/>
      <c r="JT81"/>
      <c r="JU81"/>
      <c r="JV81"/>
      <c r="JW81"/>
      <c r="NP81" s="88"/>
      <c r="OW81"/>
      <c r="OX81"/>
      <c r="OY81"/>
      <c r="OZ81" s="1207"/>
      <c r="PA81" s="711"/>
      <c r="PB81" s="78"/>
      <c r="PC81" s="78"/>
      <c r="PD81" s="78"/>
      <c r="PE81" s="78"/>
      <c r="PF81" s="20"/>
      <c r="PG81" s="20"/>
      <c r="PH81" s="20"/>
      <c r="PI81" s="1456"/>
      <c r="PJ81" s="1456"/>
      <c r="PK81" s="1456"/>
      <c r="PL81" s="1456"/>
      <c r="PM81"/>
      <c r="PN81"/>
      <c r="PO81"/>
      <c r="PP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J81" s="424"/>
      <c r="QK81" s="424"/>
      <c r="QL81" s="424"/>
      <c r="QM81" s="424"/>
      <c r="QN81" s="424"/>
      <c r="QO81" s="424"/>
      <c r="QP81" s="424"/>
      <c r="QQ81" s="424"/>
      <c r="QR81" s="424"/>
      <c r="QS81" s="424"/>
      <c r="QT81" s="424"/>
      <c r="QU81" s="424"/>
      <c r="QV81" s="424"/>
      <c r="QW81" s="424"/>
      <c r="QX81" s="424"/>
      <c r="QY81" s="424"/>
      <c r="QZ81" s="424"/>
      <c r="RA81" s="424"/>
      <c r="RT81" s="424"/>
      <c r="RU81" s="424"/>
      <c r="RV81" s="424"/>
      <c r="RW81" s="424"/>
      <c r="RX81" s="424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82">
        <f>ROW()</f>
        <v>81</v>
      </c>
      <c r="SM81" s="616"/>
      <c r="SN81" s="1484"/>
      <c r="SO81" s="1480"/>
      <c r="SP81" s="1480"/>
      <c r="SQ81" s="1480"/>
      <c r="SR81" s="1480"/>
      <c r="SS81" s="1480"/>
      <c r="ST81" s="1480"/>
      <c r="SU81" s="1480"/>
      <c r="SV81" s="1480"/>
      <c r="SW81" s="1480"/>
      <c r="SX81" s="1480"/>
      <c r="SY81" s="1480"/>
      <c r="SZ81" s="1480"/>
      <c r="TA81" s="1480"/>
      <c r="TB81" s="1500"/>
      <c r="TC81" s="1500"/>
      <c r="TD81" s="424"/>
      <c r="TE81" s="424"/>
      <c r="TF81" s="424"/>
      <c r="TG81" s="424"/>
      <c r="TH81" s="424"/>
      <c r="TI81" s="424"/>
      <c r="TJ81" s="424"/>
      <c r="TK81" s="424"/>
      <c r="TL81" s="424"/>
      <c r="TM81" s="424"/>
      <c r="TN81" s="424"/>
      <c r="TO81" s="424"/>
      <c r="TP81" s="424"/>
      <c r="TQ81" s="424"/>
      <c r="TR81" s="424"/>
      <c r="TS81" s="424"/>
      <c r="TT81" s="424"/>
      <c r="TU81" s="424"/>
      <c r="TV81" s="424"/>
      <c r="TW81" s="424"/>
      <c r="TY81" s="942"/>
      <c r="TZ81" s="20"/>
      <c r="UA81" s="78"/>
      <c r="UB81" s="78"/>
      <c r="UC81" s="78"/>
      <c r="UD81" s="1495"/>
      <c r="UE81" s="1495"/>
      <c r="UF81" s="1495"/>
      <c r="UG81" s="1495"/>
      <c r="UH81" s="1495"/>
      <c r="UI81" s="1495"/>
      <c r="UJ81" s="1495"/>
      <c r="UK81" s="1495"/>
      <c r="UL81" s="1495"/>
      <c r="UM81" s="1495"/>
      <c r="UN81" s="1495"/>
      <c r="UO81" s="1495"/>
    </row>
    <row r="82" spans="2:561" ht="15.75" thickBot="1" x14ac:dyDescent="0.3">
      <c r="B82" s="99"/>
      <c r="C82" s="1388"/>
      <c r="D82" s="880"/>
      <c r="E82" s="880"/>
      <c r="F82" s="880"/>
      <c r="G82" s="1052"/>
      <c r="H82" s="880"/>
      <c r="I82" s="641"/>
      <c r="J82" s="1052"/>
      <c r="K82" s="641"/>
      <c r="L82" s="641"/>
      <c r="M82" s="641"/>
      <c r="N82" s="619"/>
      <c r="T82" s="679"/>
      <c r="U82" s="1431"/>
      <c r="V82" s="624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1503"/>
      <c r="AH82" s="1503"/>
      <c r="AI82" s="1503"/>
      <c r="AJ82" s="1503"/>
      <c r="AL82" s="842"/>
      <c r="AM82" s="20"/>
      <c r="AN82" s="21"/>
      <c r="AO82" s="21"/>
      <c r="AP82" s="21"/>
      <c r="AQ82" s="1502">
        <f t="shared" si="150"/>
        <v>-3.7252902984619141E-9</v>
      </c>
      <c r="AR82" s="1502">
        <f t="shared" si="150"/>
        <v>7.4505805969238281E-9</v>
      </c>
      <c r="AS82" s="1502"/>
      <c r="AT82" s="1502"/>
      <c r="AU82" s="1502"/>
      <c r="AV82" s="1502"/>
      <c r="AW82" s="1502"/>
      <c r="AX82" s="1502"/>
      <c r="AY82" s="18"/>
      <c r="AZ82" s="18"/>
      <c r="BA82" s="18"/>
      <c r="BB82" s="18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V82"/>
      <c r="BW82"/>
      <c r="BX82"/>
      <c r="BY82"/>
      <c r="BZ82"/>
      <c r="CA82"/>
      <c r="CB82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IS82"/>
      <c r="IT82"/>
      <c r="IU82"/>
      <c r="IV82"/>
      <c r="IW82"/>
      <c r="IX82"/>
      <c r="IY82"/>
      <c r="IZ82"/>
      <c r="JK82"/>
      <c r="JL82"/>
      <c r="JM82"/>
      <c r="JN82"/>
      <c r="JO82"/>
      <c r="JP82"/>
      <c r="JQ82"/>
      <c r="JR82"/>
      <c r="JS82"/>
      <c r="JT82"/>
      <c r="JU82"/>
      <c r="JV82"/>
      <c r="JW82"/>
      <c r="NP82" s="88"/>
      <c r="OW82"/>
      <c r="OX82"/>
      <c r="OY82"/>
      <c r="OZ82" s="1207"/>
      <c r="PA82" s="711"/>
      <c r="PB82" s="78"/>
      <c r="PC82" s="78"/>
      <c r="PD82" s="78"/>
      <c r="PE82" s="78"/>
      <c r="PF82" s="20"/>
      <c r="PG82" s="20"/>
      <c r="PH82" s="20"/>
      <c r="PI82" s="1456"/>
      <c r="PJ82" s="1456"/>
      <c r="PK82" s="1456"/>
      <c r="PL82" s="1456"/>
      <c r="PM82"/>
      <c r="PN82"/>
      <c r="PO82"/>
      <c r="PP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J82" s="424"/>
      <c r="QK82" s="424"/>
      <c r="QL82" s="424"/>
      <c r="QM82" s="424"/>
      <c r="QN82" s="424"/>
      <c r="QO82" s="424"/>
      <c r="QP82" s="424"/>
      <c r="QQ82" s="424"/>
      <c r="QR82" s="424"/>
      <c r="QS82" s="424"/>
      <c r="QT82" s="424"/>
      <c r="QU82" s="424"/>
      <c r="QV82" s="424"/>
      <c r="QW82" s="424"/>
      <c r="QX82" s="424"/>
      <c r="QY82" s="424"/>
      <c r="QZ82" s="424"/>
      <c r="RA82" s="424"/>
      <c r="RT82" s="424"/>
      <c r="RU82" s="424"/>
      <c r="RV82" s="424"/>
      <c r="RW82" s="424"/>
      <c r="RX82" s="424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82">
        <f>ROW()</f>
        <v>82</v>
      </c>
      <c r="SM82" s="616" t="s">
        <v>361</v>
      </c>
      <c r="SN82" s="1484"/>
      <c r="SO82" s="1475"/>
      <c r="SP82" s="1475"/>
      <c r="SQ82" s="1475"/>
      <c r="SR82" s="1475">
        <v>47957544.839049995</v>
      </c>
      <c r="SS82" s="1475">
        <f>SR82</f>
        <v>47957544.839049995</v>
      </c>
      <c r="ST82" s="1475">
        <v>62546234.740635008</v>
      </c>
      <c r="SU82" s="1475">
        <f>ST82+SS82</f>
        <v>110503779.579685</v>
      </c>
      <c r="SV82" s="1475">
        <v>13304012.333819985</v>
      </c>
      <c r="SW82" s="1475">
        <f>SV82+SU82</f>
        <v>123807791.91350499</v>
      </c>
      <c r="SX82" s="1475">
        <v>67432604.695660084</v>
      </c>
      <c r="SY82" s="1475">
        <f>SX82+SW82</f>
        <v>191240396.60916507</v>
      </c>
      <c r="SZ82" s="1475"/>
      <c r="TA82" s="1475"/>
      <c r="TB82" s="1474"/>
      <c r="TC82" s="1474"/>
      <c r="TD82" s="424"/>
      <c r="TE82" s="424"/>
      <c r="TF82" s="424"/>
      <c r="TG82" s="424"/>
      <c r="TH82" s="424"/>
      <c r="TI82" s="424"/>
      <c r="TJ82" s="424"/>
      <c r="TK82" s="424"/>
      <c r="TL82" s="424"/>
      <c r="TM82" s="424"/>
      <c r="TN82" s="424"/>
      <c r="TO82" s="424"/>
      <c r="TP82" s="424"/>
      <c r="TQ82" s="424"/>
      <c r="TR82" s="424"/>
      <c r="TS82" s="424"/>
      <c r="TT82" s="424"/>
      <c r="TU82" s="424"/>
      <c r="TV82" s="424"/>
      <c r="TW82" s="424"/>
      <c r="TY82" s="20"/>
      <c r="TZ82" s="20"/>
      <c r="UA82" s="78"/>
      <c r="UB82" s="78"/>
      <c r="UC82" s="78"/>
      <c r="UD82" s="1495"/>
      <c r="UE82" s="1495"/>
      <c r="UF82" s="1495"/>
      <c r="UG82" s="1495"/>
      <c r="UH82" s="1495"/>
      <c r="UI82" s="1495"/>
      <c r="UJ82" s="1495"/>
      <c r="UK82" s="1495"/>
      <c r="UL82" s="1495"/>
      <c r="UM82" s="1495"/>
      <c r="UN82" s="1495"/>
      <c r="UO82" s="1495"/>
    </row>
    <row r="83" spans="2:561" ht="15.75" thickTop="1" x14ac:dyDescent="0.25">
      <c r="B83" s="99"/>
      <c r="C83" s="1388"/>
      <c r="D83" s="1392"/>
      <c r="E83" s="1392"/>
      <c r="F83" s="880"/>
      <c r="G83" s="641"/>
      <c r="H83" s="880"/>
      <c r="I83" s="641"/>
      <c r="J83" s="1052"/>
      <c r="K83" s="641"/>
      <c r="L83" s="641"/>
      <c r="M83" s="641"/>
      <c r="N83" s="747"/>
      <c r="T83" s="679"/>
      <c r="U83" s="690"/>
      <c r="V83" s="63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1501"/>
      <c r="AH83" s="1501"/>
      <c r="AI83" s="1501"/>
      <c r="AJ83" s="1501"/>
      <c r="AL83" s="89"/>
      <c r="AM83" s="89"/>
      <c r="AN83" s="89"/>
      <c r="AO83" s="89"/>
      <c r="AP83" s="89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V83"/>
      <c r="BW83"/>
      <c r="BX83"/>
      <c r="BY83"/>
      <c r="BZ83"/>
      <c r="CA83"/>
      <c r="CB83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IS83"/>
      <c r="IT83"/>
      <c r="IU83"/>
      <c r="IV83"/>
      <c r="IW83"/>
      <c r="IX83"/>
      <c r="IY83"/>
      <c r="IZ83"/>
      <c r="JK83"/>
      <c r="JL83"/>
      <c r="JM83"/>
      <c r="JN83"/>
      <c r="JO83"/>
      <c r="JP83"/>
      <c r="JQ83"/>
      <c r="JR83"/>
      <c r="JS83"/>
      <c r="JT83"/>
      <c r="JU83"/>
      <c r="JV83"/>
      <c r="JW83"/>
      <c r="NP83" s="88"/>
      <c r="OW83"/>
      <c r="OX83"/>
      <c r="OY83"/>
      <c r="OZ83" s="1207"/>
      <c r="PA83" s="711"/>
      <c r="PB83" s="78"/>
      <c r="PC83" s="78"/>
      <c r="PD83" s="78"/>
      <c r="PE83" s="78"/>
      <c r="PF83" s="20"/>
      <c r="PG83" s="20"/>
      <c r="PH83" s="20"/>
      <c r="PI83" s="1456"/>
      <c r="PJ83" s="1456"/>
      <c r="PK83" s="1456"/>
      <c r="PL83" s="1456"/>
      <c r="PM83"/>
      <c r="PN83"/>
      <c r="PO83"/>
      <c r="PP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J83" s="424"/>
      <c r="QK83" s="424"/>
      <c r="QL83" s="424"/>
      <c r="QM83" s="424"/>
      <c r="QN83" s="424"/>
      <c r="QO83" s="424"/>
      <c r="QP83" s="424"/>
      <c r="QQ83" s="424"/>
      <c r="QR83" s="424"/>
      <c r="QS83" s="424"/>
      <c r="QT83" s="424"/>
      <c r="QU83" s="424"/>
      <c r="QV83" s="424"/>
      <c r="QW83" s="424"/>
      <c r="QX83" s="424"/>
      <c r="QY83" s="424"/>
      <c r="QZ83" s="424"/>
      <c r="RA83" s="424"/>
      <c r="RT83" s="424"/>
      <c r="RU83" s="424"/>
      <c r="RV83" s="424"/>
      <c r="RW83" s="424"/>
      <c r="RX83" s="424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82">
        <f>ROW()</f>
        <v>83</v>
      </c>
      <c r="SM83" s="616" t="s">
        <v>369</v>
      </c>
      <c r="SN83" s="1484"/>
      <c r="SO83" s="1471"/>
      <c r="SP83" s="1471"/>
      <c r="SQ83" s="1471"/>
      <c r="SR83" s="1471">
        <v>-380510.80976999988</v>
      </c>
      <c r="SS83" s="1471">
        <f>SR83</f>
        <v>-380510.80976999988</v>
      </c>
      <c r="ST83" s="1471">
        <v>-6479803.2025349988</v>
      </c>
      <c r="SU83" s="1471">
        <f>ST83+SS83</f>
        <v>-6860314.0123049989</v>
      </c>
      <c r="SV83" s="1471">
        <v>-7425513.8108900003</v>
      </c>
      <c r="SW83" s="1471">
        <f>SV83+SU83</f>
        <v>-14285827.823194999</v>
      </c>
      <c r="SX83" s="1471">
        <v>-19967157.574074995</v>
      </c>
      <c r="SY83" s="1471">
        <f>SX83+SW83</f>
        <v>-34252985.397269994</v>
      </c>
      <c r="SZ83" s="1471"/>
      <c r="TA83" s="1471"/>
      <c r="TB83" s="1470"/>
      <c r="TC83" s="1470"/>
      <c r="TD83" s="424"/>
      <c r="TE83" s="424"/>
      <c r="TF83" s="424"/>
      <c r="TG83" s="424"/>
      <c r="TH83" s="424"/>
      <c r="TI83" s="424"/>
      <c r="TJ83" s="424"/>
      <c r="TK83" s="424"/>
      <c r="TL83" s="424"/>
      <c r="TM83" s="424"/>
      <c r="TN83" s="424"/>
      <c r="TO83" s="424"/>
      <c r="TP83" s="424"/>
      <c r="TQ83" s="424"/>
      <c r="TR83" s="424"/>
      <c r="TS83" s="424"/>
      <c r="TT83" s="424"/>
      <c r="TU83" s="424"/>
      <c r="TV83" s="424"/>
      <c r="TW83" s="424"/>
      <c r="TY83" s="20"/>
      <c r="TZ83" s="20"/>
      <c r="UA83" s="78"/>
      <c r="UB83" s="78"/>
      <c r="UC83" s="78"/>
      <c r="UD83" s="1495"/>
      <c r="UE83" s="1495"/>
      <c r="UF83" s="1495"/>
      <c r="UG83" s="1495"/>
      <c r="UH83" s="1495"/>
      <c r="UI83" s="1495"/>
      <c r="UJ83" s="1495"/>
      <c r="UK83" s="1495"/>
      <c r="UL83" s="1495"/>
      <c r="UM83" s="1495"/>
      <c r="UN83" s="1495"/>
      <c r="UO83" s="1495"/>
    </row>
    <row r="84" spans="2:561" x14ac:dyDescent="0.25">
      <c r="B84" s="99"/>
      <c r="C84" s="1388"/>
      <c r="D84" s="880"/>
      <c r="E84" s="880"/>
      <c r="F84" s="880"/>
      <c r="G84" s="641"/>
      <c r="H84" s="880"/>
      <c r="I84" s="641"/>
      <c r="J84" s="1052"/>
      <c r="K84" s="641"/>
      <c r="L84" s="641"/>
      <c r="M84" s="641"/>
      <c r="N84" s="619"/>
      <c r="T84" s="679"/>
      <c r="U84" s="690"/>
      <c r="V84" s="63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1448"/>
      <c r="AH84" s="1448"/>
      <c r="AI84" s="1448"/>
      <c r="AJ84" s="144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V84"/>
      <c r="BW84"/>
      <c r="BX84"/>
      <c r="BY84"/>
      <c r="BZ84"/>
      <c r="CA84"/>
      <c r="CB84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IS84"/>
      <c r="IT84"/>
      <c r="IU84"/>
      <c r="IV84"/>
      <c r="IW84"/>
      <c r="IX84"/>
      <c r="IY84"/>
      <c r="IZ84"/>
      <c r="JK84"/>
      <c r="JL84"/>
      <c r="JM84"/>
      <c r="JN84"/>
      <c r="JO84"/>
      <c r="JP84"/>
      <c r="JQ84"/>
      <c r="JR84"/>
      <c r="JS84"/>
      <c r="JT84"/>
      <c r="JU84"/>
      <c r="JV84"/>
      <c r="JW84"/>
      <c r="NP84" s="88"/>
      <c r="OW84"/>
      <c r="OX84"/>
      <c r="OY84"/>
      <c r="OZ84" s="690"/>
      <c r="PA84" s="1457"/>
      <c r="PB84" s="78"/>
      <c r="PC84" s="78"/>
      <c r="PD84" s="78"/>
      <c r="PE84" s="78"/>
      <c r="PF84" s="20"/>
      <c r="PG84" s="20"/>
      <c r="PH84" s="20"/>
      <c r="PI84" s="1456"/>
      <c r="PJ84" s="1456"/>
      <c r="PK84" s="1456"/>
      <c r="PL84" s="1456"/>
      <c r="PM84"/>
      <c r="PN84"/>
      <c r="PO84"/>
      <c r="PP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J84" s="424"/>
      <c r="QK84" s="424"/>
      <c r="QL84" s="424"/>
      <c r="QM84" s="424"/>
      <c r="QN84" s="424"/>
      <c r="QO84" s="424"/>
      <c r="QP84" s="424"/>
      <c r="QQ84" s="424"/>
      <c r="QR84" s="424"/>
      <c r="QS84" s="424"/>
      <c r="QT84" s="424"/>
      <c r="QU84" s="424"/>
      <c r="QV84" s="424"/>
      <c r="QW84" s="424"/>
      <c r="QX84" s="424"/>
      <c r="QY84" s="424"/>
      <c r="QZ84" s="424"/>
      <c r="RA84" s="424"/>
      <c r="RT84" s="424"/>
      <c r="RU84" s="424"/>
      <c r="RV84" s="424"/>
      <c r="RW84" s="424"/>
      <c r="RX84" s="424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82">
        <f>ROW()</f>
        <v>84</v>
      </c>
      <c r="SM84" s="616" t="s">
        <v>375</v>
      </c>
      <c r="SN84" s="1484"/>
      <c r="SO84" s="1469"/>
      <c r="SP84" s="1469"/>
      <c r="SQ84" s="1469"/>
      <c r="SR84" s="1469">
        <v>-617120.61857000005</v>
      </c>
      <c r="SS84" s="1469">
        <f>SR84</f>
        <v>-617120.61857000005</v>
      </c>
      <c r="ST84" s="1469">
        <v>-1934020.11295</v>
      </c>
      <c r="SU84" s="1469">
        <f>ST84+SS84</f>
        <v>-2551140.7315199999</v>
      </c>
      <c r="SV84" s="1469">
        <v>-1475429.2189399996</v>
      </c>
      <c r="SW84" s="1469">
        <f>SV84+SU84</f>
        <v>-4026569.9504599995</v>
      </c>
      <c r="SX84" s="1469">
        <v>-3360920.1487800009</v>
      </c>
      <c r="SY84" s="1469">
        <f>SX84+SW84</f>
        <v>-7387490.0992400004</v>
      </c>
      <c r="SZ84" s="1469"/>
      <c r="TA84" s="1469"/>
      <c r="TB84" s="1468"/>
      <c r="TC84" s="1468"/>
      <c r="TD84" s="424"/>
      <c r="TE84" s="424"/>
      <c r="TF84" s="424"/>
      <c r="TG84" s="424"/>
      <c r="TH84" s="424"/>
      <c r="TI84" s="424"/>
      <c r="TJ84" s="424"/>
      <c r="TK84" s="424"/>
      <c r="TL84" s="424"/>
      <c r="TM84" s="424"/>
      <c r="TN84" s="424"/>
      <c r="TO84" s="424"/>
      <c r="TP84" s="424"/>
      <c r="TQ84" s="424"/>
      <c r="TR84" s="424"/>
      <c r="TS84" s="424"/>
      <c r="TT84" s="424"/>
      <c r="TU84" s="424"/>
      <c r="TV84" s="424"/>
      <c r="TW84" s="424"/>
      <c r="TY84" s="20"/>
      <c r="TZ84" s="20"/>
      <c r="UA84" s="78"/>
      <c r="UB84" s="78"/>
      <c r="UC84" s="78"/>
      <c r="UD84" s="1495"/>
      <c r="UE84" s="1495"/>
      <c r="UF84" s="1495"/>
      <c r="UG84" s="1495"/>
      <c r="UH84" s="1495"/>
      <c r="UI84" s="1495"/>
      <c r="UJ84" s="1495"/>
      <c r="UK84" s="1495"/>
      <c r="UL84" s="1495"/>
      <c r="UM84" s="1495"/>
      <c r="UN84" s="1495"/>
      <c r="UO84" s="1495"/>
    </row>
    <row r="85" spans="2:561" ht="15.75" thickBot="1" x14ac:dyDescent="0.3">
      <c r="B85" s="99"/>
      <c r="C85" s="1388"/>
      <c r="D85" s="1392"/>
      <c r="E85" s="1392"/>
      <c r="F85" s="880"/>
      <c r="G85" s="641"/>
      <c r="H85" s="880"/>
      <c r="I85" s="641"/>
      <c r="J85" s="1052"/>
      <c r="K85" s="641"/>
      <c r="L85" s="641"/>
      <c r="M85" s="641"/>
      <c r="N85" s="619"/>
      <c r="T85" s="679"/>
      <c r="U85" s="690"/>
      <c r="V85" s="63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1485"/>
      <c r="AH85" s="1485"/>
      <c r="AI85" s="1485"/>
      <c r="AJ85" s="1485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V85"/>
      <c r="BW85"/>
      <c r="BX85"/>
      <c r="BY85"/>
      <c r="BZ85"/>
      <c r="CA85"/>
      <c r="CB85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IS85"/>
      <c r="IT85"/>
      <c r="IU85"/>
      <c r="IV85"/>
      <c r="IW85"/>
      <c r="IX85"/>
      <c r="IY85"/>
      <c r="IZ85"/>
      <c r="JK85"/>
      <c r="JL85"/>
      <c r="JM85"/>
      <c r="JN85"/>
      <c r="JO85"/>
      <c r="JP85"/>
      <c r="JQ85"/>
      <c r="JR85"/>
      <c r="JS85"/>
      <c r="JT85"/>
      <c r="JU85"/>
      <c r="JV85"/>
      <c r="JW85"/>
      <c r="NP85" s="88"/>
      <c r="OW85"/>
      <c r="OX85"/>
      <c r="OY85"/>
      <c r="OZ85" s="20"/>
      <c r="PA85" s="20"/>
      <c r="PB85" s="20"/>
      <c r="PC85" s="20"/>
      <c r="PD85" s="20"/>
      <c r="PE85" s="20"/>
      <c r="PF85" s="20"/>
      <c r="PG85" s="20"/>
      <c r="PH85" s="20"/>
      <c r="PI85" s="1456"/>
      <c r="PJ85" s="1456"/>
      <c r="PK85" s="1456"/>
      <c r="PL85" s="1456"/>
      <c r="PM85"/>
      <c r="PN85"/>
      <c r="PO85"/>
      <c r="PP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J85" s="424"/>
      <c r="QK85" s="424"/>
      <c r="QL85" s="424"/>
      <c r="QM85" s="424"/>
      <c r="QN85" s="424"/>
      <c r="QO85" s="424"/>
      <c r="QP85" s="424"/>
      <c r="QQ85" s="424"/>
      <c r="QR85" s="424"/>
      <c r="QS85" s="424"/>
      <c r="QT85" s="424"/>
      <c r="QU85" s="424"/>
      <c r="QV85" s="424"/>
      <c r="QW85" s="424"/>
      <c r="QX85" s="424"/>
      <c r="QY85" s="424"/>
      <c r="QZ85" s="424"/>
      <c r="RA85" s="424"/>
      <c r="RT85" s="424"/>
      <c r="RU85" s="424"/>
      <c r="RV85" s="424"/>
      <c r="RW85" s="424"/>
      <c r="RX85" s="424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82">
        <f>ROW()</f>
        <v>85</v>
      </c>
      <c r="SM85" s="616" t="s">
        <v>382</v>
      </c>
      <c r="SN85" s="1484"/>
      <c r="SO85" s="1467"/>
      <c r="SP85" s="1467"/>
      <c r="SQ85" s="1467"/>
      <c r="SR85" s="1467">
        <f t="shared" ref="SR85:SY85" si="156">SUM(SR82:SR84)</f>
        <v>46959913.410709992</v>
      </c>
      <c r="SS85" s="1467">
        <f t="shared" si="156"/>
        <v>46959913.410709992</v>
      </c>
      <c r="ST85" s="1467">
        <f t="shared" si="156"/>
        <v>54132411.425150014</v>
      </c>
      <c r="SU85" s="1467">
        <f t="shared" si="156"/>
        <v>101092324.83586001</v>
      </c>
      <c r="SV85" s="1467">
        <f t="shared" si="156"/>
        <v>4403069.303989986</v>
      </c>
      <c r="SW85" s="1467">
        <f t="shared" si="156"/>
        <v>105495394.13984999</v>
      </c>
      <c r="SX85" s="1467">
        <f t="shared" si="156"/>
        <v>44104526.972805083</v>
      </c>
      <c r="SY85" s="1467">
        <f t="shared" si="156"/>
        <v>149599921.11265507</v>
      </c>
      <c r="SZ85" s="1467"/>
      <c r="TA85" s="1467"/>
      <c r="TB85" s="1466"/>
      <c r="TC85" s="1466"/>
      <c r="TD85" s="424"/>
      <c r="TE85" s="424"/>
      <c r="TF85" s="424"/>
      <c r="TG85" s="424"/>
      <c r="TH85" s="424"/>
      <c r="TI85" s="424"/>
      <c r="TJ85" s="424"/>
      <c r="TK85" s="424"/>
      <c r="TL85" s="424"/>
      <c r="TM85" s="424"/>
      <c r="TN85" s="424"/>
      <c r="TO85" s="424"/>
      <c r="TP85" s="424"/>
      <c r="TQ85" s="424"/>
      <c r="TR85" s="424"/>
      <c r="TS85" s="424"/>
      <c r="TT85" s="424"/>
      <c r="TU85" s="424"/>
      <c r="TV85" s="424"/>
      <c r="TW85" s="424"/>
      <c r="TY85" s="20"/>
      <c r="TZ85" s="20"/>
      <c r="UA85" s="78"/>
      <c r="UB85" s="78"/>
      <c r="UC85" s="78"/>
      <c r="UD85" s="1495"/>
      <c r="UE85" s="1495"/>
      <c r="UF85" s="1495"/>
      <c r="UG85" s="1495"/>
      <c r="UH85" s="1495"/>
      <c r="UI85" s="1495"/>
      <c r="UJ85" s="1495"/>
      <c r="UK85" s="1495"/>
      <c r="UL85" s="1495"/>
      <c r="UM85" s="1495"/>
      <c r="UN85" s="1495"/>
      <c r="UO85" s="1495"/>
    </row>
    <row r="86" spans="2:561" ht="15.75" thickTop="1" x14ac:dyDescent="0.25">
      <c r="B86" s="99"/>
      <c r="C86" s="1388"/>
      <c r="D86" s="72"/>
      <c r="E86" s="1392"/>
      <c r="F86" s="72"/>
      <c r="G86" s="72"/>
      <c r="H86" s="880"/>
      <c r="I86" s="641"/>
      <c r="J86" s="1052"/>
      <c r="K86" s="641"/>
      <c r="L86" s="641"/>
      <c r="M86" s="641"/>
      <c r="N86" s="619"/>
      <c r="T86" s="679"/>
      <c r="U86" s="20"/>
      <c r="V86" s="63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1485"/>
      <c r="AH86" s="1485"/>
      <c r="AI86" s="1485"/>
      <c r="AJ86" s="1485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V86"/>
      <c r="BW86"/>
      <c r="BX86"/>
      <c r="BY86"/>
      <c r="BZ86"/>
      <c r="CA86"/>
      <c r="CB86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IS86"/>
      <c r="IT86"/>
      <c r="IU86"/>
      <c r="IV86"/>
      <c r="IW86"/>
      <c r="IX86"/>
      <c r="IY86"/>
      <c r="IZ86"/>
      <c r="JK86"/>
      <c r="JL86"/>
      <c r="JM86"/>
      <c r="JN86"/>
      <c r="JO86"/>
      <c r="JP86"/>
      <c r="JQ86"/>
      <c r="JR86"/>
      <c r="JS86"/>
      <c r="JT86"/>
      <c r="JU86"/>
      <c r="JV86"/>
      <c r="JW86"/>
      <c r="NP86" s="88"/>
      <c r="OW86"/>
      <c r="OX86"/>
      <c r="OY86"/>
      <c r="OZ86" s="1454"/>
      <c r="PA86" s="1449"/>
      <c r="PB86" s="1453"/>
      <c r="PC86" s="1453"/>
      <c r="PD86" s="1453"/>
      <c r="PE86" s="1453"/>
      <c r="PF86" s="1453"/>
      <c r="PG86" s="1453"/>
      <c r="PH86" s="1453"/>
      <c r="PI86" s="1453"/>
      <c r="PJ86" s="1453"/>
      <c r="PK86" s="1453"/>
      <c r="PL86" s="1452"/>
      <c r="PM86"/>
      <c r="PN86"/>
      <c r="PO86"/>
      <c r="PP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J86" s="424"/>
      <c r="QK86" s="424"/>
      <c r="QL86" s="424"/>
      <c r="QM86" s="424"/>
      <c r="QN86" s="424"/>
      <c r="QO86" s="424"/>
      <c r="QP86" s="424"/>
      <c r="QQ86" s="424"/>
      <c r="QR86" s="424"/>
      <c r="QS86" s="424"/>
      <c r="QT86" s="424"/>
      <c r="QU86" s="424"/>
      <c r="QV86" s="424"/>
      <c r="QW86" s="424"/>
      <c r="QX86" s="424"/>
      <c r="QY86" s="424"/>
      <c r="QZ86" s="424"/>
      <c r="RA86" s="424"/>
      <c r="RT86" s="424"/>
      <c r="RU86" s="424"/>
      <c r="RV86" s="424"/>
      <c r="RW86" s="424"/>
      <c r="RX86" s="424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82">
        <f>ROW()</f>
        <v>86</v>
      </c>
      <c r="SM86" s="616"/>
      <c r="SN86" s="1484"/>
      <c r="SO86" s="1480"/>
      <c r="SP86" s="1480"/>
      <c r="SQ86" s="1480"/>
      <c r="SR86" s="1480"/>
      <c r="SS86" s="1480"/>
      <c r="ST86" s="1480"/>
      <c r="SU86" s="1480"/>
      <c r="SV86" s="1480"/>
      <c r="SW86" s="1480"/>
      <c r="SX86" s="1480"/>
      <c r="SY86" s="1480"/>
      <c r="SZ86" s="1480"/>
      <c r="TA86" s="1480"/>
      <c r="TB86" s="1500"/>
      <c r="TC86" s="1500"/>
      <c r="TD86" s="424"/>
      <c r="TE86" s="424"/>
      <c r="TF86" s="424"/>
      <c r="TG86" s="424"/>
      <c r="TH86" s="424"/>
      <c r="TI86" s="424"/>
      <c r="TJ86" s="424"/>
      <c r="TK86" s="424"/>
      <c r="TL86" s="424"/>
      <c r="TM86" s="424"/>
      <c r="TN86" s="424"/>
      <c r="TO86" s="424"/>
      <c r="TP86" s="424"/>
      <c r="TQ86" s="424"/>
      <c r="TR86" s="424"/>
      <c r="TS86" s="424"/>
      <c r="TT86" s="424"/>
      <c r="TU86" s="424"/>
      <c r="TV86" s="424"/>
      <c r="TW86" s="424"/>
      <c r="TY86" s="20"/>
      <c r="TZ86" s="20"/>
      <c r="UA86" s="78"/>
      <c r="UB86" s="78"/>
      <c r="UC86" s="78"/>
      <c r="UD86" s="1495"/>
      <c r="UE86" s="1495"/>
      <c r="UF86" s="1495"/>
      <c r="UG86" s="1495"/>
      <c r="UH86" s="1495"/>
      <c r="UI86" s="1495"/>
      <c r="UJ86" s="1495"/>
      <c r="UK86" s="1495"/>
      <c r="UL86" s="1495"/>
      <c r="UM86" s="1495"/>
      <c r="UN86" s="1495"/>
      <c r="UO86" s="1495"/>
    </row>
    <row r="87" spans="2:561" x14ac:dyDescent="0.25">
      <c r="B87" s="99"/>
      <c r="C87" s="1388"/>
      <c r="D87" s="880"/>
      <c r="E87" s="880"/>
      <c r="F87" s="880"/>
      <c r="G87" s="641"/>
      <c r="H87" s="880"/>
      <c r="I87" s="641"/>
      <c r="J87" s="1052"/>
      <c r="K87" s="641"/>
      <c r="L87" s="641"/>
      <c r="M87" s="641"/>
      <c r="N87" s="619"/>
      <c r="T87" s="679"/>
      <c r="U87" s="690"/>
      <c r="V87" s="63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1485"/>
      <c r="AH87" s="1485"/>
      <c r="AI87" s="1485"/>
      <c r="AJ87" s="1485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V87"/>
      <c r="BW87"/>
      <c r="BX87"/>
      <c r="BY87"/>
      <c r="BZ87"/>
      <c r="CA87"/>
      <c r="CB87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IS87"/>
      <c r="IT87"/>
      <c r="IU87"/>
      <c r="IV87"/>
      <c r="IW87"/>
      <c r="IX87"/>
      <c r="IY87"/>
      <c r="IZ87"/>
      <c r="JK87"/>
      <c r="JL87"/>
      <c r="JM87"/>
      <c r="JN87"/>
      <c r="JO87"/>
      <c r="JP87"/>
      <c r="JQ87"/>
      <c r="JR87"/>
      <c r="JS87"/>
      <c r="JT87"/>
      <c r="JU87"/>
      <c r="JV87"/>
      <c r="JW87"/>
      <c r="NP87" s="88"/>
      <c r="OW87"/>
      <c r="OX87"/>
      <c r="OY87"/>
      <c r="OZ87" s="592"/>
      <c r="PA87" s="594"/>
      <c r="PB87" s="63"/>
      <c r="PC87" s="624"/>
      <c r="PD87" s="63"/>
      <c r="PE87" s="63"/>
      <c r="PF87" s="1451"/>
      <c r="PG87" s="63"/>
      <c r="PH87" s="1451"/>
      <c r="PI87" s="63"/>
      <c r="PJ87" s="1442"/>
      <c r="PK87" s="63"/>
      <c r="PL87" s="1442"/>
      <c r="PM87"/>
      <c r="PN87"/>
      <c r="PO87"/>
      <c r="PP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J87" s="424"/>
      <c r="QK87" s="424"/>
      <c r="QL87" s="424"/>
      <c r="QM87" s="424"/>
      <c r="QN87" s="424"/>
      <c r="QO87" s="424"/>
      <c r="QP87" s="424"/>
      <c r="QQ87" s="424"/>
      <c r="QR87" s="424"/>
      <c r="QS87" s="424"/>
      <c r="QT87" s="424"/>
      <c r="QU87" s="424"/>
      <c r="QV87" s="424"/>
      <c r="QW87" s="424"/>
      <c r="QX87" s="424"/>
      <c r="QY87" s="424"/>
      <c r="QZ87" s="424"/>
      <c r="RA87" s="424"/>
      <c r="RT87" s="424"/>
      <c r="RU87" s="424"/>
      <c r="RV87" s="424"/>
      <c r="RW87" s="424"/>
      <c r="RX87" s="424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82">
        <f>ROW()</f>
        <v>87</v>
      </c>
      <c r="SM87" s="430" t="s">
        <v>867</v>
      </c>
      <c r="SN87" s="1484"/>
      <c r="SO87" s="1480"/>
      <c r="SP87" s="1480"/>
      <c r="SQ87" s="1480"/>
      <c r="SR87" s="1480"/>
      <c r="SS87" s="1480"/>
      <c r="ST87" s="1480"/>
      <c r="SU87" s="1480"/>
      <c r="SV87" s="1480"/>
      <c r="SW87" s="1480"/>
      <c r="SX87" s="1480"/>
      <c r="SY87" s="1480"/>
      <c r="SZ87" s="1480"/>
      <c r="TA87" s="1480"/>
      <c r="TB87" s="1500"/>
      <c r="TC87" s="1500"/>
      <c r="TD87" s="424"/>
      <c r="TE87" s="424"/>
      <c r="TF87" s="424"/>
      <c r="TG87" s="424"/>
      <c r="TH87" s="424"/>
      <c r="TI87" s="424"/>
      <c r="TJ87" s="424"/>
      <c r="TK87" s="424"/>
      <c r="TL87" s="424"/>
      <c r="TM87" s="424"/>
      <c r="TN87" s="424"/>
      <c r="TO87" s="424"/>
      <c r="TP87" s="424"/>
      <c r="TQ87" s="424"/>
      <c r="TR87" s="424"/>
      <c r="TS87" s="424"/>
      <c r="TT87" s="424"/>
      <c r="TU87" s="424"/>
      <c r="TV87" s="424"/>
      <c r="TW87" s="424"/>
      <c r="TY87" s="4"/>
      <c r="TZ87" s="20"/>
      <c r="UA87" s="78"/>
      <c r="UB87" s="78"/>
      <c r="UC87" s="78"/>
      <c r="UD87" s="1495"/>
      <c r="UE87" s="1495"/>
      <c r="UF87" s="1495"/>
      <c r="UG87" s="1495"/>
      <c r="UH87" s="1495"/>
      <c r="UI87" s="1495"/>
      <c r="UJ87" s="1495"/>
      <c r="UK87" s="1495"/>
      <c r="UL87" s="1495"/>
      <c r="UM87" s="1495"/>
      <c r="UN87" s="1495"/>
      <c r="UO87" s="1495"/>
    </row>
    <row r="88" spans="2:561" x14ac:dyDescent="0.25">
      <c r="B88" s="99"/>
      <c r="C88" s="1388"/>
      <c r="D88" s="880"/>
      <c r="E88" s="880"/>
      <c r="F88" s="880"/>
      <c r="G88" s="641"/>
      <c r="H88" s="880"/>
      <c r="I88" s="641"/>
      <c r="J88" s="1052"/>
      <c r="K88" s="641"/>
      <c r="L88" s="641"/>
      <c r="M88" s="641"/>
      <c r="N88" s="619"/>
      <c r="T88" s="679"/>
      <c r="U88" s="690"/>
      <c r="V88" s="63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1485"/>
      <c r="AH88" s="1485"/>
      <c r="AI88" s="1485"/>
      <c r="AJ88" s="1485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V88"/>
      <c r="BW88"/>
      <c r="BX88"/>
      <c r="BY88"/>
      <c r="BZ88"/>
      <c r="CA88"/>
      <c r="CB88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IS88"/>
      <c r="IT88"/>
      <c r="IU88"/>
      <c r="IV88"/>
      <c r="IW88"/>
      <c r="IX88"/>
      <c r="IY88"/>
      <c r="IZ88"/>
      <c r="JK88"/>
      <c r="JL88"/>
      <c r="JM88"/>
      <c r="JN88"/>
      <c r="JO88"/>
      <c r="JP88"/>
      <c r="JQ88"/>
      <c r="JR88"/>
      <c r="JS88"/>
      <c r="JT88"/>
      <c r="JU88"/>
      <c r="JV88"/>
      <c r="JW88"/>
      <c r="NP88" s="88"/>
      <c r="OW88"/>
      <c r="OX88"/>
      <c r="OY88"/>
      <c r="OZ88" s="1449"/>
      <c r="PA88" s="842"/>
      <c r="PB88" s="1438"/>
      <c r="PC88" s="1438"/>
      <c r="PD88" s="1438"/>
      <c r="PE88" s="1438"/>
      <c r="PF88" s="1438"/>
      <c r="PG88" s="1438"/>
      <c r="PH88" s="1438"/>
      <c r="PI88" s="1438"/>
      <c r="PJ88" s="1438"/>
      <c r="PK88" s="1438"/>
      <c r="PL88" s="1438"/>
      <c r="PM88"/>
      <c r="PN88"/>
      <c r="PO88"/>
      <c r="PP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J88" s="424"/>
      <c r="QK88" s="424"/>
      <c r="QL88" s="424"/>
      <c r="QM88" s="424"/>
      <c r="QN88" s="424"/>
      <c r="QO88" s="424"/>
      <c r="QP88" s="424"/>
      <c r="QQ88" s="424"/>
      <c r="QR88" s="424"/>
      <c r="QS88" s="424"/>
      <c r="QT88" s="424"/>
      <c r="QU88" s="424"/>
      <c r="QV88" s="424"/>
      <c r="QW88" s="424"/>
      <c r="QX88" s="424"/>
      <c r="QY88" s="424"/>
      <c r="QZ88" s="424"/>
      <c r="RA88" s="424"/>
      <c r="RT88" s="424"/>
      <c r="RU88" s="424"/>
      <c r="RV88" s="424"/>
      <c r="RW88" s="424"/>
      <c r="RX88" s="424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82">
        <f>ROW()</f>
        <v>88</v>
      </c>
      <c r="SM88" s="616" t="s">
        <v>866</v>
      </c>
      <c r="SN88" s="1484"/>
      <c r="SO88" s="653"/>
      <c r="SP88" s="653"/>
      <c r="SQ88" s="653"/>
      <c r="SR88" s="653">
        <f>SR70+SR52+SR34+SR16</f>
        <v>890852.85999999987</v>
      </c>
      <c r="SS88" s="1475">
        <f>SR88</f>
        <v>890852.85999999987</v>
      </c>
      <c r="ST88" s="1475">
        <f>ST70+ST52+ST34+ST16</f>
        <v>7172742.9100000001</v>
      </c>
      <c r="SU88" s="1475">
        <f>ST88+SS88</f>
        <v>8063595.7699999996</v>
      </c>
      <c r="SV88" s="1475">
        <f>SV70+SV52+SV34+SV16</f>
        <v>13820341.799999999</v>
      </c>
      <c r="SW88" s="1475">
        <f>SV88+SU88</f>
        <v>21883937.57</v>
      </c>
      <c r="SX88" s="1475">
        <f>SX70+SX52+SX34+SX16</f>
        <v>9537740.0200000014</v>
      </c>
      <c r="SY88" s="1475">
        <f>SX88+SW88</f>
        <v>31421677.590000004</v>
      </c>
      <c r="SZ88" s="1475"/>
      <c r="TA88" s="1475"/>
      <c r="TB88" s="1474"/>
      <c r="TC88" s="1474"/>
      <c r="TD88" s="424"/>
      <c r="TE88" s="424"/>
      <c r="TF88" s="424"/>
      <c r="TG88" s="424"/>
      <c r="TH88" s="424"/>
      <c r="TI88" s="424"/>
      <c r="TJ88" s="424"/>
      <c r="TK88" s="424"/>
      <c r="TL88" s="424"/>
      <c r="TM88" s="424"/>
      <c r="TN88" s="424"/>
      <c r="TO88" s="424"/>
      <c r="TP88" s="424"/>
      <c r="TQ88" s="424"/>
      <c r="TR88" s="424"/>
      <c r="TS88" s="424"/>
      <c r="TT88" s="424"/>
      <c r="TU88" s="424"/>
      <c r="TV88" s="424"/>
      <c r="TW88" s="424"/>
      <c r="TY88" s="20"/>
      <c r="TZ88" s="20"/>
      <c r="UA88" s="78"/>
      <c r="UB88" s="78"/>
      <c r="UC88" s="78"/>
      <c r="UD88" s="1499"/>
      <c r="UE88" s="1499"/>
      <c r="UF88" s="1499"/>
      <c r="UG88" s="1499"/>
      <c r="UH88" s="1499"/>
      <c r="UI88" s="1499"/>
      <c r="UJ88" s="1499"/>
      <c r="UK88" s="1499"/>
      <c r="UL88" s="1499"/>
      <c r="UM88" s="1499"/>
      <c r="UN88" s="1499"/>
      <c r="UO88" s="1499"/>
    </row>
    <row r="89" spans="2:561" x14ac:dyDescent="0.25">
      <c r="B89" s="99"/>
      <c r="C89" s="1388"/>
      <c r="D89" s="880"/>
      <c r="E89" s="880"/>
      <c r="F89" s="880"/>
      <c r="G89" s="641"/>
      <c r="H89" s="880"/>
      <c r="I89" s="641"/>
      <c r="J89" s="1052"/>
      <c r="K89" s="641"/>
      <c r="L89" s="641"/>
      <c r="M89" s="641"/>
      <c r="N89" s="619"/>
      <c r="T89" s="679"/>
      <c r="U89" s="20"/>
      <c r="V89" s="63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1485"/>
      <c r="AH89" s="1485"/>
      <c r="AI89" s="1485"/>
      <c r="AJ89" s="1485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V89"/>
      <c r="BW89"/>
      <c r="BX89"/>
      <c r="BY89"/>
      <c r="BZ89"/>
      <c r="CA89"/>
      <c r="CB89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IS89"/>
      <c r="IT89"/>
      <c r="IU89"/>
      <c r="IV89"/>
      <c r="IW89"/>
      <c r="IX89"/>
      <c r="IY89"/>
      <c r="IZ89"/>
      <c r="JK89"/>
      <c r="JL89"/>
      <c r="JM89"/>
      <c r="JN89"/>
      <c r="JO89"/>
      <c r="JP89"/>
      <c r="JQ89"/>
      <c r="JR89"/>
      <c r="JS89"/>
      <c r="JT89"/>
      <c r="JU89"/>
      <c r="JV89"/>
      <c r="JW89"/>
      <c r="NP89" s="88"/>
      <c r="OW89"/>
      <c r="OX89"/>
      <c r="OY89"/>
      <c r="OZ89" s="1447"/>
      <c r="PA89" s="842"/>
      <c r="PB89" s="1446"/>
      <c r="PC89" s="1446"/>
      <c r="PD89" s="1446"/>
      <c r="PE89" s="1446"/>
      <c r="PF89" s="1446"/>
      <c r="PG89" s="1446"/>
      <c r="PH89" s="1446"/>
      <c r="PI89" s="1446"/>
      <c r="PJ89" s="1446"/>
      <c r="PK89" s="1443"/>
      <c r="PL89" s="1442"/>
      <c r="PM89"/>
      <c r="PN89"/>
      <c r="PO89"/>
      <c r="PP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J89" s="424"/>
      <c r="QK89" s="424"/>
      <c r="QL89" s="424"/>
      <c r="QM89" s="424"/>
      <c r="QN89" s="424"/>
      <c r="QO89" s="424"/>
      <c r="QP89" s="424"/>
      <c r="QQ89" s="424"/>
      <c r="QR89" s="424"/>
      <c r="QS89" s="424"/>
      <c r="QT89" s="424"/>
      <c r="QU89" s="424"/>
      <c r="QV89" s="424"/>
      <c r="QW89" s="424"/>
      <c r="QX89" s="424"/>
      <c r="QY89" s="424"/>
      <c r="QZ89" s="424"/>
      <c r="RA89" s="424"/>
      <c r="RT89" s="424"/>
      <c r="RU89" s="424"/>
      <c r="RV89" s="424"/>
      <c r="RW89" s="424"/>
      <c r="RX89" s="424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82">
        <f>ROW()</f>
        <v>89</v>
      </c>
      <c r="SM89" s="616" t="s">
        <v>865</v>
      </c>
      <c r="SN89" s="1484"/>
      <c r="SO89" s="674"/>
      <c r="SP89" s="674"/>
      <c r="SQ89" s="674"/>
      <c r="SR89" s="674">
        <f>SR71+SR53+SR35+SR17</f>
        <v>62919.295219999993</v>
      </c>
      <c r="SS89" s="1471">
        <f>SR89</f>
        <v>62919.295219999993</v>
      </c>
      <c r="ST89" s="1471">
        <f>ST71+ST53+ST35+ST17</f>
        <v>1452147.227775</v>
      </c>
      <c r="SU89" s="1471">
        <f>ST89+SS89</f>
        <v>1515066.522995</v>
      </c>
      <c r="SV89" s="1471">
        <f>SV71+SV53+SV35+SV17</f>
        <v>1719663.4968349996</v>
      </c>
      <c r="SW89" s="1471">
        <f>SV89+SU89</f>
        <v>3234730.0198299997</v>
      </c>
      <c r="SX89" s="1471">
        <f>SX71+SX53+SX35+SX17</f>
        <v>1541138.9825850003</v>
      </c>
      <c r="SY89" s="1471">
        <f>SX89+SW89</f>
        <v>4775869.0024149995</v>
      </c>
      <c r="SZ89" s="1471"/>
      <c r="TA89" s="1471"/>
      <c r="TB89" s="1470"/>
      <c r="TC89" s="1470"/>
      <c r="TD89" s="424"/>
      <c r="TE89" s="424"/>
      <c r="TF89" s="424"/>
      <c r="TG89" s="424"/>
      <c r="TH89" s="424"/>
      <c r="TI89" s="424"/>
      <c r="TJ89" s="424"/>
      <c r="TK89" s="424"/>
      <c r="TL89" s="424"/>
      <c r="TM89" s="424"/>
      <c r="TN89" s="424"/>
      <c r="TO89" s="424"/>
      <c r="TP89" s="424"/>
      <c r="TQ89" s="424"/>
      <c r="TR89" s="424"/>
      <c r="TS89" s="424"/>
      <c r="TT89" s="424"/>
      <c r="TU89" s="424"/>
      <c r="TV89" s="424"/>
      <c r="TW89" s="424"/>
      <c r="TY89" s="942"/>
      <c r="TZ89" s="20"/>
      <c r="UA89" s="78"/>
      <c r="UB89" s="78"/>
      <c r="UC89" s="20"/>
      <c r="UD89" s="1498"/>
      <c r="UE89" s="1498"/>
      <c r="UF89" s="1498"/>
      <c r="UG89" s="1498"/>
      <c r="UH89" s="1498"/>
      <c r="UI89" s="1498"/>
      <c r="UJ89" s="1498"/>
      <c r="UK89" s="1498"/>
      <c r="UL89" s="1498"/>
      <c r="UM89" s="1498"/>
      <c r="UN89" s="1498"/>
      <c r="UO89" s="1498"/>
    </row>
    <row r="90" spans="2:561" x14ac:dyDescent="0.25">
      <c r="B90" s="99"/>
      <c r="C90" s="1388"/>
      <c r="D90" s="1392"/>
      <c r="E90" s="1392"/>
      <c r="F90" s="880"/>
      <c r="G90" s="1392"/>
      <c r="H90" s="880"/>
      <c r="I90" s="641"/>
      <c r="J90" s="1052"/>
      <c r="K90" s="641"/>
      <c r="L90" s="641"/>
      <c r="M90" s="641"/>
      <c r="N90" s="619"/>
      <c r="T90" s="679"/>
      <c r="U90" s="690"/>
      <c r="V90" s="63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1485"/>
      <c r="AH90" s="1485"/>
      <c r="AI90" s="1485"/>
      <c r="AJ90" s="1485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V90"/>
      <c r="BW90"/>
      <c r="BX90"/>
      <c r="BY90"/>
      <c r="BZ90"/>
      <c r="CA90"/>
      <c r="CB9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IS90"/>
      <c r="IT90"/>
      <c r="IU90"/>
      <c r="IV90"/>
      <c r="IW90"/>
      <c r="IX90"/>
      <c r="IY90"/>
      <c r="IZ90"/>
      <c r="JK90"/>
      <c r="JL90"/>
      <c r="JM90"/>
      <c r="JN90"/>
      <c r="JO90"/>
      <c r="JP90"/>
      <c r="JQ90"/>
      <c r="JR90"/>
      <c r="JS90"/>
      <c r="JT90"/>
      <c r="JU90"/>
      <c r="JV90"/>
      <c r="JW90"/>
      <c r="NP90" s="88"/>
      <c r="OW90"/>
      <c r="OX90"/>
      <c r="OY90"/>
      <c r="OZ90" s="1439"/>
      <c r="PA90" s="20"/>
      <c r="PB90" s="1438"/>
      <c r="PC90" s="1438"/>
      <c r="PD90" s="1438"/>
      <c r="PE90" s="1438"/>
      <c r="PF90" s="1438"/>
      <c r="PG90" s="1438"/>
      <c r="PH90" s="1438"/>
      <c r="PI90" s="1438"/>
      <c r="PJ90" s="1438"/>
      <c r="PK90" s="1438"/>
      <c r="PL90" s="1438"/>
      <c r="PM90"/>
      <c r="PN90"/>
      <c r="PO90"/>
      <c r="PP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J90" s="424"/>
      <c r="QK90" s="424"/>
      <c r="QL90" s="424"/>
      <c r="QM90" s="424"/>
      <c r="QN90" s="424"/>
      <c r="QO90" s="424"/>
      <c r="QP90" s="424"/>
      <c r="QQ90" s="424"/>
      <c r="QR90" s="424"/>
      <c r="QS90" s="424"/>
      <c r="QT90" s="424"/>
      <c r="QU90" s="424"/>
      <c r="QV90" s="424"/>
      <c r="QW90" s="424"/>
      <c r="QX90" s="424"/>
      <c r="QY90" s="424"/>
      <c r="QZ90" s="424"/>
      <c r="RA90" s="424"/>
      <c r="RT90" s="424"/>
      <c r="RU90" s="424"/>
      <c r="RV90" s="424"/>
      <c r="RW90" s="424"/>
      <c r="RX90" s="424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82">
        <f>ROW()</f>
        <v>90</v>
      </c>
      <c r="SM90" s="616" t="s">
        <v>864</v>
      </c>
      <c r="SN90" s="1484"/>
      <c r="SO90" s="674"/>
      <c r="SP90" s="674"/>
      <c r="SQ90" s="674"/>
      <c r="SR90" s="674">
        <f>SR72+SR54+SR36+SR18</f>
        <v>64451.28</v>
      </c>
      <c r="SS90" s="1471">
        <f>SR90</f>
        <v>64451.28</v>
      </c>
      <c r="ST90" s="1471">
        <f>ST72+ST54+ST36+ST18</f>
        <v>1279387.8199999998</v>
      </c>
      <c r="SU90" s="1471">
        <f>ST90+SS90</f>
        <v>1343839.0999999999</v>
      </c>
      <c r="SV90" s="1471">
        <f>SV72+SV54+SV36+SV18</f>
        <v>3143931.6999999993</v>
      </c>
      <c r="SW90" s="1471">
        <f>SV90+SU90</f>
        <v>4487770.7999999989</v>
      </c>
      <c r="SX90" s="1471">
        <f>SX72+SX54+SX36+SX18</f>
        <v>1881879.2100000007</v>
      </c>
      <c r="SY90" s="1471">
        <f>SX90+SW90</f>
        <v>6369650.0099999998</v>
      </c>
      <c r="SZ90" s="1471"/>
      <c r="TA90" s="1471"/>
      <c r="TB90" s="1470"/>
      <c r="TC90" s="1470"/>
      <c r="TD90" s="424"/>
      <c r="TE90" s="424"/>
      <c r="TF90" s="424"/>
      <c r="TG90" s="424"/>
      <c r="TH90" s="424"/>
      <c r="TI90" s="424"/>
      <c r="TJ90" s="424"/>
      <c r="TK90" s="424"/>
      <c r="TL90" s="424"/>
      <c r="TM90" s="424"/>
      <c r="TN90" s="424"/>
      <c r="TO90" s="424"/>
      <c r="TP90" s="424"/>
      <c r="TQ90" s="424"/>
      <c r="TR90" s="424"/>
      <c r="TS90" s="424"/>
      <c r="TT90" s="424"/>
      <c r="TU90" s="424"/>
      <c r="TV90" s="424"/>
      <c r="TW90" s="424"/>
      <c r="TY90" s="609"/>
      <c r="TZ90" s="20"/>
      <c r="UA90" s="78"/>
      <c r="UB90" s="78"/>
      <c r="UC90" s="78"/>
      <c r="UD90" s="1495"/>
      <c r="UE90" s="1495"/>
      <c r="UF90" s="1495"/>
      <c r="UG90" s="1495"/>
      <c r="UH90" s="1495"/>
      <c r="UI90" s="1495"/>
      <c r="UJ90" s="1495"/>
      <c r="UK90" s="1495"/>
      <c r="UL90" s="1495"/>
      <c r="UM90" s="1495"/>
      <c r="UN90" s="1495"/>
      <c r="UO90" s="1495"/>
    </row>
    <row r="91" spans="2:561" x14ac:dyDescent="0.25">
      <c r="B91" s="99"/>
      <c r="C91" s="1388"/>
      <c r="D91" s="1392"/>
      <c r="E91" s="1392"/>
      <c r="F91" s="880"/>
      <c r="G91" s="641"/>
      <c r="H91" s="880"/>
      <c r="I91" s="641"/>
      <c r="J91" s="1052"/>
      <c r="K91" s="641"/>
      <c r="L91" s="641"/>
      <c r="M91" s="641"/>
      <c r="N91" s="1394"/>
      <c r="T91" s="679"/>
      <c r="U91" s="20"/>
      <c r="V91" s="63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1485"/>
      <c r="AH91" s="1485"/>
      <c r="AI91" s="1485"/>
      <c r="AJ91" s="1485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V91"/>
      <c r="BW91"/>
      <c r="BX91"/>
      <c r="BY91"/>
      <c r="BZ91"/>
      <c r="CA91"/>
      <c r="CB91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IS91"/>
      <c r="IT91"/>
      <c r="IU91"/>
      <c r="IV91"/>
      <c r="IW91"/>
      <c r="IX91"/>
      <c r="IY91"/>
      <c r="IZ91"/>
      <c r="JK91"/>
      <c r="JL91"/>
      <c r="JM91"/>
      <c r="JN91"/>
      <c r="JO91"/>
      <c r="JP91"/>
      <c r="JQ91"/>
      <c r="JR91"/>
      <c r="JS91"/>
      <c r="JT91"/>
      <c r="JU91"/>
      <c r="JV91"/>
      <c r="JW91"/>
      <c r="NP91" s="88"/>
      <c r="OW91"/>
      <c r="OX91"/>
      <c r="OY91"/>
      <c r="OZ91" s="1439"/>
      <c r="PA91" s="842"/>
      <c r="PB91" s="1444"/>
      <c r="PC91" s="1444"/>
      <c r="PD91" s="1444"/>
      <c r="PE91" s="1444"/>
      <c r="PF91" s="1444"/>
      <c r="PG91" s="1444"/>
      <c r="PH91" s="1444"/>
      <c r="PI91" s="1444"/>
      <c r="PJ91" s="1444"/>
      <c r="PK91" s="1443"/>
      <c r="PL91" s="1442"/>
      <c r="PM91"/>
      <c r="PN91"/>
      <c r="PO91"/>
      <c r="PP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J91" s="424"/>
      <c r="QK91" s="424"/>
      <c r="QL91" s="424"/>
      <c r="QM91" s="424"/>
      <c r="QN91" s="424"/>
      <c r="QO91" s="424"/>
      <c r="QP91" s="424"/>
      <c r="QQ91" s="424"/>
      <c r="QR91" s="424"/>
      <c r="QS91" s="424"/>
      <c r="QT91" s="424"/>
      <c r="QU91" s="424"/>
      <c r="QV91" s="424"/>
      <c r="QW91" s="424"/>
      <c r="QX91" s="424"/>
      <c r="QY91" s="424"/>
      <c r="QZ91" s="424"/>
      <c r="RA91" s="424"/>
      <c r="RT91" s="424"/>
      <c r="RU91" s="424"/>
      <c r="RV91" s="424"/>
      <c r="RW91" s="424"/>
      <c r="RX91" s="424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82">
        <f>ROW()</f>
        <v>91</v>
      </c>
      <c r="SM91" s="616" t="s">
        <v>863</v>
      </c>
      <c r="SN91" s="1484"/>
      <c r="SO91" s="693"/>
      <c r="SP91" s="693"/>
      <c r="SQ91" s="693"/>
      <c r="SR91" s="693">
        <f>SR73+SR55+SR37+SR19</f>
        <v>377927.91136000003</v>
      </c>
      <c r="SS91" s="1469">
        <f>SR91</f>
        <v>377927.91136000003</v>
      </c>
      <c r="ST91" s="1469">
        <f>ST73+ST55+ST37+ST19</f>
        <v>5991347.6971450001</v>
      </c>
      <c r="SU91" s="1469">
        <f>ST91+SS91</f>
        <v>6369275.6085050004</v>
      </c>
      <c r="SV91" s="1469">
        <f>SV73+SV55+SV37+SV19</f>
        <v>6255464.474235001</v>
      </c>
      <c r="SW91" s="1469">
        <f>SV91+SU91</f>
        <v>12624740.082740001</v>
      </c>
      <c r="SX91" s="1469">
        <f>SX73+SX55+SX37+SX19</f>
        <v>8501429.3994199969</v>
      </c>
      <c r="SY91" s="1469">
        <f>SX91+SW91</f>
        <v>21126169.482159998</v>
      </c>
      <c r="SZ91" s="1469"/>
      <c r="TA91" s="1469"/>
      <c r="TB91" s="1468"/>
      <c r="TC91" s="1468"/>
      <c r="TD91" s="424"/>
      <c r="TE91" s="424"/>
      <c r="TF91" s="424"/>
      <c r="TG91" s="424"/>
      <c r="TH91" s="424"/>
      <c r="TI91" s="424"/>
      <c r="TJ91" s="424"/>
      <c r="TK91" s="424"/>
      <c r="TL91" s="424"/>
      <c r="TM91" s="424"/>
      <c r="TN91" s="424"/>
      <c r="TO91" s="424"/>
      <c r="TP91" s="424"/>
      <c r="TQ91" s="424"/>
      <c r="TR91" s="424"/>
      <c r="TS91" s="424"/>
      <c r="TT91" s="424"/>
      <c r="TU91" s="424"/>
      <c r="TV91" s="424"/>
      <c r="TW91" s="424"/>
      <c r="TY91" s="609"/>
      <c r="TZ91" s="20"/>
      <c r="UA91" s="646"/>
      <c r="UB91" s="78"/>
      <c r="UC91" s="78"/>
      <c r="UD91" s="1495"/>
      <c r="UE91" s="1495"/>
      <c r="UF91" s="1495"/>
      <c r="UG91" s="1495"/>
      <c r="UH91" s="1495"/>
      <c r="UI91" s="1495"/>
      <c r="UJ91" s="1495"/>
      <c r="UK91" s="1495"/>
      <c r="UL91" s="1495"/>
      <c r="UM91" s="1495"/>
      <c r="UN91" s="1495"/>
      <c r="UO91" s="1495"/>
    </row>
    <row r="92" spans="2:561" x14ac:dyDescent="0.25">
      <c r="B92" s="99"/>
      <c r="C92" s="1388"/>
      <c r="D92" s="1392"/>
      <c r="E92" s="1392"/>
      <c r="F92" s="880"/>
      <c r="G92" s="641"/>
      <c r="H92" s="880"/>
      <c r="I92" s="641"/>
      <c r="J92" s="1052"/>
      <c r="K92" s="641"/>
      <c r="L92" s="641"/>
      <c r="M92" s="641"/>
      <c r="N92" s="1394"/>
      <c r="T92" s="679"/>
      <c r="U92" s="690"/>
      <c r="V92" s="63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1485"/>
      <c r="AH92" s="1485"/>
      <c r="AI92" s="1485"/>
      <c r="AJ92" s="1485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V92"/>
      <c r="BW92"/>
      <c r="BX92"/>
      <c r="BY92"/>
      <c r="BZ92"/>
      <c r="CA92"/>
      <c r="CB92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IS92"/>
      <c r="IT92"/>
      <c r="IU92"/>
      <c r="IV92"/>
      <c r="IW92"/>
      <c r="IX92"/>
      <c r="IY92"/>
      <c r="IZ92"/>
      <c r="JK92"/>
      <c r="JL92"/>
      <c r="JM92"/>
      <c r="JN92"/>
      <c r="JO92"/>
      <c r="JP92"/>
      <c r="JQ92"/>
      <c r="JR92"/>
      <c r="JS92"/>
      <c r="JT92"/>
      <c r="JU92"/>
      <c r="JV92"/>
      <c r="JW92"/>
      <c r="NP92" s="88"/>
      <c r="OW92"/>
      <c r="OX92"/>
      <c r="OY92"/>
      <c r="OZ92" s="1439"/>
      <c r="PA92" s="703"/>
      <c r="PB92" s="1440"/>
      <c r="PC92" s="1440"/>
      <c r="PD92" s="1440"/>
      <c r="PE92" s="1440"/>
      <c r="PF92" s="1440"/>
      <c r="PG92" s="1440"/>
      <c r="PH92" s="1440"/>
      <c r="PI92" s="1440"/>
      <c r="PJ92" s="1440"/>
      <c r="PK92" s="1440"/>
      <c r="PL92" s="1440"/>
      <c r="PM92"/>
      <c r="PN92"/>
      <c r="PO92"/>
      <c r="PP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J92" s="424"/>
      <c r="QK92" s="424"/>
      <c r="QL92" s="424"/>
      <c r="QM92" s="424"/>
      <c r="QN92" s="424"/>
      <c r="QO92" s="424"/>
      <c r="QP92" s="424"/>
      <c r="QQ92" s="424"/>
      <c r="QR92" s="424"/>
      <c r="QS92" s="424"/>
      <c r="QT92" s="424"/>
      <c r="QU92" s="424"/>
      <c r="QV92" s="424"/>
      <c r="QW92" s="424"/>
      <c r="QX92" s="424"/>
      <c r="QY92" s="424"/>
      <c r="QZ92" s="424"/>
      <c r="RA92" s="424"/>
      <c r="RT92" s="424"/>
      <c r="RU92" s="424"/>
      <c r="RV92" s="424"/>
      <c r="RW92" s="424"/>
      <c r="RX92" s="424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82">
        <f>ROW()</f>
        <v>92</v>
      </c>
      <c r="SM92" s="616" t="s">
        <v>280</v>
      </c>
      <c r="SN92" s="1484"/>
      <c r="SO92" s="1471"/>
      <c r="SP92" s="1471"/>
      <c r="SQ92" s="1471"/>
      <c r="SR92" s="1471">
        <f t="shared" ref="SR92:SY92" si="157">SUM(SR88:SR91)</f>
        <v>1396151.3465799999</v>
      </c>
      <c r="SS92" s="1471">
        <f t="shared" si="157"/>
        <v>1396151.3465799999</v>
      </c>
      <c r="ST92" s="1471">
        <f t="shared" si="157"/>
        <v>15895625.654920001</v>
      </c>
      <c r="SU92" s="1471">
        <f t="shared" si="157"/>
        <v>17291777.001499999</v>
      </c>
      <c r="SV92" s="1471">
        <f t="shared" si="157"/>
        <v>24939401.471069999</v>
      </c>
      <c r="SW92" s="1471">
        <f t="shared" si="157"/>
        <v>42231178.472570002</v>
      </c>
      <c r="SX92" s="1471">
        <f t="shared" si="157"/>
        <v>21462187.612004999</v>
      </c>
      <c r="SY92" s="1471">
        <f t="shared" si="157"/>
        <v>63693366.084574997</v>
      </c>
      <c r="SZ92" s="1471"/>
      <c r="TA92" s="1471"/>
      <c r="TB92" s="1470"/>
      <c r="TC92" s="1470"/>
      <c r="TD92" s="424"/>
      <c r="TE92" s="424"/>
      <c r="TF92" s="424"/>
      <c r="TG92" s="424"/>
      <c r="TH92" s="424"/>
      <c r="TI92" s="424"/>
      <c r="TJ92" s="424"/>
      <c r="TK92" s="424"/>
      <c r="TL92" s="424"/>
      <c r="TM92" s="424"/>
      <c r="TN92" s="424"/>
      <c r="TO92" s="424"/>
      <c r="TP92" s="424"/>
      <c r="TQ92" s="424"/>
      <c r="TR92" s="424"/>
      <c r="TS92" s="424"/>
      <c r="TT92" s="424"/>
      <c r="TU92" s="424"/>
      <c r="TV92" s="424"/>
      <c r="TW92" s="424"/>
      <c r="TY92" s="609"/>
      <c r="TZ92" s="1497"/>
      <c r="UA92" s="646"/>
      <c r="UB92" s="646"/>
      <c r="UC92" s="646"/>
      <c r="UD92" s="1495"/>
      <c r="UE92" s="1496"/>
      <c r="UF92" s="1495"/>
      <c r="UG92" s="1496"/>
      <c r="UH92" s="1495"/>
      <c r="UI92" s="1496"/>
      <c r="UJ92" s="1495"/>
      <c r="UK92" s="1496"/>
      <c r="UL92" s="1495"/>
      <c r="UM92" s="1496"/>
      <c r="UN92" s="1495"/>
      <c r="UO92" s="1495"/>
    </row>
    <row r="93" spans="2:561" ht="15.75" thickBot="1" x14ac:dyDescent="0.3">
      <c r="B93" s="99"/>
      <c r="C93" s="1388"/>
      <c r="D93" s="1392"/>
      <c r="E93" s="1392"/>
      <c r="F93" s="880"/>
      <c r="G93" s="641"/>
      <c r="H93" s="880"/>
      <c r="I93" s="641"/>
      <c r="J93" s="1052"/>
      <c r="K93" s="641"/>
      <c r="L93" s="641"/>
      <c r="M93" s="641"/>
      <c r="N93" s="1394"/>
      <c r="T93" s="679"/>
      <c r="U93" s="20"/>
      <c r="V93" s="63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1485"/>
      <c r="AH93" s="1485"/>
      <c r="AI93" s="1485"/>
      <c r="AJ93" s="1485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V93"/>
      <c r="BW93"/>
      <c r="BX93"/>
      <c r="BY93"/>
      <c r="BZ93"/>
      <c r="CA93"/>
      <c r="CB93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IS93"/>
      <c r="IT93"/>
      <c r="IU93"/>
      <c r="IV93"/>
      <c r="IW93"/>
      <c r="IX93"/>
      <c r="IY93"/>
      <c r="IZ93"/>
      <c r="JK93"/>
      <c r="JL93"/>
      <c r="JM93"/>
      <c r="JN93"/>
      <c r="JO93"/>
      <c r="JP93"/>
      <c r="JQ93"/>
      <c r="JR93"/>
      <c r="JS93"/>
      <c r="JT93"/>
      <c r="JU93"/>
      <c r="JV93"/>
      <c r="JW93"/>
      <c r="NP93" s="88"/>
      <c r="OW93"/>
      <c r="OX93"/>
      <c r="OY93"/>
      <c r="OZ93" s="1439"/>
      <c r="PA93" s="20"/>
      <c r="PB93" s="1438"/>
      <c r="PC93" s="1438"/>
      <c r="PD93" s="1438"/>
      <c r="PE93" s="1438"/>
      <c r="PF93" s="1438"/>
      <c r="PG93" s="1438"/>
      <c r="PH93" s="1438"/>
      <c r="PI93" s="1438"/>
      <c r="PJ93" s="1438"/>
      <c r="PK93" s="1438"/>
      <c r="PL93" s="1438"/>
      <c r="PM93"/>
      <c r="PN93"/>
      <c r="PO93"/>
      <c r="PP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J93" s="424"/>
      <c r="QK93" s="424"/>
      <c r="QL93" s="424"/>
      <c r="QM93" s="424"/>
      <c r="QN93" s="424"/>
      <c r="QO93" s="424"/>
      <c r="QP93" s="424"/>
      <c r="QQ93" s="424"/>
      <c r="QR93" s="424"/>
      <c r="QS93" s="424"/>
      <c r="QT93" s="424"/>
      <c r="QU93" s="424"/>
      <c r="QV93" s="424"/>
      <c r="QW93" s="424"/>
      <c r="QX93" s="424"/>
      <c r="QY93" s="424"/>
      <c r="QZ93" s="424"/>
      <c r="RA93" s="424"/>
      <c r="RT93" s="424"/>
      <c r="RU93" s="424"/>
      <c r="RV93" s="424"/>
      <c r="RW93" s="424"/>
      <c r="RX93" s="424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82">
        <f>ROW()</f>
        <v>93</v>
      </c>
      <c r="SM93" s="616"/>
      <c r="SN93" s="1484"/>
      <c r="SO93" s="1471"/>
      <c r="SP93" s="1471"/>
      <c r="SQ93" s="1471"/>
      <c r="SR93" s="1471"/>
      <c r="SS93" s="1471"/>
      <c r="ST93" s="1471"/>
      <c r="SU93" s="1471"/>
      <c r="SV93" s="1471"/>
      <c r="SW93" s="1471"/>
      <c r="SX93" s="1471"/>
      <c r="SY93" s="1471"/>
      <c r="SZ93" s="1471"/>
      <c r="TA93" s="1471"/>
      <c r="TB93" s="1470"/>
      <c r="TC93" s="1470"/>
      <c r="TD93" s="424"/>
      <c r="TE93" s="424"/>
      <c r="TF93" s="424"/>
      <c r="TG93" s="424"/>
      <c r="TH93" s="424"/>
      <c r="TI93" s="424"/>
      <c r="TJ93" s="424"/>
      <c r="TK93" s="424"/>
      <c r="TL93" s="424"/>
      <c r="TM93" s="424"/>
      <c r="TN93" s="424"/>
      <c r="TO93" s="424"/>
      <c r="TP93" s="424"/>
      <c r="TQ93" s="424"/>
      <c r="TR93" s="424"/>
      <c r="TS93" s="424"/>
      <c r="TT93" s="424"/>
      <c r="TU93" s="424"/>
      <c r="TV93" s="424"/>
      <c r="TW93" s="424"/>
      <c r="TY93" s="624"/>
      <c r="TZ93" s="624"/>
      <c r="UA93" s="1494"/>
      <c r="UB93" s="1494"/>
      <c r="UC93" s="624"/>
      <c r="UD93" s="1493"/>
      <c r="UE93" s="1493"/>
      <c r="UF93" s="1493"/>
      <c r="UG93" s="1493"/>
      <c r="UH93" s="1493"/>
      <c r="UI93" s="1493"/>
      <c r="UJ93" s="1493"/>
      <c r="UK93" s="1493"/>
      <c r="UL93" s="1493"/>
      <c r="UM93" s="1493"/>
      <c r="UN93" s="1493"/>
      <c r="UO93" s="1493"/>
    </row>
    <row r="94" spans="2:561" ht="15.75" thickTop="1" x14ac:dyDescent="0.25">
      <c r="B94" s="99"/>
      <c r="C94" s="1388"/>
      <c r="D94" s="1392"/>
      <c r="E94" s="1392"/>
      <c r="F94" s="880"/>
      <c r="G94" s="641"/>
      <c r="H94" s="880"/>
      <c r="I94" s="641"/>
      <c r="J94" s="1052"/>
      <c r="K94" s="641"/>
      <c r="L94" s="641"/>
      <c r="M94" s="641"/>
      <c r="N94" s="1394"/>
      <c r="T94" s="679"/>
      <c r="U94" s="690"/>
      <c r="V94" s="63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1485"/>
      <c r="AH94" s="1485"/>
      <c r="AI94" s="1485"/>
      <c r="AJ94" s="1485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V94"/>
      <c r="BW94"/>
      <c r="BX94"/>
      <c r="BY94"/>
      <c r="BZ94"/>
      <c r="CA94"/>
      <c r="CB94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IS94"/>
      <c r="IT94"/>
      <c r="IU94"/>
      <c r="IV94"/>
      <c r="IW94"/>
      <c r="IX94"/>
      <c r="IY94"/>
      <c r="IZ94"/>
      <c r="JK94"/>
      <c r="JL94"/>
      <c r="JM94"/>
      <c r="JN94"/>
      <c r="JO94"/>
      <c r="JP94"/>
      <c r="JQ94"/>
      <c r="JR94"/>
      <c r="JS94"/>
      <c r="JT94"/>
      <c r="JU94"/>
      <c r="JV94"/>
      <c r="JW94"/>
      <c r="NP94" s="88"/>
      <c r="OW94"/>
      <c r="OX94"/>
      <c r="OY94"/>
      <c r="OZ94" s="523"/>
      <c r="PA94" s="99"/>
      <c r="PB94" s="1464"/>
      <c r="PC94" s="1464"/>
      <c r="PD94" s="1464"/>
      <c r="PE94" s="1464"/>
      <c r="PF94" s="1464"/>
      <c r="PG94" s="1464"/>
      <c r="PH94" s="1464"/>
      <c r="PI94" s="1464"/>
      <c r="PJ94" s="1464"/>
      <c r="PK94" s="1464"/>
      <c r="PL94" s="99"/>
      <c r="PM94"/>
      <c r="PN94"/>
      <c r="PO94"/>
      <c r="PP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J94" s="424"/>
      <c r="QK94" s="424"/>
      <c r="QL94" s="424"/>
      <c r="QM94" s="424"/>
      <c r="QN94" s="424"/>
      <c r="QO94" s="424"/>
      <c r="QP94" s="424"/>
      <c r="QQ94" s="424"/>
      <c r="QR94" s="424"/>
      <c r="QS94" s="424"/>
      <c r="QT94" s="424"/>
      <c r="QU94" s="424"/>
      <c r="QV94" s="424"/>
      <c r="QW94" s="424"/>
      <c r="QX94" s="424"/>
      <c r="QY94" s="424"/>
      <c r="QZ94" s="424"/>
      <c r="RA94" s="424"/>
      <c r="RT94" s="424"/>
      <c r="RU94" s="424"/>
      <c r="RV94" s="424"/>
      <c r="RW94" s="424"/>
      <c r="RX94" s="424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82">
        <f>ROW()</f>
        <v>94</v>
      </c>
      <c r="SM94" s="616" t="s">
        <v>258</v>
      </c>
      <c r="SN94" s="1484"/>
      <c r="SO94" s="1471"/>
      <c r="SP94" s="1471"/>
      <c r="SQ94" s="1471"/>
      <c r="SR94" s="1471">
        <f t="shared" ref="SR94:SY94" si="158">SR92</f>
        <v>1396151.3465799999</v>
      </c>
      <c r="SS94" s="1471">
        <f t="shared" si="158"/>
        <v>1396151.3465799999</v>
      </c>
      <c r="ST94" s="1471">
        <f t="shared" si="158"/>
        <v>15895625.654920001</v>
      </c>
      <c r="SU94" s="1471">
        <f t="shared" si="158"/>
        <v>17291777.001499999</v>
      </c>
      <c r="SV94" s="1471">
        <f t="shared" si="158"/>
        <v>24939401.471069999</v>
      </c>
      <c r="SW94" s="1471">
        <f t="shared" si="158"/>
        <v>42231178.472570002</v>
      </c>
      <c r="SX94" s="1471">
        <f t="shared" si="158"/>
        <v>21462187.612004999</v>
      </c>
      <c r="SY94" s="1471">
        <f t="shared" si="158"/>
        <v>63693366.084574997</v>
      </c>
      <c r="SZ94" s="1471"/>
      <c r="TA94" s="1471"/>
      <c r="TB94" s="1470"/>
      <c r="TC94" s="1470"/>
      <c r="TD94" s="424"/>
      <c r="TE94" s="424"/>
      <c r="TF94" s="424"/>
      <c r="TG94" s="424"/>
      <c r="TH94" s="424"/>
      <c r="TI94" s="424"/>
      <c r="TJ94" s="424"/>
      <c r="TK94" s="424"/>
      <c r="TL94" s="424"/>
      <c r="TM94" s="424"/>
      <c r="TN94" s="424"/>
      <c r="TO94" s="424"/>
      <c r="TP94" s="424"/>
      <c r="TQ94" s="424"/>
      <c r="TR94" s="424"/>
      <c r="TS94" s="424"/>
      <c r="TT94" s="424"/>
      <c r="TU94" s="424"/>
      <c r="TV94" s="424"/>
      <c r="TW94" s="424"/>
      <c r="TY94" s="20"/>
      <c r="TZ94" s="20"/>
      <c r="UA94" s="20"/>
      <c r="UB94" s="20"/>
      <c r="UC94" s="20"/>
    </row>
    <row r="95" spans="2:561" x14ac:dyDescent="0.25">
      <c r="B95" s="99"/>
      <c r="C95" s="1388"/>
      <c r="D95" s="1392"/>
      <c r="E95" s="1392"/>
      <c r="F95" s="880"/>
      <c r="G95" s="641"/>
      <c r="H95" s="880"/>
      <c r="I95" s="641"/>
      <c r="J95" s="1052"/>
      <c r="K95" s="641"/>
      <c r="L95" s="641"/>
      <c r="M95" s="641"/>
      <c r="N95" s="1394"/>
      <c r="T95" s="679"/>
      <c r="U95" s="690"/>
      <c r="V95" s="63"/>
      <c r="W95" s="20"/>
      <c r="X95" s="42"/>
      <c r="Y95" s="42"/>
      <c r="Z95" s="42"/>
      <c r="AA95" s="42"/>
      <c r="AB95" s="42"/>
      <c r="AC95" s="42"/>
      <c r="AD95" s="42"/>
      <c r="AE95" s="42"/>
      <c r="AF95" s="42"/>
      <c r="AG95" s="1485"/>
      <c r="AH95" s="1485"/>
      <c r="AI95" s="1485"/>
      <c r="AJ95" s="1485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V95"/>
      <c r="BW95"/>
      <c r="BX95"/>
      <c r="BY95"/>
      <c r="BZ95"/>
      <c r="CA95"/>
      <c r="CB95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IS95"/>
      <c r="IT95"/>
      <c r="IU95"/>
      <c r="IV95"/>
      <c r="IW95"/>
      <c r="IX95"/>
      <c r="IY95"/>
      <c r="IZ95"/>
      <c r="JK95"/>
      <c r="JL95"/>
      <c r="JM95"/>
      <c r="JN95"/>
      <c r="JO95"/>
      <c r="JP95"/>
      <c r="JQ95"/>
      <c r="JR95"/>
      <c r="JS95"/>
      <c r="JT95"/>
      <c r="JU95"/>
      <c r="JV95"/>
      <c r="JW95"/>
      <c r="NP95" s="88"/>
      <c r="OW95"/>
      <c r="OX95"/>
      <c r="OY95"/>
      <c r="OZ95" s="1054"/>
      <c r="PA95" s="1054"/>
      <c r="PB95" s="1492"/>
      <c r="PC95" s="561"/>
      <c r="PD95" s="561"/>
      <c r="PE95" s="561"/>
      <c r="PF95" s="561"/>
      <c r="PG95" s="1193"/>
      <c r="PH95" s="1193"/>
      <c r="PI95" s="1491"/>
      <c r="PJ95" s="1491"/>
      <c r="PK95" s="1491"/>
      <c r="PL95" s="1491"/>
      <c r="PM95"/>
      <c r="PN95"/>
      <c r="PO95"/>
      <c r="PP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J95" s="424"/>
      <c r="QK95" s="424"/>
      <c r="QL95" s="424"/>
      <c r="QM95" s="424"/>
      <c r="QN95" s="424"/>
      <c r="QO95" s="424"/>
      <c r="QP95" s="424"/>
      <c r="QQ95" s="424"/>
      <c r="QR95" s="424"/>
      <c r="QS95" s="424"/>
      <c r="QT95" s="424"/>
      <c r="QU95" s="424"/>
      <c r="QV95" s="424"/>
      <c r="QW95" s="424"/>
      <c r="QX95" s="424"/>
      <c r="QY95" s="424"/>
      <c r="QZ95" s="424"/>
      <c r="RA95" s="424"/>
      <c r="RT95" s="424"/>
      <c r="RU95" s="424"/>
      <c r="RV95" s="424"/>
      <c r="RW95" s="424"/>
      <c r="RX95" s="424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82">
        <f>ROW()</f>
        <v>95</v>
      </c>
      <c r="SM95" s="616"/>
      <c r="SN95" s="1484"/>
      <c r="SO95" s="1490"/>
      <c r="SP95" s="1490"/>
      <c r="SQ95" s="1490"/>
      <c r="SR95" s="1490"/>
      <c r="SS95" s="1490"/>
      <c r="ST95" s="1490"/>
      <c r="SU95" s="1490"/>
      <c r="SV95" s="1490"/>
      <c r="SW95" s="1490"/>
      <c r="SX95" s="1490"/>
      <c r="SY95" s="1490"/>
      <c r="SZ95" s="1490"/>
      <c r="TA95" s="1490"/>
      <c r="TB95" s="1489"/>
      <c r="TC95" s="1489"/>
      <c r="TD95" s="424"/>
      <c r="TE95" s="424"/>
      <c r="TF95" s="424"/>
      <c r="TG95" s="424"/>
      <c r="TH95" s="424"/>
      <c r="TI95" s="424"/>
      <c r="TJ95" s="424"/>
      <c r="TK95" s="424"/>
      <c r="TL95" s="424"/>
      <c r="TM95" s="424"/>
      <c r="TN95" s="424"/>
      <c r="TO95" s="424"/>
      <c r="TP95" s="424"/>
      <c r="TQ95" s="424"/>
      <c r="TR95" s="424"/>
      <c r="TS95" s="424"/>
      <c r="TT95" s="424"/>
      <c r="TU95" s="424"/>
      <c r="TV95" s="424"/>
      <c r="TW95" s="424"/>
      <c r="TY95" s="20"/>
      <c r="TZ95" s="20"/>
      <c r="UA95" s="20"/>
      <c r="UB95" s="20"/>
      <c r="UC95" s="20"/>
    </row>
    <row r="96" spans="2:561" x14ac:dyDescent="0.25">
      <c r="B96" s="99"/>
      <c r="C96" s="1388"/>
      <c r="D96" s="1392"/>
      <c r="E96" s="1392"/>
      <c r="F96" s="880"/>
      <c r="G96" s="641"/>
      <c r="H96" s="880"/>
      <c r="I96" s="641"/>
      <c r="J96" s="1052"/>
      <c r="K96" s="641"/>
      <c r="L96" s="641"/>
      <c r="M96" s="641"/>
      <c r="N96" s="1394"/>
      <c r="T96" s="679"/>
      <c r="U96" s="690"/>
      <c r="V96" s="63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1485"/>
      <c r="AH96" s="1485"/>
      <c r="AI96" s="1485"/>
      <c r="AJ96" s="1485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V96"/>
      <c r="BW96"/>
      <c r="BX96"/>
      <c r="BY96"/>
      <c r="BZ96"/>
      <c r="CA96"/>
      <c r="CB96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IS96"/>
      <c r="IT96"/>
      <c r="IU96"/>
      <c r="IV96"/>
      <c r="IW96"/>
      <c r="IX96"/>
      <c r="IY96"/>
      <c r="IZ96"/>
      <c r="JK96"/>
      <c r="JL96"/>
      <c r="JM96"/>
      <c r="JN96"/>
      <c r="JO96"/>
      <c r="JP96"/>
      <c r="JQ96"/>
      <c r="JR96"/>
      <c r="JS96"/>
      <c r="JT96"/>
      <c r="JU96"/>
      <c r="JV96"/>
      <c r="JW96"/>
      <c r="NP96" s="88"/>
      <c r="OW96"/>
      <c r="OX96"/>
      <c r="OY96"/>
      <c r="OZ96" s="4"/>
      <c r="PA96" s="1054"/>
      <c r="PB96" s="1488"/>
      <c r="PC96" s="561"/>
      <c r="PD96" s="561"/>
      <c r="PE96" s="561"/>
      <c r="PF96" s="561"/>
      <c r="PG96" s="78"/>
      <c r="PH96" s="78"/>
      <c r="PI96" s="1456"/>
      <c r="PJ96" s="1456"/>
      <c r="PK96" s="1456"/>
      <c r="PL96" s="1456"/>
      <c r="PM96"/>
      <c r="PN96"/>
      <c r="PO96"/>
      <c r="PP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J96" s="424"/>
      <c r="QK96" s="424"/>
      <c r="QL96" s="424"/>
      <c r="QM96" s="424"/>
      <c r="QN96" s="424"/>
      <c r="QO96" s="424"/>
      <c r="QP96" s="424"/>
      <c r="QQ96" s="424"/>
      <c r="QR96" s="424"/>
      <c r="QS96" s="424"/>
      <c r="QT96" s="424"/>
      <c r="QU96" s="424"/>
      <c r="QV96" s="424"/>
      <c r="QW96" s="424"/>
      <c r="QX96" s="424"/>
      <c r="QY96" s="424"/>
      <c r="QZ96" s="424"/>
      <c r="RA96" s="424"/>
      <c r="RT96" s="424"/>
      <c r="RU96" s="424"/>
      <c r="RV96" s="424"/>
      <c r="RW96" s="424"/>
      <c r="RX96" s="424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82">
        <f>ROW()</f>
        <v>96</v>
      </c>
      <c r="SM96" s="616" t="s">
        <v>259</v>
      </c>
      <c r="SN96" s="1484">
        <v>0.21</v>
      </c>
      <c r="SO96" s="1469"/>
      <c r="SP96" s="1469"/>
      <c r="SQ96" s="1469"/>
      <c r="SR96" s="1469">
        <f t="shared" ref="SR96:SY96" si="159">SR94*-$SN$96</f>
        <v>-293191.78278179996</v>
      </c>
      <c r="SS96" s="1469">
        <f t="shared" si="159"/>
        <v>-293191.78278179996</v>
      </c>
      <c r="ST96" s="1469">
        <f t="shared" si="159"/>
        <v>-3338081.3875332</v>
      </c>
      <c r="SU96" s="1469">
        <f t="shared" si="159"/>
        <v>-3631273.1703149998</v>
      </c>
      <c r="SV96" s="1469">
        <f t="shared" si="159"/>
        <v>-5237274.3089246992</v>
      </c>
      <c r="SW96" s="1469">
        <f t="shared" si="159"/>
        <v>-8868547.4792397004</v>
      </c>
      <c r="SX96" s="1469">
        <f t="shared" si="159"/>
        <v>-4507059.3985210499</v>
      </c>
      <c r="SY96" s="1469">
        <f t="shared" si="159"/>
        <v>-13375606.877760749</v>
      </c>
      <c r="SZ96" s="1469"/>
      <c r="TA96" s="1469"/>
      <c r="TB96" s="1468"/>
      <c r="TC96" s="1468"/>
      <c r="TD96" s="424"/>
      <c r="TE96" s="424"/>
      <c r="TF96" s="424"/>
      <c r="TG96" s="424"/>
      <c r="TH96" s="424"/>
      <c r="TI96" s="424"/>
      <c r="TJ96" s="424"/>
      <c r="TK96" s="424"/>
      <c r="TL96" s="424"/>
      <c r="TM96" s="424"/>
      <c r="TN96" s="424"/>
      <c r="TO96" s="424"/>
      <c r="TP96" s="424"/>
      <c r="TQ96" s="424"/>
      <c r="TR96" s="424"/>
      <c r="TS96" s="424"/>
      <c r="TT96" s="424"/>
      <c r="TU96" s="424"/>
      <c r="TV96" s="424"/>
      <c r="TW96" s="424"/>
      <c r="TY96" s="20"/>
      <c r="TZ96" s="20"/>
      <c r="UA96" s="20"/>
      <c r="UB96" s="20"/>
      <c r="UC96" s="20"/>
    </row>
    <row r="97" spans="2:549" x14ac:dyDescent="0.25">
      <c r="B97" s="99"/>
      <c r="C97" s="917"/>
      <c r="D97" s="1392"/>
      <c r="E97" s="1392"/>
      <c r="F97" s="880"/>
      <c r="G97" s="641"/>
      <c r="H97" s="880"/>
      <c r="I97" s="641"/>
      <c r="J97" s="1052"/>
      <c r="K97" s="641"/>
      <c r="L97" s="1393"/>
      <c r="M97" s="641"/>
      <c r="N97" s="1394"/>
      <c r="T97" s="41"/>
      <c r="U97" s="690"/>
      <c r="V97" s="63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1485"/>
      <c r="AH97" s="1485"/>
      <c r="AI97" s="1485"/>
      <c r="AJ97" s="1485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V97"/>
      <c r="BW97"/>
      <c r="BX97"/>
      <c r="BY97"/>
      <c r="BZ97"/>
      <c r="CA97"/>
      <c r="CB97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IS97"/>
      <c r="IT97"/>
      <c r="IU97"/>
      <c r="IV97"/>
      <c r="IW97"/>
      <c r="IX97"/>
      <c r="IY97"/>
      <c r="IZ97"/>
      <c r="JK97"/>
      <c r="JL97"/>
      <c r="JM97"/>
      <c r="JN97"/>
      <c r="JO97"/>
      <c r="JP97"/>
      <c r="JQ97"/>
      <c r="JR97"/>
      <c r="JS97"/>
      <c r="JT97"/>
      <c r="JU97"/>
      <c r="JV97"/>
      <c r="JW97"/>
      <c r="NP97" s="88"/>
      <c r="OW97"/>
      <c r="OX97"/>
      <c r="OY97"/>
      <c r="OZ97" s="1203"/>
      <c r="PA97" s="1054"/>
      <c r="PB97" s="624"/>
      <c r="PC97" s="624"/>
      <c r="PD97" s="624"/>
      <c r="PE97" s="624"/>
      <c r="PF97" s="1451"/>
      <c r="PG97" s="624"/>
      <c r="PH97" s="1473"/>
      <c r="PI97" s="624"/>
      <c r="PJ97" s="1442"/>
      <c r="PK97" s="624"/>
      <c r="PL97" s="1442"/>
      <c r="PM97"/>
      <c r="PN97"/>
      <c r="PO97"/>
      <c r="PP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J97" s="424"/>
      <c r="QK97" s="424"/>
      <c r="QL97" s="424"/>
      <c r="QM97" s="424"/>
      <c r="QN97" s="424"/>
      <c r="QO97" s="424"/>
      <c r="QP97" s="424"/>
      <c r="QQ97" s="424"/>
      <c r="QR97" s="424"/>
      <c r="QS97" s="424"/>
      <c r="QT97" s="424"/>
      <c r="QU97" s="424"/>
      <c r="QV97" s="424"/>
      <c r="QW97" s="424"/>
      <c r="QX97" s="424"/>
      <c r="QY97" s="424"/>
      <c r="QZ97" s="424"/>
      <c r="RA97" s="424"/>
      <c r="RT97" s="424"/>
      <c r="RU97" s="424"/>
      <c r="RV97" s="424"/>
      <c r="RW97" s="424"/>
      <c r="RX97" s="424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82">
        <f>ROW()</f>
        <v>97</v>
      </c>
      <c r="SM97" s="616"/>
      <c r="SN97" s="1484"/>
      <c r="SO97" s="1487"/>
      <c r="SP97" s="1487"/>
      <c r="SQ97" s="1487"/>
      <c r="SR97" s="1487"/>
      <c r="SS97" s="1487"/>
      <c r="ST97" s="1487"/>
      <c r="SU97" s="1487"/>
      <c r="SV97" s="1487"/>
      <c r="SW97" s="1487"/>
      <c r="SX97" s="1487"/>
      <c r="SY97" s="1487"/>
      <c r="SZ97" s="1487"/>
      <c r="TA97" s="1487"/>
      <c r="TB97" s="1486"/>
      <c r="TC97" s="1486"/>
      <c r="TD97" s="424"/>
      <c r="TE97" s="424"/>
      <c r="TF97" s="424"/>
      <c r="TG97" s="424"/>
      <c r="TH97" s="424"/>
      <c r="TI97" s="424"/>
      <c r="TJ97" s="424"/>
      <c r="TK97" s="424"/>
      <c r="TL97" s="424"/>
      <c r="TM97" s="424"/>
      <c r="TN97" s="424"/>
      <c r="TO97" s="424"/>
      <c r="TP97" s="424"/>
      <c r="TQ97" s="424"/>
      <c r="TR97" s="424"/>
      <c r="TS97" s="424"/>
      <c r="TT97" s="424"/>
      <c r="TU97" s="424"/>
      <c r="TV97" s="424"/>
      <c r="TW97" s="424"/>
      <c r="TY97" s="20"/>
      <c r="TZ97" s="20"/>
      <c r="UA97" s="20"/>
      <c r="UB97" s="20"/>
      <c r="UC97" s="20"/>
    </row>
    <row r="98" spans="2:549" ht="15.75" thickBot="1" x14ac:dyDescent="0.3">
      <c r="B98" s="99"/>
      <c r="C98" s="917"/>
      <c r="D98" s="1392"/>
      <c r="E98" s="1392"/>
      <c r="F98" s="1396"/>
      <c r="G98" s="1397"/>
      <c r="H98" s="1396"/>
      <c r="I98" s="641"/>
      <c r="J98" s="1052"/>
      <c r="K98" s="641"/>
      <c r="L98" s="1395"/>
      <c r="M98" s="641"/>
      <c r="N98" s="1394"/>
      <c r="T98" s="1183"/>
      <c r="U98" s="679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1485"/>
      <c r="AH98" s="1485"/>
      <c r="AI98" s="1485"/>
      <c r="AJ98" s="1485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V98"/>
      <c r="BW98"/>
      <c r="BX98"/>
      <c r="BY98"/>
      <c r="BZ98"/>
      <c r="CA98"/>
      <c r="CB98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IS98"/>
      <c r="IT98"/>
      <c r="IU98"/>
      <c r="IV98"/>
      <c r="IW98"/>
      <c r="IX98"/>
      <c r="IY98"/>
      <c r="IZ98"/>
      <c r="JK98"/>
      <c r="JL98"/>
      <c r="JM98"/>
      <c r="JN98"/>
      <c r="JO98"/>
      <c r="JP98"/>
      <c r="JQ98"/>
      <c r="JR98"/>
      <c r="JS98"/>
      <c r="JT98"/>
      <c r="JU98"/>
      <c r="JV98"/>
      <c r="JW98"/>
      <c r="NP98" s="88"/>
      <c r="OW98"/>
      <c r="OX98"/>
      <c r="OY98"/>
      <c r="OZ98" s="1203"/>
      <c r="PA98" s="1054"/>
      <c r="PB98" s="63"/>
      <c r="PC98" s="63"/>
      <c r="PD98" s="63"/>
      <c r="PE98" s="63"/>
      <c r="PF98" s="1451"/>
      <c r="PG98" s="63"/>
      <c r="PH98" s="1473"/>
      <c r="PI98" s="63"/>
      <c r="PJ98" s="1438"/>
      <c r="PK98" s="63"/>
      <c r="PL98" s="1438"/>
      <c r="PM98"/>
      <c r="PN98"/>
      <c r="PO98"/>
      <c r="PP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J98" s="424"/>
      <c r="QK98" s="424"/>
      <c r="QL98" s="424"/>
      <c r="QM98" s="424"/>
      <c r="QN98" s="424"/>
      <c r="QO98" s="424"/>
      <c r="QP98" s="424"/>
      <c r="QQ98" s="424"/>
      <c r="QR98" s="424"/>
      <c r="QS98" s="424"/>
      <c r="QT98" s="424"/>
      <c r="QU98" s="424"/>
      <c r="QV98" s="424"/>
      <c r="QW98" s="424"/>
      <c r="QX98" s="424"/>
      <c r="QY98" s="424"/>
      <c r="QZ98" s="424"/>
      <c r="RA98" s="424"/>
      <c r="RT98" s="424"/>
      <c r="RU98" s="424"/>
      <c r="RV98" s="424"/>
      <c r="RW98" s="424"/>
      <c r="RX98" s="424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82">
        <f>ROW()</f>
        <v>98</v>
      </c>
      <c r="SM98" s="616" t="s">
        <v>240</v>
      </c>
      <c r="SN98" s="1484"/>
      <c r="SO98" s="1483"/>
      <c r="SP98" s="1483"/>
      <c r="SQ98" s="1483"/>
      <c r="SR98" s="1483">
        <f t="shared" ref="SR98:SY98" si="160">-SR94-SR96</f>
        <v>-1102959.5637981999</v>
      </c>
      <c r="SS98" s="1483">
        <f t="shared" si="160"/>
        <v>-1102959.5637981999</v>
      </c>
      <c r="ST98" s="1483">
        <f t="shared" si="160"/>
        <v>-12557544.267386802</v>
      </c>
      <c r="SU98" s="1483">
        <f t="shared" si="160"/>
        <v>-13660503.831185</v>
      </c>
      <c r="SV98" s="1483">
        <f t="shared" si="160"/>
        <v>-19702127.162145302</v>
      </c>
      <c r="SW98" s="1483">
        <f t="shared" si="160"/>
        <v>-33362630.9933303</v>
      </c>
      <c r="SX98" s="1483">
        <f t="shared" si="160"/>
        <v>-16955128.213483948</v>
      </c>
      <c r="SY98" s="1483">
        <f t="shared" si="160"/>
        <v>-50317759.206814244</v>
      </c>
      <c r="SZ98" s="1483"/>
      <c r="TA98" s="1483"/>
      <c r="TB98" s="1482"/>
      <c r="TC98" s="1482"/>
      <c r="TD98" s="424"/>
      <c r="TE98" s="424"/>
      <c r="TF98" s="424"/>
      <c r="TG98" s="424"/>
      <c r="TH98" s="424"/>
      <c r="TI98" s="424"/>
      <c r="TJ98" s="424"/>
      <c r="TK98" s="424"/>
      <c r="TL98" s="424"/>
      <c r="TM98" s="424"/>
      <c r="TN98" s="424"/>
      <c r="TO98" s="424"/>
      <c r="TP98" s="424"/>
      <c r="TQ98" s="424"/>
      <c r="TR98" s="424"/>
      <c r="TS98" s="424"/>
      <c r="TT98" s="424"/>
      <c r="TU98" s="424"/>
      <c r="TV98" s="424"/>
      <c r="TW98" s="424"/>
    </row>
    <row r="99" spans="2:549" ht="15.75" thickTop="1" x14ac:dyDescent="0.25">
      <c r="B99" s="20"/>
      <c r="C99" s="20"/>
      <c r="D99" s="72"/>
      <c r="E99" s="72"/>
      <c r="F99" s="72"/>
      <c r="G99" s="72"/>
      <c r="H99" s="880"/>
      <c r="I99" s="1024"/>
      <c r="J99" s="1052"/>
      <c r="K99" s="1024"/>
      <c r="L99" s="1393"/>
      <c r="M99" s="1024"/>
      <c r="N99" s="547"/>
      <c r="T99" s="1183"/>
      <c r="U99" s="679"/>
      <c r="V99" s="63"/>
      <c r="W99" s="42"/>
      <c r="X99" s="20"/>
      <c r="Y99" s="20"/>
      <c r="Z99" s="20"/>
      <c r="AA99" s="20"/>
      <c r="AB99" s="20"/>
      <c r="AC99" s="20"/>
      <c r="AD99" s="20"/>
      <c r="AE99" s="20"/>
      <c r="AF99" s="20"/>
      <c r="AG99" s="1481"/>
      <c r="AH99" s="1481"/>
      <c r="AI99" s="1481"/>
      <c r="AJ99" s="1481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V99"/>
      <c r="BW99"/>
      <c r="BX99"/>
      <c r="BY99"/>
      <c r="BZ99"/>
      <c r="CA99"/>
      <c r="CB99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IS99"/>
      <c r="IT99"/>
      <c r="IU99"/>
      <c r="IV99"/>
      <c r="IW99"/>
      <c r="IX99"/>
      <c r="IY99"/>
      <c r="IZ99"/>
      <c r="JK99"/>
      <c r="JL99"/>
      <c r="JM99"/>
      <c r="JN99"/>
      <c r="JO99"/>
      <c r="JP99"/>
      <c r="JQ99"/>
      <c r="JR99"/>
      <c r="JS99"/>
      <c r="JT99"/>
      <c r="JU99"/>
      <c r="JV99"/>
      <c r="JW99"/>
      <c r="NP99" s="88"/>
      <c r="OW99"/>
      <c r="OX99"/>
      <c r="OY99"/>
      <c r="OZ99" s="1203"/>
      <c r="PA99" s="1054"/>
      <c r="PB99" s="63"/>
      <c r="PC99" s="63"/>
      <c r="PD99" s="63"/>
      <c r="PE99" s="1451"/>
      <c r="PF99" s="1451"/>
      <c r="PG99" s="1451"/>
      <c r="PH99" s="1473"/>
      <c r="PI99" s="1451"/>
      <c r="PJ99" s="1472"/>
      <c r="PK99" s="1451"/>
      <c r="PL99" s="1472"/>
      <c r="PM99"/>
      <c r="PN99"/>
      <c r="PO99"/>
      <c r="PP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J99" s="424"/>
      <c r="QK99" s="424"/>
      <c r="QL99" s="424"/>
      <c r="QM99" s="424"/>
      <c r="QN99" s="424"/>
      <c r="QO99" s="424"/>
      <c r="QP99" s="424"/>
      <c r="QQ99" s="424"/>
      <c r="QR99" s="424"/>
      <c r="QS99" s="424"/>
      <c r="QT99" s="424"/>
      <c r="QU99" s="424"/>
      <c r="QV99" s="424"/>
      <c r="QW99" s="424"/>
      <c r="QX99" s="424"/>
      <c r="QY99" s="424"/>
      <c r="QZ99" s="424"/>
      <c r="RA99" s="424"/>
      <c r="RT99" s="424"/>
      <c r="RU99" s="424"/>
      <c r="RV99" s="424"/>
      <c r="RW99" s="424"/>
      <c r="RX99" s="424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82">
        <f>ROW()</f>
        <v>99</v>
      </c>
      <c r="SM99" s="616"/>
      <c r="SN99" s="616"/>
      <c r="SO99" s="1480"/>
      <c r="SP99" s="1480"/>
      <c r="SQ99" s="1480"/>
      <c r="SR99" s="1480"/>
      <c r="SS99" s="1480"/>
      <c r="ST99" s="1480"/>
      <c r="SU99" s="1480"/>
      <c r="SV99" s="1480"/>
      <c r="SW99" s="1480"/>
      <c r="SX99" s="1480"/>
      <c r="SY99" s="1480"/>
      <c r="SZ99" s="1480"/>
      <c r="TA99" s="1480"/>
      <c r="TB99" s="1479"/>
      <c r="TC99" s="1479"/>
      <c r="TD99" s="424"/>
      <c r="TE99" s="424"/>
      <c r="TF99" s="424"/>
      <c r="TG99" s="424"/>
      <c r="TH99" s="424"/>
      <c r="TI99" s="424"/>
      <c r="TJ99" s="424"/>
      <c r="TK99" s="424"/>
      <c r="TL99" s="424"/>
      <c r="TM99" s="424"/>
      <c r="TN99" s="424"/>
      <c r="TO99" s="424"/>
      <c r="TP99" s="424"/>
      <c r="TQ99" s="424"/>
      <c r="TR99" s="424"/>
      <c r="TS99" s="424"/>
      <c r="TT99" s="424"/>
      <c r="TU99" s="424"/>
      <c r="TV99" s="424"/>
      <c r="TW99" s="424"/>
    </row>
    <row r="100" spans="2:549" x14ac:dyDescent="0.25">
      <c r="B100" s="1158"/>
      <c r="C100" s="547"/>
      <c r="D100" s="619"/>
      <c r="E100" s="1196"/>
      <c r="F100" s="619"/>
      <c r="G100" s="1196"/>
      <c r="H100" s="619"/>
      <c r="I100" s="1196"/>
      <c r="J100" s="619"/>
      <c r="K100" s="1196"/>
      <c r="L100" s="619"/>
      <c r="M100" s="1196"/>
      <c r="N100" s="619"/>
      <c r="T100" s="689"/>
      <c r="U100" s="690"/>
      <c r="V100" s="690"/>
      <c r="W100" s="42"/>
      <c r="X100" s="20"/>
      <c r="Y100" s="20"/>
      <c r="Z100" s="20"/>
      <c r="AA100" s="20"/>
      <c r="AB100" s="20"/>
      <c r="AC100" s="20"/>
      <c r="AD100" s="20"/>
      <c r="AE100" s="20"/>
      <c r="AF100" s="20"/>
      <c r="AG100" s="1478"/>
      <c r="AH100" s="1478"/>
      <c r="AI100" s="1478"/>
      <c r="AJ100" s="147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V100"/>
      <c r="BW100"/>
      <c r="BX100"/>
      <c r="BY100"/>
      <c r="BZ100"/>
      <c r="CA100"/>
      <c r="CB10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IS100"/>
      <c r="IT100"/>
      <c r="IU100"/>
      <c r="IV100"/>
      <c r="IW100"/>
      <c r="IX100"/>
      <c r="IY100"/>
      <c r="IZ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NP100" s="88"/>
      <c r="OW100"/>
      <c r="OX100"/>
      <c r="OY100"/>
      <c r="OZ100" s="4"/>
      <c r="PA100" s="1054"/>
      <c r="PB100" s="1476"/>
      <c r="PC100" s="1476"/>
      <c r="PD100" s="1477"/>
      <c r="PE100" s="1477"/>
      <c r="PF100" s="1477"/>
      <c r="PG100" s="1477"/>
      <c r="PH100" s="1477"/>
      <c r="PI100" s="1477"/>
      <c r="PJ100" s="1476"/>
      <c r="PK100" s="1477"/>
      <c r="PL100" s="1476"/>
      <c r="PM100"/>
      <c r="PN100"/>
      <c r="PO100"/>
      <c r="PP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J100" s="424"/>
      <c r="QK100" s="424"/>
      <c r="QL100" s="424"/>
      <c r="QM100" s="424"/>
      <c r="QN100" s="424"/>
      <c r="QO100" s="424"/>
      <c r="QP100" s="424"/>
      <c r="QQ100" s="424"/>
      <c r="QR100" s="424"/>
      <c r="QS100" s="424"/>
      <c r="QT100" s="424"/>
      <c r="QU100" s="424"/>
      <c r="QV100" s="424"/>
      <c r="QW100" s="424"/>
      <c r="QX100" s="424"/>
      <c r="QY100" s="424"/>
      <c r="QZ100" s="424"/>
      <c r="RA100" s="424"/>
      <c r="RT100" s="424"/>
      <c r="RU100" s="424"/>
      <c r="RV100" s="424"/>
      <c r="RW100" s="424"/>
      <c r="RX100" s="424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82">
        <f>ROW()</f>
        <v>100</v>
      </c>
      <c r="SM100" s="616" t="s">
        <v>361</v>
      </c>
      <c r="SN100" s="616"/>
      <c r="SO100" s="1475"/>
      <c r="SP100" s="1475"/>
      <c r="SQ100" s="1475"/>
      <c r="SR100" s="1475">
        <f>SS100</f>
        <v>166566693.23082501</v>
      </c>
      <c r="SS100" s="1475">
        <f>SS82+SS64+SS46+SS28</f>
        <v>166566693.23082501</v>
      </c>
      <c r="ST100" s="1475">
        <f>SU100-SS100</f>
        <v>300296479.61478001</v>
      </c>
      <c r="SU100" s="1475">
        <f>SU82+SU64+SU46+SU28</f>
        <v>466863172.84560502</v>
      </c>
      <c r="SV100" s="1475">
        <f>SW100-SU100</f>
        <v>103553266.41225493</v>
      </c>
      <c r="SW100" s="1475">
        <f>SW82+SW64+SW46+SW28</f>
        <v>570416439.25785995</v>
      </c>
      <c r="SX100" s="1475">
        <f>SY100-SW100</f>
        <v>272107695.09060025</v>
      </c>
      <c r="SY100" s="1475">
        <f>SY82+SY64+SY46+SY28</f>
        <v>842524134.3484602</v>
      </c>
      <c r="SZ100" s="1475"/>
      <c r="TA100" s="1475"/>
      <c r="TB100" s="1474"/>
      <c r="TC100" s="1474"/>
      <c r="TD100" s="424"/>
      <c r="TE100" s="424"/>
      <c r="TF100" s="424"/>
      <c r="TG100" s="424"/>
      <c r="TH100" s="424"/>
      <c r="TI100" s="424"/>
      <c r="TJ100" s="424"/>
      <c r="TK100" s="424"/>
      <c r="TL100" s="424"/>
      <c r="TM100" s="424"/>
      <c r="TN100" s="424"/>
      <c r="TO100" s="424"/>
      <c r="TP100" s="424"/>
      <c r="TQ100" s="424"/>
      <c r="TR100" s="424"/>
      <c r="TS100" s="424"/>
      <c r="TT100" s="424"/>
      <c r="TU100" s="424"/>
      <c r="TV100" s="424"/>
      <c r="TW100" s="424"/>
    </row>
    <row r="101" spans="2:549" x14ac:dyDescent="0.25">
      <c r="B101" s="1158"/>
      <c r="C101" s="547"/>
      <c r="D101" s="619"/>
      <c r="E101" s="619"/>
      <c r="F101" s="619"/>
      <c r="G101" s="619"/>
      <c r="H101" s="619"/>
      <c r="I101" s="619"/>
      <c r="J101" s="20"/>
      <c r="K101" s="619"/>
      <c r="L101" s="924"/>
      <c r="M101" s="619"/>
      <c r="N101" s="619"/>
      <c r="T101" s="679"/>
      <c r="U101" s="1426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1437"/>
      <c r="AH101" s="1437"/>
      <c r="AI101" s="1437"/>
      <c r="AJ101" s="1437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V101"/>
      <c r="BW101"/>
      <c r="BX101"/>
      <c r="BY101"/>
      <c r="BZ101"/>
      <c r="CA101"/>
      <c r="CB101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IS101"/>
      <c r="IT101"/>
      <c r="IU101"/>
      <c r="IV101"/>
      <c r="IW101"/>
      <c r="IX101"/>
      <c r="IY101"/>
      <c r="IZ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NP101" s="88"/>
      <c r="OW101"/>
      <c r="OX101"/>
      <c r="OY101"/>
      <c r="OZ101" s="1238"/>
      <c r="PA101" s="1451"/>
      <c r="PB101" s="63"/>
      <c r="PC101" s="63"/>
      <c r="PD101" s="63"/>
      <c r="PE101" s="1451"/>
      <c r="PF101" s="1451"/>
      <c r="PG101" s="1451"/>
      <c r="PH101" s="1473"/>
      <c r="PI101" s="1451"/>
      <c r="PJ101" s="1472"/>
      <c r="PK101" s="1451"/>
      <c r="PL101" s="1472"/>
      <c r="PM101"/>
      <c r="PN101"/>
      <c r="PO101"/>
      <c r="PP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J101" s="424"/>
      <c r="QK101" s="424"/>
      <c r="QL101" s="424"/>
      <c r="QM101" s="424"/>
      <c r="QN101" s="424"/>
      <c r="QO101" s="424"/>
      <c r="QP101" s="424"/>
      <c r="QQ101" s="424"/>
      <c r="QR101" s="424"/>
      <c r="QS101" s="424"/>
      <c r="QT101" s="424"/>
      <c r="QU101" s="424"/>
      <c r="QV101" s="424"/>
      <c r="QW101" s="424"/>
      <c r="QX101" s="424"/>
      <c r="QY101" s="424"/>
      <c r="QZ101" s="424"/>
      <c r="RA101" s="424"/>
      <c r="RT101" s="424"/>
      <c r="RU101" s="424"/>
      <c r="RV101" s="424"/>
      <c r="RW101" s="424"/>
      <c r="RX101" s="424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82">
        <f>ROW()</f>
        <v>101</v>
      </c>
      <c r="SM101" s="616" t="s">
        <v>369</v>
      </c>
      <c r="SN101" s="616"/>
      <c r="SO101" s="1471"/>
      <c r="SP101" s="1471"/>
      <c r="SQ101" s="1471"/>
      <c r="SR101" s="1471">
        <f>SR83+SR65+SR47+SR29</f>
        <v>-1396151.3465799999</v>
      </c>
      <c r="SS101" s="1471">
        <f>SS83+SS65+SS47+SS29</f>
        <v>-1396151.3465799999</v>
      </c>
      <c r="ST101" s="1471">
        <f>ST83+ST65+ST47+ST29</f>
        <v>-17291777.001499999</v>
      </c>
      <c r="SU101" s="1471">
        <f>SU83+SU65+SU47+SU29</f>
        <v>-18687928.348080002</v>
      </c>
      <c r="SV101" s="1471">
        <f>SV83+SV65+SV47+SV29</f>
        <v>-19877833.495589998</v>
      </c>
      <c r="SW101" s="1471">
        <f>SW83+SW65+SW47+SW29</f>
        <v>-38565761.843669996</v>
      </c>
      <c r="SX101" s="1471">
        <f>SX83+SX65+SX47+SX29</f>
        <v>-53089074.836279988</v>
      </c>
      <c r="SY101" s="1471">
        <f>SY83+SY65+SY47+SY29</f>
        <v>-91654836.679949999</v>
      </c>
      <c r="SZ101" s="1471"/>
      <c r="TA101" s="1471"/>
      <c r="TB101" s="1470"/>
      <c r="TC101" s="1470"/>
      <c r="TD101" s="424"/>
      <c r="TE101" s="424"/>
      <c r="TF101" s="424"/>
      <c r="TG101" s="424"/>
      <c r="TH101" s="424"/>
      <c r="TI101" s="424"/>
      <c r="TJ101" s="424"/>
      <c r="TK101" s="424"/>
      <c r="TL101" s="424"/>
      <c r="TM101" s="424"/>
      <c r="TN101" s="424"/>
      <c r="TO101" s="424"/>
      <c r="TP101" s="424"/>
      <c r="TQ101" s="424"/>
      <c r="TR101" s="424"/>
      <c r="TS101" s="424"/>
      <c r="TT101" s="424"/>
      <c r="TU101" s="424"/>
      <c r="TV101" s="424"/>
      <c r="TW101" s="424"/>
    </row>
    <row r="102" spans="2:549" x14ac:dyDescent="0.25">
      <c r="B102" s="1390"/>
      <c r="C102" s="20"/>
      <c r="D102" s="619"/>
      <c r="E102" s="641"/>
      <c r="F102" s="641"/>
      <c r="G102" s="641"/>
      <c r="H102" s="1024"/>
      <c r="I102" s="619"/>
      <c r="J102" s="984"/>
      <c r="K102" s="619"/>
      <c r="L102" s="924"/>
      <c r="M102" s="619"/>
      <c r="N102" s="619"/>
      <c r="T102" s="580"/>
      <c r="U102" s="1426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1437"/>
      <c r="AH102" s="1437"/>
      <c r="AI102" s="1437"/>
      <c r="AJ102" s="1437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V102"/>
      <c r="BW102"/>
      <c r="BX102"/>
      <c r="BY102"/>
      <c r="BZ102"/>
      <c r="CA102"/>
      <c r="CB102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IS102"/>
      <c r="IT102"/>
      <c r="IU102"/>
      <c r="IV102"/>
      <c r="IW102"/>
      <c r="IX102"/>
      <c r="IY102"/>
      <c r="IZ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NP102" s="88"/>
      <c r="OW102"/>
      <c r="OX102"/>
      <c r="OY102"/>
      <c r="OZ102" s="4"/>
      <c r="PA102" s="1203"/>
      <c r="PB102" s="99"/>
      <c r="PC102" s="99"/>
      <c r="PD102" s="99"/>
      <c r="PE102" s="1451"/>
      <c r="PF102" s="1451"/>
      <c r="PG102" s="1451"/>
      <c r="PH102" s="1451"/>
      <c r="PI102" s="1451"/>
      <c r="PJ102" s="1438"/>
      <c r="PK102" s="1451"/>
      <c r="PL102" s="1438"/>
      <c r="PM102"/>
      <c r="PN102"/>
      <c r="PO102"/>
      <c r="PP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J102" s="424"/>
      <c r="QK102" s="424"/>
      <c r="QL102" s="424"/>
      <c r="QM102" s="424"/>
      <c r="QN102" s="424"/>
      <c r="QO102" s="424"/>
      <c r="QP102" s="424"/>
      <c r="QQ102" s="424"/>
      <c r="QR102" s="424"/>
      <c r="QS102" s="424"/>
      <c r="QT102" s="424"/>
      <c r="QU102" s="424"/>
      <c r="QV102" s="424"/>
      <c r="QW102" s="424"/>
      <c r="QX102" s="424"/>
      <c r="QY102" s="424"/>
      <c r="QZ102" s="424"/>
      <c r="RA102" s="424"/>
      <c r="RT102" s="424"/>
      <c r="RU102" s="424"/>
      <c r="RV102" s="424"/>
      <c r="RW102" s="424"/>
      <c r="RX102" s="424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82">
        <f>ROW()</f>
        <v>102</v>
      </c>
      <c r="SM102" s="616" t="s">
        <v>375</v>
      </c>
      <c r="SN102" s="616"/>
      <c r="SO102" s="1469"/>
      <c r="SP102" s="1469"/>
      <c r="SQ102" s="1469"/>
      <c r="SR102" s="1469">
        <f>SS102</f>
        <v>-1457035.7767850002</v>
      </c>
      <c r="SS102" s="1469">
        <f>SS84+SS66+SS48+SS30</f>
        <v>-1457035.7767850002</v>
      </c>
      <c r="ST102" s="1469">
        <f>SU102-SS102</f>
        <v>-4329937.0926400004</v>
      </c>
      <c r="SU102" s="1469">
        <f>SU84+SU66+SU48+SU30</f>
        <v>-5786972.8694250006</v>
      </c>
      <c r="SV102" s="1469">
        <f>SW102-SU102</f>
        <v>-3140237.3390549999</v>
      </c>
      <c r="SW102" s="1469">
        <f>SW84+SW66+SW48+SW30</f>
        <v>-8927210.2084800005</v>
      </c>
      <c r="SX102" s="1469">
        <f>SY102-SW102</f>
        <v>-7120215.9240300003</v>
      </c>
      <c r="SY102" s="1469">
        <f>SY84+SY66+SY48+SY30</f>
        <v>-16047426.132510001</v>
      </c>
      <c r="SZ102" s="1469"/>
      <c r="TA102" s="1469"/>
      <c r="TB102" s="1468"/>
      <c r="TC102" s="1468"/>
      <c r="TD102" s="424"/>
      <c r="TE102" s="424"/>
      <c r="TF102" s="424"/>
      <c r="TG102" s="424"/>
      <c r="TH102" s="424"/>
      <c r="TI102" s="424"/>
      <c r="TJ102" s="424"/>
      <c r="TK102" s="424"/>
      <c r="TL102" s="424"/>
      <c r="TM102" s="424"/>
      <c r="TN102" s="424"/>
      <c r="TO102" s="424"/>
      <c r="TP102" s="424"/>
      <c r="TQ102" s="424"/>
      <c r="TR102" s="424"/>
      <c r="TS102" s="424"/>
      <c r="TT102" s="424"/>
      <c r="TU102" s="424"/>
      <c r="TV102" s="424"/>
      <c r="TW102" s="424"/>
    </row>
    <row r="103" spans="2:549" ht="15.75" thickBot="1" x14ac:dyDescent="0.3">
      <c r="B103" s="1382"/>
      <c r="C103" s="547"/>
      <c r="D103" s="560"/>
      <c r="E103" s="980"/>
      <c r="F103" s="880"/>
      <c r="G103" s="980"/>
      <c r="H103" s="880"/>
      <c r="I103" s="619"/>
      <c r="J103" s="984"/>
      <c r="K103" s="619"/>
      <c r="L103" s="924"/>
      <c r="M103" s="619"/>
      <c r="N103" s="619"/>
      <c r="T103" s="580"/>
      <c r="U103" s="1426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1458"/>
      <c r="AH103" s="1458"/>
      <c r="AI103" s="1458"/>
      <c r="AJ103" s="145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V103"/>
      <c r="BW103"/>
      <c r="BX103"/>
      <c r="BY103"/>
      <c r="BZ103"/>
      <c r="CA103"/>
      <c r="CB103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IS103"/>
      <c r="IT103"/>
      <c r="IU103"/>
      <c r="IV103"/>
      <c r="IW103"/>
      <c r="IX103"/>
      <c r="IY103"/>
      <c r="IZ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NP103" s="88"/>
      <c r="OW103"/>
      <c r="OX103"/>
      <c r="OY103"/>
      <c r="OZ103" s="1203"/>
      <c r="PA103" s="1203"/>
      <c r="PB103" s="63"/>
      <c r="PC103" s="624"/>
      <c r="PD103" s="63"/>
      <c r="PE103" s="63"/>
      <c r="PF103" s="1451"/>
      <c r="PG103" s="63"/>
      <c r="PH103" s="1451"/>
      <c r="PI103" s="63"/>
      <c r="PJ103" s="1442"/>
      <c r="PK103" s="63"/>
      <c r="PL103" s="1442"/>
      <c r="PM103"/>
      <c r="PN103"/>
      <c r="PO103"/>
      <c r="PP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J103" s="424"/>
      <c r="QK103" s="424"/>
      <c r="QL103" s="424"/>
      <c r="QM103" s="424"/>
      <c r="QN103" s="424"/>
      <c r="QO103" s="424"/>
      <c r="QP103" s="424"/>
      <c r="QQ103" s="424"/>
      <c r="QR103" s="424"/>
      <c r="QS103" s="424"/>
      <c r="QT103" s="424"/>
      <c r="QU103" s="424"/>
      <c r="QV103" s="424"/>
      <c r="QW103" s="424"/>
      <c r="QX103" s="424"/>
      <c r="QY103" s="424"/>
      <c r="QZ103" s="424"/>
      <c r="RA103" s="424"/>
      <c r="RT103" s="424"/>
      <c r="RU103" s="424"/>
      <c r="RV103" s="424"/>
      <c r="RW103" s="424"/>
      <c r="RX103" s="424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82">
        <f>ROW()</f>
        <v>103</v>
      </c>
      <c r="SM103" s="616" t="s">
        <v>382</v>
      </c>
      <c r="SN103" s="616"/>
      <c r="SO103" s="1467"/>
      <c r="SP103" s="1467"/>
      <c r="SQ103" s="1467"/>
      <c r="SR103" s="1467">
        <f t="shared" ref="SR103:SY103" si="161">SUM(SR100:SR102)</f>
        <v>163713506.10746002</v>
      </c>
      <c r="SS103" s="1467">
        <f t="shared" si="161"/>
        <v>163713506.10746002</v>
      </c>
      <c r="ST103" s="1467">
        <f t="shared" si="161"/>
        <v>278674765.52064002</v>
      </c>
      <c r="SU103" s="1467">
        <f t="shared" si="161"/>
        <v>442388271.62810004</v>
      </c>
      <c r="SV103" s="1467">
        <f t="shared" si="161"/>
        <v>80535195.577609926</v>
      </c>
      <c r="SW103" s="1467">
        <f t="shared" si="161"/>
        <v>522923467.20570993</v>
      </c>
      <c r="SX103" s="1467">
        <f t="shared" si="161"/>
        <v>211898404.33029026</v>
      </c>
      <c r="SY103" s="1467">
        <f t="shared" si="161"/>
        <v>734821871.53600025</v>
      </c>
      <c r="SZ103" s="1467"/>
      <c r="TA103" s="1467"/>
      <c r="TB103" s="1466"/>
      <c r="TC103" s="1466"/>
      <c r="TD103" s="424"/>
      <c r="TE103" s="424"/>
      <c r="TF103" s="424"/>
      <c r="TG103" s="424"/>
      <c r="TH103" s="424"/>
      <c r="TI103" s="424"/>
      <c r="TJ103" s="424"/>
      <c r="TK103" s="424"/>
      <c r="TL103" s="424"/>
      <c r="TM103" s="424"/>
      <c r="TN103" s="424"/>
      <c r="TO103" s="424"/>
      <c r="TP103" s="424"/>
      <c r="TQ103" s="424"/>
      <c r="TR103" s="424"/>
      <c r="TS103" s="424"/>
      <c r="TT103" s="424"/>
      <c r="TU103" s="424"/>
      <c r="TV103" s="424"/>
      <c r="TW103" s="424"/>
    </row>
    <row r="104" spans="2:549" ht="15.75" thickTop="1" x14ac:dyDescent="0.25">
      <c r="B104" s="99"/>
      <c r="C104" s="1388"/>
      <c r="D104" s="560"/>
      <c r="E104" s="1392"/>
      <c r="F104" s="1162"/>
      <c r="G104" s="647"/>
      <c r="H104" s="880"/>
      <c r="I104" s="619"/>
      <c r="J104" s="984"/>
      <c r="K104" s="619"/>
      <c r="L104" s="924"/>
      <c r="M104" s="619"/>
      <c r="N104" s="619"/>
      <c r="T104" s="580"/>
      <c r="U104" s="1425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1458"/>
      <c r="AH104" s="1458"/>
      <c r="AI104" s="1458"/>
      <c r="AJ104" s="145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V104"/>
      <c r="BW104"/>
      <c r="BX104"/>
      <c r="BY104"/>
      <c r="BZ104"/>
      <c r="CA104"/>
      <c r="CB104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IS104"/>
      <c r="IT104"/>
      <c r="IU104"/>
      <c r="IV104"/>
      <c r="IW104"/>
      <c r="IX104"/>
      <c r="IY104"/>
      <c r="IZ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NP104" s="88"/>
      <c r="OW104"/>
      <c r="OX104"/>
      <c r="OY104"/>
      <c r="OZ104" s="1203"/>
      <c r="PA104" s="1203"/>
      <c r="PB104" s="63"/>
      <c r="PC104" s="63"/>
      <c r="PD104" s="63"/>
      <c r="PE104" s="63"/>
      <c r="PF104" s="1451"/>
      <c r="PG104" s="63"/>
      <c r="PH104" s="1451"/>
      <c r="PI104" s="63"/>
      <c r="PJ104" s="1438"/>
      <c r="PK104" s="63"/>
      <c r="PL104" s="1438"/>
      <c r="PM104"/>
      <c r="PN104"/>
      <c r="PO104"/>
      <c r="PP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J104" s="424"/>
      <c r="QK104" s="424"/>
      <c r="QL104" s="424"/>
      <c r="QM104" s="424"/>
      <c r="QN104" s="424"/>
      <c r="QO104" s="424"/>
      <c r="QP104" s="424"/>
      <c r="QQ104" s="424"/>
      <c r="QR104" s="424"/>
      <c r="QS104" s="424"/>
      <c r="QT104" s="424"/>
      <c r="QU104" s="424"/>
      <c r="QV104" s="424"/>
      <c r="QW104" s="424"/>
      <c r="QX104" s="424"/>
      <c r="QY104" s="424"/>
      <c r="QZ104" s="424"/>
      <c r="RA104" s="424"/>
      <c r="RT104" s="424"/>
      <c r="RU104" s="424"/>
      <c r="RV104" s="424"/>
      <c r="RW104" s="424"/>
      <c r="RX104" s="424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424"/>
      <c r="SM104" s="424"/>
      <c r="SN104" s="424"/>
      <c r="SO104" s="424"/>
      <c r="SP104" s="424"/>
      <c r="SQ104" s="424"/>
      <c r="SR104" s="424"/>
      <c r="SS104" s="424"/>
      <c r="ST104" s="424"/>
      <c r="SU104" s="424"/>
      <c r="SV104" s="424"/>
      <c r="SW104" s="424"/>
      <c r="SX104" s="424"/>
      <c r="SY104" s="424"/>
      <c r="SZ104" s="424"/>
      <c r="TA104" s="424"/>
      <c r="TD104" s="424"/>
      <c r="TE104" s="424"/>
      <c r="TF104" s="424"/>
      <c r="TG104" s="424"/>
      <c r="TH104" s="424"/>
      <c r="TI104" s="424"/>
      <c r="TJ104" s="424"/>
      <c r="TK104" s="424"/>
      <c r="TL104" s="424"/>
      <c r="TM104" s="424"/>
      <c r="TN104" s="424"/>
      <c r="TO104" s="424"/>
      <c r="TP104" s="424"/>
      <c r="TQ104" s="424"/>
      <c r="TR104" s="424"/>
      <c r="TS104" s="424"/>
      <c r="TT104" s="424"/>
      <c r="TU104" s="424"/>
      <c r="TV104" s="424"/>
      <c r="TW104" s="424"/>
    </row>
    <row r="105" spans="2:549" x14ac:dyDescent="0.25">
      <c r="B105" s="99"/>
      <c r="C105" s="547"/>
      <c r="D105" s="1387"/>
      <c r="E105" s="1392"/>
      <c r="F105" s="1162"/>
      <c r="G105" s="647"/>
      <c r="H105" s="880"/>
      <c r="I105" s="619"/>
      <c r="J105" s="984"/>
      <c r="K105" s="619"/>
      <c r="L105" s="924"/>
      <c r="M105" s="619"/>
      <c r="N105" s="619"/>
      <c r="T105" s="20"/>
      <c r="U105" s="20"/>
      <c r="V105" s="20"/>
      <c r="W105" s="42"/>
      <c r="X105" s="20"/>
      <c r="Y105" s="20"/>
      <c r="Z105" s="20"/>
      <c r="AA105" s="20"/>
      <c r="AB105" s="20"/>
      <c r="AC105" s="20"/>
      <c r="AD105" s="20"/>
      <c r="AE105" s="20"/>
      <c r="AF105" s="20"/>
      <c r="AG105" s="1465"/>
      <c r="AH105" s="1465"/>
      <c r="AI105" s="1465"/>
      <c r="AJ105" s="1465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V105"/>
      <c r="BW105"/>
      <c r="BX105"/>
      <c r="BY105"/>
      <c r="BZ105"/>
      <c r="CA105"/>
      <c r="CB105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IS105"/>
      <c r="IT105"/>
      <c r="IU105"/>
      <c r="IV105"/>
      <c r="IW105"/>
      <c r="IX105"/>
      <c r="IY105"/>
      <c r="IZ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NP105" s="88"/>
      <c r="OW105"/>
      <c r="OX105"/>
      <c r="OY105"/>
      <c r="OZ105" s="1203"/>
      <c r="PA105" s="1203"/>
      <c r="PB105" s="63"/>
      <c r="PC105" s="63"/>
      <c r="PD105" s="63"/>
      <c r="PE105" s="1451"/>
      <c r="PF105" s="1451"/>
      <c r="PG105" s="1451"/>
      <c r="PH105" s="1451"/>
      <c r="PI105" s="1451"/>
      <c r="PJ105" s="1438"/>
      <c r="PK105" s="1451"/>
      <c r="PL105" s="1438"/>
      <c r="PM105"/>
      <c r="PN105"/>
      <c r="PO105"/>
      <c r="PP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J105" s="424"/>
      <c r="QK105" s="424"/>
      <c r="QL105" s="424"/>
      <c r="QM105" s="424"/>
      <c r="QN105" s="424"/>
      <c r="QO105" s="424"/>
      <c r="QP105" s="424"/>
      <c r="QQ105" s="424"/>
      <c r="QR105" s="424"/>
      <c r="QS105" s="424"/>
      <c r="QT105" s="424"/>
      <c r="QU105" s="424"/>
      <c r="QV105" s="424"/>
      <c r="QW105" s="424"/>
      <c r="QX105" s="424"/>
      <c r="QY105" s="424"/>
      <c r="QZ105" s="424"/>
      <c r="RA105" s="424"/>
      <c r="RT105" s="424"/>
      <c r="RU105" s="424"/>
      <c r="RV105" s="424"/>
      <c r="RW105" s="424"/>
      <c r="RX105" s="424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424"/>
      <c r="SM105" s="88"/>
      <c r="SN105" s="424"/>
      <c r="SO105" s="424"/>
      <c r="SP105" s="424"/>
      <c r="SQ105" s="424"/>
      <c r="SR105" s="424"/>
      <c r="SS105" s="424"/>
      <c r="ST105" s="424"/>
      <c r="SU105" s="424"/>
      <c r="SV105" s="424"/>
      <c r="SW105" s="424"/>
      <c r="SX105" s="424"/>
      <c r="SY105" s="424"/>
      <c r="SZ105" s="424"/>
      <c r="TA105" s="424"/>
      <c r="TD105" s="424"/>
      <c r="TE105" s="424"/>
      <c r="TF105" s="424"/>
      <c r="TG105" s="424"/>
      <c r="TH105" s="424"/>
      <c r="TI105" s="424"/>
      <c r="TJ105" s="424"/>
      <c r="TK105" s="424"/>
      <c r="TL105" s="424"/>
      <c r="TM105" s="424"/>
      <c r="TN105" s="424"/>
      <c r="TO105" s="424"/>
      <c r="TP105" s="424"/>
      <c r="TQ105" s="424"/>
      <c r="TR105" s="424"/>
      <c r="TS105" s="424"/>
      <c r="TT105" s="424"/>
      <c r="TU105" s="424"/>
      <c r="TV105" s="424"/>
      <c r="TW105" s="424"/>
    </row>
    <row r="106" spans="2:549" x14ac:dyDescent="0.25">
      <c r="B106" s="99"/>
      <c r="C106" s="547"/>
      <c r="D106" s="1387"/>
      <c r="E106" s="1392"/>
      <c r="F106" s="1162"/>
      <c r="G106" s="647"/>
      <c r="H106" s="880"/>
      <c r="I106" s="619"/>
      <c r="J106" s="984"/>
      <c r="K106" s="619"/>
      <c r="L106" s="924"/>
      <c r="M106" s="619"/>
      <c r="N106" s="619"/>
      <c r="T106" s="1424"/>
      <c r="U106" s="1183"/>
      <c r="V106" s="20"/>
      <c r="W106" s="42"/>
      <c r="X106" s="20"/>
      <c r="Y106" s="20"/>
      <c r="Z106" s="20"/>
      <c r="AA106" s="20"/>
      <c r="AB106" s="20"/>
      <c r="AC106" s="20"/>
      <c r="AD106" s="20"/>
      <c r="AE106" s="20"/>
      <c r="AF106" s="20"/>
      <c r="AG106" s="1459"/>
      <c r="AH106" s="1459"/>
      <c r="AI106" s="1459"/>
      <c r="AJ106" s="1459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V106"/>
      <c r="BW106"/>
      <c r="BX106"/>
      <c r="BY106"/>
      <c r="BZ106"/>
      <c r="CA106"/>
      <c r="CB106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IS106"/>
      <c r="IT106"/>
      <c r="IU106"/>
      <c r="IV106"/>
      <c r="IW106"/>
      <c r="IX106"/>
      <c r="IY106"/>
      <c r="IZ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NP106" s="88"/>
      <c r="OW106"/>
      <c r="OX106"/>
      <c r="OY106"/>
      <c r="OZ106" s="4"/>
      <c r="PA106" s="1203"/>
      <c r="PB106" s="1438"/>
      <c r="PC106" s="1438"/>
      <c r="PD106" s="1438"/>
      <c r="PE106" s="1438"/>
      <c r="PF106" s="1451"/>
      <c r="PG106" s="1451"/>
      <c r="PH106" s="1451"/>
      <c r="PI106" s="1451"/>
      <c r="PJ106" s="1438"/>
      <c r="PK106" s="1451"/>
      <c r="PL106" s="1438"/>
      <c r="PM106"/>
      <c r="PN106"/>
      <c r="PO106"/>
      <c r="PP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J106" s="424"/>
      <c r="QK106" s="424"/>
      <c r="QL106" s="424"/>
      <c r="QM106" s="424"/>
      <c r="QN106" s="424"/>
      <c r="QO106" s="424"/>
      <c r="QP106" s="424"/>
      <c r="QQ106" s="424"/>
      <c r="QR106" s="424"/>
      <c r="QS106" s="424"/>
      <c r="QT106" s="424"/>
      <c r="QU106" s="424"/>
      <c r="QV106" s="424"/>
      <c r="QW106" s="424"/>
      <c r="QX106" s="424"/>
      <c r="QY106" s="424"/>
      <c r="QZ106" s="424"/>
      <c r="RA106" s="424"/>
      <c r="RT106" s="424"/>
      <c r="RU106" s="424"/>
      <c r="RV106" s="424"/>
      <c r="RW106" s="424"/>
      <c r="RX106" s="424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424"/>
      <c r="SM106" s="424"/>
      <c r="SN106" s="424"/>
      <c r="SO106" s="424"/>
      <c r="SP106" s="424"/>
      <c r="SQ106" s="424"/>
      <c r="SR106" s="424"/>
      <c r="SS106" s="424"/>
      <c r="ST106" s="424"/>
      <c r="SU106" s="424"/>
      <c r="SV106" s="424"/>
      <c r="SW106" s="424"/>
      <c r="SX106" s="424"/>
      <c r="SY106" s="424"/>
      <c r="SZ106" s="424"/>
      <c r="TA106" s="424"/>
      <c r="TD106" s="424"/>
      <c r="TE106" s="424"/>
      <c r="TF106" s="424"/>
      <c r="TG106" s="424"/>
      <c r="TH106" s="424"/>
      <c r="TI106" s="424"/>
      <c r="TJ106" s="424"/>
      <c r="TK106" s="424"/>
      <c r="TL106" s="424"/>
      <c r="TM106" s="424"/>
      <c r="TN106" s="424"/>
      <c r="TO106" s="424"/>
      <c r="TP106" s="424"/>
      <c r="TQ106" s="424"/>
      <c r="TR106" s="424"/>
      <c r="TS106" s="424"/>
      <c r="TT106" s="424"/>
      <c r="TU106" s="424"/>
      <c r="TV106" s="424"/>
      <c r="TW106" s="424"/>
    </row>
    <row r="107" spans="2:549" x14ac:dyDescent="0.25">
      <c r="B107" s="99"/>
      <c r="C107" s="547"/>
      <c r="D107" s="1387"/>
      <c r="E107" s="1174"/>
      <c r="F107" s="1162"/>
      <c r="G107" s="647"/>
      <c r="H107" s="880"/>
      <c r="I107" s="619"/>
      <c r="J107" s="984"/>
      <c r="K107" s="619"/>
      <c r="L107" s="924"/>
      <c r="M107" s="619"/>
      <c r="N107" s="619"/>
      <c r="T107" s="679"/>
      <c r="U107" s="1415"/>
      <c r="V107" s="63"/>
      <c r="W107" s="42"/>
      <c r="X107" s="63"/>
      <c r="Y107" s="63"/>
      <c r="Z107" s="63"/>
      <c r="AA107" s="63"/>
      <c r="AB107" s="63"/>
      <c r="AC107" s="63"/>
      <c r="AD107" s="63"/>
      <c r="AE107" s="63"/>
      <c r="AF107" s="63"/>
      <c r="AG107" s="1437"/>
      <c r="AH107" s="1437"/>
      <c r="AI107" s="1437"/>
      <c r="AJ107" s="1437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V107"/>
      <c r="BW107"/>
      <c r="BX107"/>
      <c r="BY107"/>
      <c r="BZ107"/>
      <c r="CA107"/>
      <c r="CB107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IS107"/>
      <c r="IT107"/>
      <c r="IU107"/>
      <c r="IV107"/>
      <c r="IW107"/>
      <c r="IX107"/>
      <c r="IY107"/>
      <c r="IZ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NP107" s="88"/>
      <c r="OW107"/>
      <c r="OX107"/>
      <c r="OY107"/>
      <c r="OZ107" s="4"/>
      <c r="PA107" s="1203"/>
      <c r="PB107" s="99"/>
      <c r="PC107" s="99"/>
      <c r="PD107" s="99"/>
      <c r="PE107" s="1451"/>
      <c r="PF107" s="1451"/>
      <c r="PG107" s="1451"/>
      <c r="PH107" s="1451"/>
      <c r="PI107" s="1451"/>
      <c r="PJ107" s="1438"/>
      <c r="PK107" s="1451"/>
      <c r="PL107" s="1438"/>
      <c r="PM107"/>
      <c r="PN107"/>
      <c r="PO107"/>
      <c r="PP107"/>
      <c r="QJ107" s="424"/>
      <c r="QK107" s="424"/>
      <c r="QL107" s="424"/>
      <c r="QM107" s="424"/>
      <c r="QN107" s="424"/>
      <c r="QO107" s="424"/>
      <c r="QP107" s="424"/>
      <c r="QQ107" s="424"/>
      <c r="QR107" s="424"/>
      <c r="QS107" s="424"/>
      <c r="QT107" s="424"/>
      <c r="QU107" s="424"/>
      <c r="QV107" s="424"/>
      <c r="QW107" s="424"/>
      <c r="QX107" s="424"/>
      <c r="QY107" s="424"/>
      <c r="QZ107" s="424"/>
      <c r="RA107" s="424"/>
      <c r="RT107" s="424"/>
      <c r="RU107" s="424"/>
      <c r="RV107" s="424"/>
      <c r="RW107" s="424"/>
      <c r="RX107" s="424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Z107" s="1408"/>
      <c r="TA107" s="1408"/>
      <c r="TB107" s="1408" t="s">
        <v>57</v>
      </c>
      <c r="TC107" s="1408" t="s">
        <v>58</v>
      </c>
      <c r="TD107" s="424"/>
      <c r="TE107" s="424"/>
      <c r="TF107" s="424"/>
      <c r="TG107" s="424"/>
      <c r="TH107" s="424"/>
      <c r="TI107" s="424"/>
      <c r="TJ107" s="424"/>
      <c r="TK107" s="424"/>
      <c r="TL107" s="424"/>
      <c r="TM107" s="424"/>
      <c r="TN107" s="424"/>
      <c r="TO107" s="424"/>
      <c r="TP107" s="424"/>
      <c r="TQ107" s="424"/>
      <c r="TR107" s="424"/>
      <c r="TS107" s="424"/>
      <c r="TT107" s="424"/>
      <c r="TU107" s="424"/>
      <c r="TV107" s="424"/>
      <c r="TW107" s="424"/>
    </row>
    <row r="108" spans="2:549" x14ac:dyDescent="0.25">
      <c r="B108" s="99"/>
      <c r="C108" s="1388"/>
      <c r="D108" s="1387"/>
      <c r="E108" s="1174"/>
      <c r="F108" s="880"/>
      <c r="G108" s="641"/>
      <c r="H108" s="880"/>
      <c r="I108" s="619"/>
      <c r="J108" s="619"/>
      <c r="K108" s="619"/>
      <c r="L108" s="619"/>
      <c r="M108" s="619"/>
      <c r="N108" s="619"/>
      <c r="T108" s="679"/>
      <c r="U108" s="1415"/>
      <c r="V108" s="63"/>
      <c r="W108" s="42"/>
      <c r="X108" s="63"/>
      <c r="Y108" s="63"/>
      <c r="Z108" s="63"/>
      <c r="AA108" s="63"/>
      <c r="AB108" s="63"/>
      <c r="AC108" s="63"/>
      <c r="AD108" s="63"/>
      <c r="AE108" s="63"/>
      <c r="AF108" s="63"/>
      <c r="AG108" s="1437"/>
      <c r="AH108" s="1437"/>
      <c r="AI108" s="1437"/>
      <c r="AJ108" s="1437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V108"/>
      <c r="BW108"/>
      <c r="BX108"/>
      <c r="BY108"/>
      <c r="BZ108"/>
      <c r="CA108"/>
      <c r="CB108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IS108"/>
      <c r="IT108"/>
      <c r="IU108"/>
      <c r="IV108"/>
      <c r="IW108"/>
      <c r="IX108"/>
      <c r="IY108"/>
      <c r="IZ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NP108" s="88"/>
      <c r="OW108"/>
      <c r="OX108"/>
      <c r="OY108"/>
      <c r="OZ108" s="4"/>
      <c r="PA108" s="1203"/>
      <c r="PB108" s="99"/>
      <c r="PC108" s="99"/>
      <c r="PD108" s="99"/>
      <c r="PE108" s="1451"/>
      <c r="PF108" s="1451"/>
      <c r="PG108" s="1451"/>
      <c r="PH108" s="1451"/>
      <c r="PI108" s="1451"/>
      <c r="PJ108" s="1438"/>
      <c r="PK108" s="1451"/>
      <c r="PL108" s="1438"/>
      <c r="PM108"/>
      <c r="PN108"/>
      <c r="PO108"/>
      <c r="PP108"/>
      <c r="QJ108" s="424"/>
      <c r="QK108" s="424"/>
      <c r="QL108" s="424"/>
      <c r="QM108" s="424"/>
      <c r="QN108" s="424"/>
      <c r="QO108" s="424"/>
      <c r="QP108" s="424"/>
      <c r="QQ108" s="424"/>
      <c r="QR108" s="424"/>
      <c r="QS108" s="424"/>
      <c r="QT108" s="424"/>
      <c r="QU108" s="424"/>
      <c r="QV108" s="424"/>
      <c r="QW108" s="424"/>
      <c r="QX108" s="424"/>
      <c r="QY108" s="424"/>
      <c r="QZ108" s="424"/>
      <c r="RA108" s="424"/>
      <c r="RT108" s="424"/>
      <c r="RU108" s="424"/>
      <c r="RV108" s="424"/>
      <c r="RW108" s="424"/>
      <c r="RX108" s="424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Z108" s="1407"/>
      <c r="TA108" s="1407"/>
      <c r="TB108" s="1407">
        <v>2025</v>
      </c>
      <c r="TC108" s="1406" t="s">
        <v>62</v>
      </c>
      <c r="TD108" s="424"/>
      <c r="TE108" s="424"/>
      <c r="TF108" s="424"/>
      <c r="TG108" s="424"/>
      <c r="TH108" s="424"/>
      <c r="TI108" s="424"/>
      <c r="TJ108" s="424"/>
      <c r="TK108" s="424"/>
      <c r="TL108" s="424"/>
      <c r="TM108" s="424"/>
      <c r="TN108" s="424"/>
      <c r="TO108" s="424"/>
      <c r="TP108" s="424"/>
      <c r="TQ108" s="424"/>
      <c r="TR108" s="424"/>
      <c r="TS108" s="424"/>
      <c r="TT108" s="424"/>
      <c r="TU108" s="424"/>
      <c r="TV108" s="424"/>
      <c r="TW108" s="424"/>
    </row>
    <row r="109" spans="2:549" x14ac:dyDescent="0.25">
      <c r="B109" s="99"/>
      <c r="C109" s="1388"/>
      <c r="D109" s="1387"/>
      <c r="E109" s="633"/>
      <c r="F109" s="880"/>
      <c r="G109" s="641"/>
      <c r="H109" s="880"/>
      <c r="I109" s="619"/>
      <c r="J109" s="619"/>
      <c r="K109" s="619"/>
      <c r="L109" s="619"/>
      <c r="M109" s="619"/>
      <c r="N109" s="619"/>
      <c r="T109" s="679"/>
      <c r="U109" s="1415"/>
      <c r="V109" s="63"/>
      <c r="W109" s="42"/>
      <c r="X109" s="63"/>
      <c r="Y109" s="63"/>
      <c r="Z109" s="63"/>
      <c r="AA109" s="63"/>
      <c r="AB109" s="63"/>
      <c r="AC109" s="63"/>
      <c r="AD109" s="63"/>
      <c r="AE109" s="63"/>
      <c r="AF109" s="63"/>
      <c r="AG109" s="1437"/>
      <c r="AH109" s="1437"/>
      <c r="AI109" s="1437"/>
      <c r="AJ109" s="1437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V109"/>
      <c r="BW109"/>
      <c r="BX109"/>
      <c r="BY109"/>
      <c r="BZ109"/>
      <c r="CA109"/>
      <c r="CB109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IS109"/>
      <c r="IT109"/>
      <c r="IU109"/>
      <c r="IV109"/>
      <c r="IW109"/>
      <c r="IX109"/>
      <c r="IY109"/>
      <c r="IZ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NP109" s="88"/>
      <c r="OW109"/>
      <c r="OX109"/>
      <c r="OY109"/>
      <c r="OZ109" s="1203"/>
      <c r="PA109" s="1203"/>
      <c r="PB109" s="63"/>
      <c r="PC109" s="624"/>
      <c r="PD109" s="63"/>
      <c r="PE109" s="63"/>
      <c r="PF109" s="1451"/>
      <c r="PG109" s="63"/>
      <c r="PH109" s="1451"/>
      <c r="PI109" s="63"/>
      <c r="PJ109" s="1442"/>
      <c r="PK109" s="63"/>
      <c r="PL109" s="1442"/>
      <c r="PM109"/>
      <c r="PN109"/>
      <c r="PO109"/>
      <c r="PP109"/>
      <c r="QJ109" s="424"/>
      <c r="QK109" s="424"/>
      <c r="QL109" s="424"/>
      <c r="QM109" s="424"/>
      <c r="QN109" s="424"/>
      <c r="QO109" s="424"/>
      <c r="QP109" s="424"/>
      <c r="QQ109" s="424"/>
      <c r="QR109" s="424"/>
      <c r="QS109" s="424"/>
      <c r="QT109" s="424"/>
      <c r="QU109" s="424"/>
      <c r="QV109" s="424"/>
      <c r="QW109" s="424"/>
      <c r="QX109" s="424"/>
      <c r="QY109" s="424"/>
      <c r="QZ109" s="424"/>
      <c r="RA109" s="424"/>
      <c r="RT109" s="424"/>
      <c r="RU109" s="424"/>
      <c r="RV109" s="424"/>
      <c r="RW109" s="424"/>
      <c r="RX109" s="424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Z109" s="1405"/>
      <c r="TA109" s="1405"/>
      <c r="TB109" s="1405" t="s">
        <v>11</v>
      </c>
      <c r="TC109" s="1404" t="s">
        <v>66</v>
      </c>
      <c r="TD109" s="424"/>
      <c r="TE109" s="424"/>
      <c r="TF109" s="424"/>
      <c r="TG109" s="424"/>
      <c r="TH109" s="424"/>
      <c r="TI109" s="424"/>
      <c r="TJ109" s="424"/>
      <c r="TK109" s="424"/>
      <c r="TL109" s="424"/>
      <c r="TM109" s="424"/>
      <c r="TN109" s="424"/>
      <c r="TO109" s="424"/>
      <c r="TP109" s="424"/>
      <c r="TQ109" s="424"/>
      <c r="TR109" s="424"/>
      <c r="TS109" s="424"/>
      <c r="TT109" s="424"/>
      <c r="TU109" s="424"/>
      <c r="TV109" s="424"/>
      <c r="TW109" s="424"/>
    </row>
    <row r="110" spans="2:549" x14ac:dyDescent="0.25">
      <c r="B110" s="99"/>
      <c r="C110" s="1388"/>
      <c r="D110" s="1387"/>
      <c r="E110" s="1174"/>
      <c r="F110" s="880"/>
      <c r="G110" s="1174"/>
      <c r="H110" s="880"/>
      <c r="I110" s="619"/>
      <c r="J110" s="619"/>
      <c r="K110" s="619"/>
      <c r="L110" s="619"/>
      <c r="M110" s="619"/>
      <c r="N110" s="619"/>
      <c r="T110" s="679"/>
      <c r="U110" s="1415"/>
      <c r="V110" s="63"/>
      <c r="W110" s="42"/>
      <c r="X110" s="63"/>
      <c r="Y110" s="63"/>
      <c r="Z110" s="63"/>
      <c r="AA110" s="63"/>
      <c r="AB110" s="63"/>
      <c r="AC110" s="63"/>
      <c r="AD110" s="63"/>
      <c r="AE110" s="63"/>
      <c r="AF110" s="63"/>
      <c r="AG110" s="1437"/>
      <c r="AH110" s="1437"/>
      <c r="AI110" s="1437"/>
      <c r="AJ110" s="1437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V110"/>
      <c r="BW110"/>
      <c r="BX110"/>
      <c r="BY110"/>
      <c r="BZ110"/>
      <c r="CA110"/>
      <c r="CB11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IS110"/>
      <c r="IT110"/>
      <c r="IU110"/>
      <c r="IV110"/>
      <c r="IW110"/>
      <c r="IX110"/>
      <c r="IY110"/>
      <c r="IZ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NP110" s="88"/>
      <c r="OW110"/>
      <c r="OX110"/>
      <c r="OY110"/>
      <c r="OZ110" s="1203"/>
      <c r="PA110" s="1203"/>
      <c r="PB110" s="63"/>
      <c r="PC110" s="63"/>
      <c r="PD110" s="63"/>
      <c r="PE110" s="63"/>
      <c r="PF110" s="1451"/>
      <c r="PG110" s="63"/>
      <c r="PH110" s="1451"/>
      <c r="PI110" s="63"/>
      <c r="PJ110" s="1442"/>
      <c r="PK110" s="63"/>
      <c r="PL110" s="1442"/>
      <c r="PM110"/>
      <c r="PN110"/>
      <c r="PO110"/>
      <c r="PP110"/>
      <c r="QJ110" s="424"/>
      <c r="QK110" s="424"/>
      <c r="QL110" s="424"/>
      <c r="QM110" s="424"/>
      <c r="QN110" s="424"/>
      <c r="QO110" s="424"/>
      <c r="QP110" s="424"/>
      <c r="QQ110" s="424"/>
      <c r="QR110" s="424"/>
      <c r="QS110" s="424"/>
      <c r="QT110" s="424"/>
      <c r="QU110" s="424"/>
      <c r="QV110" s="424"/>
      <c r="QW110" s="424"/>
      <c r="QX110" s="424"/>
      <c r="QY110" s="424"/>
      <c r="QZ110" s="424"/>
      <c r="RA110" s="424"/>
      <c r="RT110" s="424"/>
      <c r="RU110" s="424"/>
      <c r="RV110" s="424"/>
      <c r="RW110" s="424"/>
      <c r="RX110" s="424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Z110" s="1405"/>
      <c r="TA110" s="1405"/>
      <c r="TB110" s="1405" t="s">
        <v>183</v>
      </c>
      <c r="TC110" s="1404" t="s">
        <v>73</v>
      </c>
      <c r="TD110" s="424"/>
      <c r="TE110" s="424"/>
      <c r="TF110" s="424"/>
      <c r="TG110" s="424"/>
      <c r="TH110" s="424"/>
      <c r="TI110" s="424"/>
      <c r="TJ110" s="424"/>
      <c r="TK110" s="424"/>
      <c r="TL110" s="424"/>
      <c r="TM110" s="424"/>
      <c r="TN110" s="424"/>
      <c r="TO110" s="424"/>
      <c r="TP110" s="424"/>
      <c r="TQ110" s="424"/>
      <c r="TR110" s="424"/>
      <c r="TS110" s="424"/>
      <c r="TT110" s="424"/>
      <c r="TU110" s="424"/>
      <c r="TV110" s="424"/>
      <c r="TW110" s="424"/>
    </row>
    <row r="111" spans="2:549" x14ac:dyDescent="0.25">
      <c r="B111" s="99"/>
      <c r="C111" s="1388"/>
      <c r="D111" s="1387"/>
      <c r="E111" s="1174"/>
      <c r="F111" s="880"/>
      <c r="G111" s="641"/>
      <c r="H111" s="880"/>
      <c r="I111" s="619"/>
      <c r="J111" s="619"/>
      <c r="K111" s="619"/>
      <c r="L111" s="619"/>
      <c r="M111" s="619"/>
      <c r="N111" s="619"/>
      <c r="T111" s="679"/>
      <c r="U111" s="1415"/>
      <c r="V111" s="63"/>
      <c r="W111" s="42"/>
      <c r="X111" s="63"/>
      <c r="Y111" s="63"/>
      <c r="Z111" s="63"/>
      <c r="AA111" s="63"/>
      <c r="AB111" s="63"/>
      <c r="AC111" s="63"/>
      <c r="AD111" s="63"/>
      <c r="AE111" s="63"/>
      <c r="AF111" s="63"/>
      <c r="AG111" s="1437"/>
      <c r="AH111" s="1437"/>
      <c r="AI111" s="1437"/>
      <c r="AJ111" s="1437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V111"/>
      <c r="BW111"/>
      <c r="BX111"/>
      <c r="BY111"/>
      <c r="BZ111"/>
      <c r="CA111"/>
      <c r="CB111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IS111"/>
      <c r="IT111"/>
      <c r="IU111"/>
      <c r="IV111"/>
      <c r="IW111"/>
      <c r="IX111"/>
      <c r="IY111"/>
      <c r="IZ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NP111" s="88"/>
      <c r="OW111"/>
      <c r="OX111"/>
      <c r="OY111"/>
      <c r="OZ111" s="1203"/>
      <c r="PA111" s="1203"/>
      <c r="PB111" s="63"/>
      <c r="PC111" s="63"/>
      <c r="PD111" s="63"/>
      <c r="PE111" s="63"/>
      <c r="PF111" s="1451"/>
      <c r="PG111" s="1451"/>
      <c r="PH111" s="1451"/>
      <c r="PI111" s="1442"/>
      <c r="PJ111" s="1442"/>
      <c r="PK111" s="1442"/>
      <c r="PL111" s="1442"/>
      <c r="PM111"/>
      <c r="PN111"/>
      <c r="PO111"/>
      <c r="PP111"/>
      <c r="QJ111" s="424"/>
      <c r="QK111" s="424"/>
      <c r="QL111" s="424"/>
      <c r="QM111" s="424"/>
      <c r="QN111" s="424"/>
      <c r="QO111" s="424"/>
      <c r="QP111" s="424"/>
      <c r="QQ111" s="424"/>
      <c r="QR111" s="424"/>
      <c r="QS111" s="424"/>
      <c r="QT111" s="424"/>
      <c r="QU111" s="424"/>
      <c r="QV111" s="424"/>
      <c r="QW111" s="424"/>
      <c r="QX111" s="424"/>
      <c r="QY111" s="424"/>
      <c r="QZ111" s="424"/>
      <c r="RA111" s="424"/>
      <c r="RT111" s="424"/>
      <c r="RU111" s="424"/>
      <c r="RV111" s="424"/>
      <c r="RW111" s="424"/>
      <c r="RX111" s="424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Z111" s="1403"/>
      <c r="TA111" s="1403"/>
      <c r="TB111" s="1403" t="s">
        <v>75</v>
      </c>
      <c r="TC111" s="1402" t="s">
        <v>11</v>
      </c>
      <c r="TD111" s="424"/>
      <c r="TE111" s="424"/>
      <c r="TF111" s="424"/>
      <c r="TG111" s="424"/>
      <c r="TH111" s="424"/>
      <c r="TI111" s="424"/>
      <c r="TJ111" s="424"/>
      <c r="TK111" s="424"/>
      <c r="TL111" s="424"/>
      <c r="TM111" s="424"/>
      <c r="TN111" s="424"/>
      <c r="TO111" s="424"/>
      <c r="TP111" s="424"/>
      <c r="TQ111" s="424"/>
      <c r="TR111" s="424"/>
      <c r="TS111" s="424"/>
      <c r="TT111" s="424"/>
      <c r="TU111" s="424"/>
      <c r="TV111" s="424"/>
      <c r="TW111" s="424"/>
    </row>
    <row r="112" spans="2:549" x14ac:dyDescent="0.25">
      <c r="B112" s="99"/>
      <c r="C112" s="1388"/>
      <c r="D112" s="1387"/>
      <c r="E112" s="1174"/>
      <c r="F112" s="880"/>
      <c r="G112" s="1174"/>
      <c r="H112" s="880"/>
      <c r="I112" s="619"/>
      <c r="J112" s="619"/>
      <c r="K112" s="619"/>
      <c r="L112" s="619"/>
      <c r="M112" s="619"/>
      <c r="N112" s="619"/>
      <c r="T112" s="679"/>
      <c r="U112" s="1415"/>
      <c r="V112" s="63"/>
      <c r="W112" s="42"/>
      <c r="X112" s="63"/>
      <c r="Y112" s="63"/>
      <c r="Z112" s="63"/>
      <c r="AA112" s="63"/>
      <c r="AB112" s="63"/>
      <c r="AC112" s="63"/>
      <c r="AD112" s="63"/>
      <c r="AE112" s="63"/>
      <c r="AF112" s="63"/>
      <c r="AG112" s="1437"/>
      <c r="AH112" s="1437"/>
      <c r="AI112" s="1437"/>
      <c r="AJ112" s="1437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V112"/>
      <c r="BW112"/>
      <c r="BX112"/>
      <c r="BY112"/>
      <c r="BZ112"/>
      <c r="CA112"/>
      <c r="CB112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IS112"/>
      <c r="IT112"/>
      <c r="IU112"/>
      <c r="IV112"/>
      <c r="IW112"/>
      <c r="IX112"/>
      <c r="IY112"/>
      <c r="IZ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NP112" s="88"/>
      <c r="OW112"/>
      <c r="OX112"/>
      <c r="OY112"/>
      <c r="OZ112" s="4"/>
      <c r="PA112" s="1203"/>
      <c r="PB112" s="1438"/>
      <c r="PC112" s="1438"/>
      <c r="PD112" s="1438"/>
      <c r="PE112" s="1438"/>
      <c r="PF112" s="1451"/>
      <c r="PG112" s="1451"/>
      <c r="PH112" s="1451"/>
      <c r="PI112" s="1442"/>
      <c r="PJ112" s="1442"/>
      <c r="PK112" s="1442"/>
      <c r="PL112" s="1442"/>
      <c r="PM112"/>
      <c r="PN112"/>
      <c r="PO112"/>
      <c r="PP112"/>
      <c r="QJ112" s="424"/>
      <c r="QK112" s="424"/>
      <c r="QL112" s="424"/>
      <c r="QM112" s="424"/>
      <c r="QN112" s="424"/>
      <c r="QO112" s="424"/>
      <c r="QP112" s="424"/>
      <c r="QQ112" s="424"/>
      <c r="QR112" s="424"/>
      <c r="QS112" s="424"/>
      <c r="QT112" s="424"/>
      <c r="QU112" s="424"/>
      <c r="QV112" s="424"/>
      <c r="QW112" s="424"/>
      <c r="QX112" s="424"/>
      <c r="QY112" s="424"/>
      <c r="QZ112" s="424"/>
      <c r="RA112" s="424"/>
      <c r="RT112" s="424"/>
      <c r="RU112" s="424"/>
      <c r="RV112" s="424"/>
      <c r="RW112" s="424"/>
      <c r="RX112" s="424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Z112" s="1401"/>
      <c r="TA112" s="1401"/>
      <c r="TB112" s="1401" t="s">
        <v>77</v>
      </c>
      <c r="TC112" s="1401" t="s">
        <v>78</v>
      </c>
      <c r="TD112" s="424"/>
      <c r="TE112" s="424"/>
      <c r="TF112" s="424"/>
      <c r="TG112" s="424"/>
      <c r="TH112" s="424"/>
      <c r="TI112" s="424"/>
      <c r="TJ112" s="424"/>
      <c r="TK112" s="424"/>
      <c r="TL112" s="424"/>
      <c r="TM112" s="424"/>
      <c r="TN112" s="424"/>
      <c r="TO112" s="424"/>
      <c r="TP112" s="424"/>
      <c r="TQ112" s="424"/>
      <c r="TR112" s="424"/>
      <c r="TS112" s="424"/>
      <c r="TT112" s="424"/>
      <c r="TU112" s="424"/>
      <c r="TV112" s="424"/>
      <c r="TW112" s="424"/>
    </row>
    <row r="113" spans="2:543" x14ac:dyDescent="0.25">
      <c r="B113" s="99"/>
      <c r="C113" s="1388"/>
      <c r="D113" s="1387"/>
      <c r="E113" s="1174"/>
      <c r="F113" s="880"/>
      <c r="G113" s="641"/>
      <c r="H113" s="880"/>
      <c r="I113" s="619"/>
      <c r="J113" s="619"/>
      <c r="K113" s="619"/>
      <c r="L113" s="619"/>
      <c r="M113" s="619"/>
      <c r="N113" s="619"/>
      <c r="T113" s="679"/>
      <c r="U113" s="1415"/>
      <c r="V113" s="63"/>
      <c r="W113" s="42"/>
      <c r="X113" s="63"/>
      <c r="Y113" s="63"/>
      <c r="Z113" s="63"/>
      <c r="AA113" s="63"/>
      <c r="AB113" s="63"/>
      <c r="AC113" s="63"/>
      <c r="AD113" s="63"/>
      <c r="AE113" s="63"/>
      <c r="AF113" s="63"/>
      <c r="AG113" s="1437"/>
      <c r="AH113" s="1437"/>
      <c r="AI113" s="1437"/>
      <c r="AJ113" s="1437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V113"/>
      <c r="BW113"/>
      <c r="BX113"/>
      <c r="BY113"/>
      <c r="BZ113"/>
      <c r="CA113"/>
      <c r="CB113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IS113"/>
      <c r="IT113"/>
      <c r="IU113"/>
      <c r="IV113"/>
      <c r="IW113"/>
      <c r="IX113"/>
      <c r="IY113"/>
      <c r="IZ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NP113" s="88"/>
      <c r="OW113"/>
      <c r="OX113"/>
      <c r="OY113"/>
      <c r="OZ113" s="4"/>
      <c r="PA113" s="1203"/>
      <c r="PB113" s="1438"/>
      <c r="PC113" s="1438"/>
      <c r="PD113" s="1438"/>
      <c r="PE113" s="1438"/>
      <c r="PF113" s="1451"/>
      <c r="PG113" s="1451"/>
      <c r="PH113" s="1451"/>
      <c r="PI113" s="1442"/>
      <c r="PJ113" s="1442"/>
      <c r="PK113" s="1442"/>
      <c r="PL113" s="1442"/>
      <c r="PM113"/>
      <c r="PN113"/>
      <c r="PO113"/>
      <c r="PP113"/>
      <c r="QJ113" s="424"/>
      <c r="QK113" s="424"/>
      <c r="QL113" s="424"/>
      <c r="QM113" s="424"/>
      <c r="QN113" s="424"/>
      <c r="QO113" s="424"/>
      <c r="QP113" s="424"/>
      <c r="QQ113" s="424"/>
      <c r="QR113" s="424"/>
      <c r="QS113" s="424"/>
      <c r="QT113" s="424"/>
      <c r="QU113" s="424"/>
      <c r="QV113" s="424"/>
      <c r="QW113" s="424"/>
      <c r="QX113" s="424"/>
      <c r="QY113" s="424"/>
      <c r="QZ113" s="424"/>
      <c r="RA113" s="424"/>
      <c r="RT113" s="424"/>
      <c r="RU113" s="424"/>
      <c r="RV113" s="424"/>
      <c r="RW113" s="424"/>
      <c r="RX113" s="424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Z113" s="1400"/>
      <c r="TA113" s="1400"/>
      <c r="TB113" s="1400"/>
      <c r="TC113" s="1400"/>
      <c r="TD113" s="424"/>
      <c r="TE113" s="424"/>
      <c r="TF113" s="424"/>
      <c r="TG113" s="424"/>
      <c r="TH113" s="424"/>
      <c r="TI113" s="424"/>
      <c r="TJ113" s="424"/>
      <c r="TK113" s="424"/>
      <c r="TL113" s="424"/>
      <c r="TM113" s="424"/>
      <c r="TN113" s="424"/>
      <c r="TO113" s="424"/>
      <c r="TP113" s="424"/>
      <c r="TQ113" s="424"/>
      <c r="TR113" s="424"/>
      <c r="TS113" s="424"/>
      <c r="TT113" s="424"/>
      <c r="TU113" s="424"/>
      <c r="TV113" s="424"/>
      <c r="TW113" s="424"/>
    </row>
    <row r="114" spans="2:543" x14ac:dyDescent="0.25">
      <c r="B114" s="99"/>
      <c r="C114" s="547"/>
      <c r="D114" s="1387"/>
      <c r="E114" s="1174"/>
      <c r="F114" s="880"/>
      <c r="G114" s="641"/>
      <c r="H114" s="880"/>
      <c r="I114" s="619"/>
      <c r="J114" s="619"/>
      <c r="K114" s="619"/>
      <c r="L114" s="619"/>
      <c r="M114" s="619"/>
      <c r="N114" s="619"/>
      <c r="T114" s="679"/>
      <c r="U114" s="1415"/>
      <c r="V114" s="63"/>
      <c r="W114" s="42"/>
      <c r="X114" s="63"/>
      <c r="Y114" s="63"/>
      <c r="Z114" s="63"/>
      <c r="AA114" s="63"/>
      <c r="AB114" s="63"/>
      <c r="AC114" s="63"/>
      <c r="AD114" s="63"/>
      <c r="AE114" s="63"/>
      <c r="AF114" s="63"/>
      <c r="AG114" s="1437"/>
      <c r="AH114" s="1437"/>
      <c r="AI114" s="1437"/>
      <c r="AJ114" s="1437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V114"/>
      <c r="BW114"/>
      <c r="BX114"/>
      <c r="BY114"/>
      <c r="BZ114"/>
      <c r="CA114"/>
      <c r="CB114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IS114"/>
      <c r="IT114"/>
      <c r="IU114"/>
      <c r="IV114"/>
      <c r="IW114"/>
      <c r="IX114"/>
      <c r="IY114"/>
      <c r="IZ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NP114" s="88"/>
      <c r="OW114"/>
      <c r="OX114"/>
      <c r="OY114"/>
      <c r="OZ114" s="4"/>
      <c r="PA114" s="4"/>
      <c r="PB114" s="1438"/>
      <c r="PC114" s="1438"/>
      <c r="PD114" s="1438"/>
      <c r="PE114" s="1438"/>
      <c r="PF114" s="1451"/>
      <c r="PG114" s="1451"/>
      <c r="PH114" s="1451"/>
      <c r="PI114" s="1442"/>
      <c r="PJ114" s="1442"/>
      <c r="PK114" s="1442"/>
      <c r="PL114" s="1442"/>
      <c r="PM114"/>
      <c r="PN114"/>
      <c r="PO114"/>
      <c r="PP114"/>
      <c r="QJ114" s="424"/>
      <c r="QK114" s="424"/>
      <c r="QL114" s="424"/>
      <c r="QM114" s="424"/>
      <c r="QN114" s="424"/>
      <c r="QO114" s="424"/>
      <c r="QP114" s="424"/>
      <c r="QQ114" s="424"/>
      <c r="QR114" s="424"/>
      <c r="QS114" s="424"/>
      <c r="QT114" s="424"/>
      <c r="QU114" s="424"/>
      <c r="QV114" s="424"/>
      <c r="QW114" s="424"/>
      <c r="QX114" s="424"/>
      <c r="QY114" s="424"/>
      <c r="QZ114" s="424"/>
      <c r="RA114" s="424"/>
      <c r="RT114" s="424"/>
      <c r="RU114" s="424"/>
      <c r="RV114" s="424"/>
      <c r="RW114" s="424"/>
      <c r="RX114" s="424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Z114" s="1374"/>
      <c r="TA114" s="1374"/>
      <c r="TB114" s="1381">
        <v>5579374.4999999907</v>
      </c>
      <c r="TC114" s="1374">
        <v>22166325.399999987</v>
      </c>
      <c r="TD114" s="424"/>
      <c r="TE114" s="424"/>
      <c r="TF114" s="424"/>
      <c r="TG114" s="424"/>
      <c r="TH114" s="424"/>
      <c r="TI114" s="424"/>
      <c r="TJ114" s="424"/>
      <c r="TK114" s="424"/>
      <c r="TL114" s="424"/>
      <c r="TM114" s="424"/>
      <c r="TN114" s="424"/>
      <c r="TO114" s="424"/>
      <c r="TP114" s="424"/>
      <c r="TQ114" s="424"/>
      <c r="TR114" s="424"/>
      <c r="TS114" s="424"/>
      <c r="TT114" s="424"/>
      <c r="TU114" s="424"/>
      <c r="TV114" s="424"/>
      <c r="TW114" s="424"/>
    </row>
    <row r="115" spans="2:543" x14ac:dyDescent="0.25">
      <c r="B115" s="99"/>
      <c r="C115" s="547"/>
      <c r="D115" s="560"/>
      <c r="E115" s="902"/>
      <c r="F115" s="880"/>
      <c r="G115" s="641"/>
      <c r="H115" s="880"/>
      <c r="I115" s="619"/>
      <c r="J115" s="619"/>
      <c r="K115" s="619"/>
      <c r="L115" s="619"/>
      <c r="M115" s="619"/>
      <c r="N115" s="619"/>
      <c r="T115" s="679"/>
      <c r="U115" s="1415"/>
      <c r="V115" s="63"/>
      <c r="W115" s="42"/>
      <c r="X115" s="63"/>
      <c r="Y115" s="63"/>
      <c r="Z115" s="63"/>
      <c r="AA115" s="63"/>
      <c r="AB115" s="63"/>
      <c r="AC115" s="63"/>
      <c r="AD115" s="63"/>
      <c r="AE115" s="63"/>
      <c r="AF115" s="63"/>
      <c r="AG115" s="1437"/>
      <c r="AH115" s="1437"/>
      <c r="AI115" s="1437"/>
      <c r="AJ115" s="1437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V115"/>
      <c r="BW115"/>
      <c r="BX115"/>
      <c r="BY115"/>
      <c r="BZ115"/>
      <c r="CA115"/>
      <c r="CB115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IS115"/>
      <c r="IT115"/>
      <c r="IU115"/>
      <c r="IV115"/>
      <c r="IW115"/>
      <c r="IX115"/>
      <c r="IY115"/>
      <c r="IZ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NP115" s="88"/>
      <c r="OW115"/>
      <c r="OX115"/>
      <c r="OY115"/>
      <c r="OZ115" s="1205"/>
      <c r="PA115" s="1205"/>
      <c r="PB115" s="846"/>
      <c r="PC115" s="846"/>
      <c r="PD115" s="846"/>
      <c r="PE115" s="846"/>
      <c r="PF115" s="846"/>
      <c r="PG115" s="846"/>
      <c r="PH115" s="846"/>
      <c r="PI115" s="846"/>
      <c r="PJ115" s="846"/>
      <c r="PK115" s="846"/>
      <c r="PL115" s="846"/>
      <c r="PM115"/>
      <c r="PN115"/>
      <c r="PO115"/>
      <c r="PP115"/>
      <c r="QJ115" s="424"/>
      <c r="QK115" s="424"/>
      <c r="QL115" s="424"/>
      <c r="QM115" s="424"/>
      <c r="QN115" s="424"/>
      <c r="QO115" s="424"/>
      <c r="QP115" s="424"/>
      <c r="QQ115" s="424"/>
      <c r="QR115" s="424"/>
      <c r="QS115" s="424"/>
      <c r="QT115" s="424"/>
      <c r="QU115" s="424"/>
      <c r="QV115" s="424"/>
      <c r="QW115" s="424"/>
      <c r="QX115" s="424"/>
      <c r="QY115" s="424"/>
      <c r="QZ115" s="424"/>
      <c r="RA115" s="424"/>
      <c r="RT115" s="424"/>
      <c r="RU115" s="424"/>
      <c r="RV115" s="424"/>
      <c r="RW115" s="424"/>
      <c r="RX115" s="424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Z115" s="1373"/>
      <c r="TA115" s="1373"/>
      <c r="TB115" s="1380">
        <v>0</v>
      </c>
      <c r="TC115" s="1373">
        <v>2605590.9400559999</v>
      </c>
      <c r="TD115" s="424"/>
      <c r="TE115" s="424"/>
      <c r="TF115" s="424"/>
      <c r="TG115" s="424"/>
      <c r="TH115" s="424"/>
      <c r="TI115" s="424"/>
      <c r="TJ115" s="424"/>
      <c r="TK115" s="424"/>
      <c r="TL115" s="424"/>
      <c r="TM115" s="424"/>
      <c r="TN115" s="424"/>
      <c r="TO115" s="424"/>
      <c r="TP115" s="424"/>
      <c r="TQ115" s="424"/>
      <c r="TR115" s="424"/>
      <c r="TS115" s="424"/>
      <c r="TT115" s="424"/>
      <c r="TU115" s="424"/>
      <c r="TV115" s="424"/>
      <c r="TW115" s="424"/>
    </row>
    <row r="116" spans="2:543" x14ac:dyDescent="0.25">
      <c r="B116" s="99"/>
      <c r="C116" s="1388"/>
      <c r="D116" s="1387"/>
      <c r="E116" s="1174"/>
      <c r="F116" s="880"/>
      <c r="G116" s="641"/>
      <c r="H116" s="880"/>
      <c r="I116" s="619"/>
      <c r="J116" s="619"/>
      <c r="K116" s="619"/>
      <c r="L116" s="619"/>
      <c r="M116" s="619"/>
      <c r="N116" s="619"/>
      <c r="T116" s="679"/>
      <c r="U116" s="1417"/>
      <c r="V116" s="63"/>
      <c r="W116" s="42"/>
      <c r="X116" s="63"/>
      <c r="Y116" s="63"/>
      <c r="Z116" s="63"/>
      <c r="AA116" s="63"/>
      <c r="AB116" s="63"/>
      <c r="AC116" s="63"/>
      <c r="AD116" s="63"/>
      <c r="AE116" s="63"/>
      <c r="AF116" s="63"/>
      <c r="AG116" s="1437"/>
      <c r="AH116" s="1437"/>
      <c r="AI116" s="1437"/>
      <c r="AJ116" s="1437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V116"/>
      <c r="BW116"/>
      <c r="BX116"/>
      <c r="BY116"/>
      <c r="BZ116"/>
      <c r="CA116"/>
      <c r="CB116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IS116"/>
      <c r="IT116"/>
      <c r="IU116"/>
      <c r="IV116"/>
      <c r="IW116"/>
      <c r="IX116"/>
      <c r="IY116"/>
      <c r="IZ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NP116" s="88"/>
      <c r="OW116"/>
      <c r="OX116"/>
      <c r="OY116"/>
      <c r="OZ116" s="1454"/>
      <c r="PA116" s="1454"/>
      <c r="PB116" s="1464"/>
      <c r="PC116" s="1464"/>
      <c r="PD116" s="1464"/>
      <c r="PE116" s="1464"/>
      <c r="PF116" s="1464"/>
      <c r="PG116" s="1464"/>
      <c r="PH116" s="1464"/>
      <c r="PI116" s="1464"/>
      <c r="PJ116" s="1464"/>
      <c r="PK116" s="1464"/>
      <c r="PL116" s="1464"/>
      <c r="PM116"/>
      <c r="PN116"/>
      <c r="PO116"/>
      <c r="PP116"/>
      <c r="QJ116" s="424"/>
      <c r="QK116" s="424"/>
      <c r="QL116" s="424"/>
      <c r="QM116" s="424"/>
      <c r="QN116" s="424"/>
      <c r="QO116" s="424"/>
      <c r="QP116" s="424"/>
      <c r="QQ116" s="424"/>
      <c r="QR116" s="424"/>
      <c r="QS116" s="424"/>
      <c r="QT116" s="424"/>
      <c r="QU116" s="424"/>
      <c r="QV116" s="424"/>
      <c r="QW116" s="424"/>
      <c r="QX116" s="424"/>
      <c r="QY116" s="424"/>
      <c r="QZ116" s="424"/>
      <c r="RA116" s="424"/>
      <c r="RT116" s="424"/>
      <c r="RU116" s="424"/>
      <c r="RV116" s="424"/>
      <c r="RW116" s="424"/>
      <c r="RX116" s="424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Z116" s="1373"/>
      <c r="TA116" s="1373"/>
      <c r="TB116" s="1380">
        <v>2786.3999999999996</v>
      </c>
      <c r="TC116" s="1373">
        <v>10041.06</v>
      </c>
      <c r="TD116" s="424"/>
      <c r="TE116" s="424"/>
      <c r="TF116" s="424"/>
      <c r="TG116" s="424"/>
      <c r="TH116" s="424"/>
      <c r="TI116" s="424"/>
      <c r="TJ116" s="424"/>
      <c r="TK116" s="424"/>
      <c r="TL116" s="424"/>
      <c r="TM116" s="424"/>
      <c r="TN116" s="424"/>
      <c r="TO116" s="424"/>
      <c r="TP116" s="424"/>
      <c r="TQ116" s="424"/>
      <c r="TR116" s="424"/>
      <c r="TS116" s="424"/>
      <c r="TT116" s="424"/>
      <c r="TU116" s="424"/>
      <c r="TV116" s="424"/>
      <c r="TW116" s="424"/>
    </row>
    <row r="117" spans="2:543" x14ac:dyDescent="0.25">
      <c r="B117" s="1391"/>
      <c r="C117" s="547"/>
      <c r="D117" s="619"/>
      <c r="E117" s="1196"/>
      <c r="F117" s="619"/>
      <c r="G117" s="619"/>
      <c r="H117" s="619"/>
      <c r="I117" s="619"/>
      <c r="J117" s="619"/>
      <c r="K117" s="619"/>
      <c r="L117" s="619"/>
      <c r="M117" s="619"/>
      <c r="N117" s="619"/>
      <c r="T117" s="679"/>
      <c r="U117" s="1417"/>
      <c r="V117" s="63"/>
      <c r="W117" s="42"/>
      <c r="X117" s="63"/>
      <c r="Y117" s="63"/>
      <c r="Z117" s="63"/>
      <c r="AA117" s="63"/>
      <c r="AB117" s="63"/>
      <c r="AC117" s="63"/>
      <c r="AD117" s="63"/>
      <c r="AE117" s="63"/>
      <c r="AF117" s="63"/>
      <c r="AG117" s="1437"/>
      <c r="AH117" s="1437"/>
      <c r="AI117" s="1437"/>
      <c r="AJ117" s="1437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V117"/>
      <c r="BW117"/>
      <c r="BX117"/>
      <c r="BY117"/>
      <c r="BZ117"/>
      <c r="CA117"/>
      <c r="CB117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IS117"/>
      <c r="IT117"/>
      <c r="IU117"/>
      <c r="IV117"/>
      <c r="IW117"/>
      <c r="IX117"/>
      <c r="IY117"/>
      <c r="IZ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NP117" s="88"/>
      <c r="OW117"/>
      <c r="OX117"/>
      <c r="OY117"/>
      <c r="OZ117" s="1449"/>
      <c r="PA117" s="1463"/>
      <c r="PB117" s="63"/>
      <c r="PC117" s="624"/>
      <c r="PD117" s="63"/>
      <c r="PE117" s="63"/>
      <c r="PF117" s="1451"/>
      <c r="PG117" s="63"/>
      <c r="PH117" s="1451"/>
      <c r="PI117" s="63"/>
      <c r="PJ117" s="1442"/>
      <c r="PK117" s="63"/>
      <c r="PL117" s="1442"/>
      <c r="PM117"/>
      <c r="PN117"/>
      <c r="PO117"/>
      <c r="PP117"/>
      <c r="QJ117" s="424"/>
      <c r="QK117" s="424"/>
      <c r="QL117" s="424"/>
      <c r="QM117" s="424"/>
      <c r="QN117" s="424"/>
      <c r="QO117" s="424"/>
      <c r="QP117" s="424"/>
      <c r="QQ117" s="424"/>
      <c r="QR117" s="424"/>
      <c r="QS117" s="424"/>
      <c r="QT117" s="424"/>
      <c r="QU117" s="424"/>
      <c r="QV117" s="424"/>
      <c r="QW117" s="424"/>
      <c r="QX117" s="424"/>
      <c r="QY117" s="424"/>
      <c r="QZ117" s="424"/>
      <c r="RA117" s="424"/>
      <c r="RT117" s="424"/>
      <c r="RU117" s="424"/>
      <c r="RV117" s="424"/>
      <c r="RW117" s="424"/>
      <c r="RX117" s="424"/>
      <c r="RY117" s="424"/>
      <c r="RZ117" s="424"/>
      <c r="SA117" s="424"/>
      <c r="SB117" s="424"/>
      <c r="SC117" s="424"/>
      <c r="SD117" s="424"/>
      <c r="SE117" s="424"/>
      <c r="SF117" s="424"/>
      <c r="SG117" s="424"/>
      <c r="SH117" s="424"/>
      <c r="SI117" s="424"/>
      <c r="SJ117" s="424"/>
      <c r="SK117" s="424"/>
      <c r="SZ117" s="1372"/>
      <c r="TA117" s="1372"/>
      <c r="TB117" s="1379">
        <v>2288608.3824759992</v>
      </c>
      <c r="TC117" s="1372">
        <v>8283744.0271300003</v>
      </c>
      <c r="TD117" s="424"/>
      <c r="TE117" s="424"/>
      <c r="TF117" s="424"/>
      <c r="TG117" s="424"/>
      <c r="TH117" s="424"/>
      <c r="TI117" s="424"/>
      <c r="TJ117" s="424"/>
    </row>
    <row r="118" spans="2:543" x14ac:dyDescent="0.25">
      <c r="B118" s="1391"/>
      <c r="C118" s="547"/>
      <c r="D118" s="619"/>
      <c r="E118" s="619"/>
      <c r="F118" s="619"/>
      <c r="G118" s="619"/>
      <c r="H118" s="619"/>
      <c r="I118" s="619"/>
      <c r="J118" s="619"/>
      <c r="K118" s="619"/>
      <c r="L118" s="619"/>
      <c r="M118" s="619"/>
      <c r="N118" s="619"/>
      <c r="T118" s="679"/>
      <c r="U118" s="1417"/>
      <c r="V118" s="63"/>
      <c r="W118" s="42"/>
      <c r="X118" s="20"/>
      <c r="Y118" s="20"/>
      <c r="Z118" s="20"/>
      <c r="AA118" s="20"/>
      <c r="AB118" s="20"/>
      <c r="AC118" s="20"/>
      <c r="AD118" s="20"/>
      <c r="AE118" s="20"/>
      <c r="AF118" s="20"/>
      <c r="AG118" s="1437"/>
      <c r="AH118" s="1437"/>
      <c r="AI118" s="1437"/>
      <c r="AJ118" s="1437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V118"/>
      <c r="BW118"/>
      <c r="BX118"/>
      <c r="BY118"/>
      <c r="BZ118"/>
      <c r="CA118"/>
      <c r="CB118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IS118"/>
      <c r="IT118"/>
      <c r="IU118"/>
      <c r="IV118"/>
      <c r="IW118"/>
      <c r="IX118"/>
      <c r="IY118"/>
      <c r="IZ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NP118" s="88"/>
      <c r="OW118"/>
      <c r="OX118"/>
      <c r="OY118"/>
      <c r="OZ118" s="1462"/>
      <c r="PA118" s="1461"/>
      <c r="PB118" s="1453"/>
      <c r="PC118" s="1453"/>
      <c r="PD118" s="1453"/>
      <c r="PE118" s="1453"/>
      <c r="PF118" s="1453"/>
      <c r="PG118" s="1453"/>
      <c r="PH118" s="1453"/>
      <c r="PI118" s="1453"/>
      <c r="PJ118" s="1453"/>
      <c r="PK118" s="1453"/>
      <c r="PL118" s="1452"/>
      <c r="PM118"/>
      <c r="PN118"/>
      <c r="PO118"/>
      <c r="PP118"/>
      <c r="QJ118" s="424"/>
      <c r="QK118" s="424"/>
      <c r="QL118" s="424"/>
      <c r="QM118" s="424"/>
      <c r="QN118" s="424"/>
      <c r="QO118" s="424"/>
      <c r="QP118" s="424"/>
      <c r="QQ118" s="424"/>
      <c r="QR118" s="424"/>
      <c r="QS118" s="424"/>
      <c r="QT118" s="424"/>
      <c r="QU118" s="424"/>
      <c r="QV118" s="424"/>
      <c r="QW118" s="424"/>
      <c r="QX118" s="424"/>
      <c r="QY118" s="424"/>
      <c r="QZ118" s="424"/>
      <c r="RA118" s="424"/>
      <c r="RT118" s="424"/>
      <c r="RU118" s="424"/>
      <c r="RV118" s="424"/>
      <c r="RW118" s="424"/>
      <c r="RX118" s="424"/>
      <c r="RY118" s="424"/>
      <c r="RZ118" s="424"/>
      <c r="SA118" s="424"/>
      <c r="SB118" s="424"/>
      <c r="SC118" s="424"/>
      <c r="SD118" s="424"/>
      <c r="SE118" s="424"/>
      <c r="SF118" s="424"/>
      <c r="SG118" s="424"/>
      <c r="SH118" s="424"/>
      <c r="SI118" s="424"/>
      <c r="SJ118" s="424"/>
      <c r="SK118" s="424"/>
      <c r="SZ118" s="1373"/>
      <c r="TA118" s="1373"/>
      <c r="TB118" s="1373">
        <v>7870769.2824759902</v>
      </c>
      <c r="TC118" s="1373">
        <v>33065701.427185986</v>
      </c>
      <c r="TD118" s="424"/>
      <c r="TE118" s="424"/>
      <c r="TF118" s="424"/>
      <c r="TG118" s="424"/>
      <c r="TH118" s="424"/>
      <c r="TI118" s="424"/>
      <c r="TJ118" s="424"/>
    </row>
    <row r="119" spans="2:543" x14ac:dyDescent="0.25">
      <c r="B119" s="1390"/>
      <c r="C119" s="515"/>
      <c r="D119" s="1196"/>
      <c r="E119" s="1196"/>
      <c r="F119" s="1196"/>
      <c r="G119" s="1196"/>
      <c r="H119" s="1196"/>
      <c r="I119" s="1196"/>
      <c r="J119" s="1196"/>
      <c r="K119" s="1196"/>
      <c r="L119" s="1196"/>
      <c r="M119" s="1196"/>
      <c r="N119" s="1196"/>
      <c r="T119" s="679"/>
      <c r="U119" s="1417"/>
      <c r="V119" s="63"/>
      <c r="W119" s="42"/>
      <c r="X119" s="20"/>
      <c r="Y119" s="20"/>
      <c r="Z119" s="20"/>
      <c r="AA119" s="20"/>
      <c r="AB119" s="20"/>
      <c r="AC119" s="20"/>
      <c r="AD119" s="20"/>
      <c r="AE119" s="20"/>
      <c r="AF119" s="20"/>
      <c r="AG119" s="1437"/>
      <c r="AH119" s="1437"/>
      <c r="AI119" s="1437"/>
      <c r="AJ119" s="1437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V119"/>
      <c r="BW119"/>
      <c r="BX119"/>
      <c r="BY119"/>
      <c r="BZ119"/>
      <c r="CA119"/>
      <c r="CB119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IS119"/>
      <c r="IT119"/>
      <c r="IU119"/>
      <c r="IV119"/>
      <c r="IW119"/>
      <c r="IX119"/>
      <c r="IY119"/>
      <c r="IZ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NP119" s="88"/>
      <c r="OW119"/>
      <c r="OX119"/>
      <c r="OY119"/>
      <c r="OZ119" s="689"/>
      <c r="PA119" s="689"/>
      <c r="PB119" s="690"/>
      <c r="PC119" s="78"/>
      <c r="PD119" s="78"/>
      <c r="PE119" s="78"/>
      <c r="PF119" s="20"/>
      <c r="PG119" s="20"/>
      <c r="PH119" s="20"/>
      <c r="PI119" s="1456"/>
      <c r="PJ119" s="1456"/>
      <c r="PK119" s="1456"/>
      <c r="PL119" s="1456"/>
      <c r="PM119"/>
      <c r="PN119"/>
      <c r="PO119"/>
      <c r="PP119"/>
      <c r="QJ119" s="424"/>
      <c r="QK119" s="424"/>
      <c r="QL119" s="424"/>
      <c r="QM119" s="424"/>
      <c r="QN119" s="424"/>
      <c r="QO119" s="424"/>
      <c r="QP119" s="424"/>
      <c r="QQ119" s="424"/>
      <c r="QR119" s="424"/>
      <c r="QS119" s="424"/>
      <c r="QT119" s="424"/>
      <c r="QU119" s="424"/>
      <c r="QV119" s="424"/>
      <c r="QW119" s="424"/>
      <c r="QX119" s="424"/>
      <c r="QY119" s="424"/>
      <c r="QZ119" s="424"/>
      <c r="RA119" s="424"/>
      <c r="RT119" s="424"/>
      <c r="RU119" s="424"/>
      <c r="RV119" s="424"/>
      <c r="RW119" s="424"/>
      <c r="RX119" s="424"/>
      <c r="RY119" s="424"/>
      <c r="RZ119" s="424"/>
      <c r="SA119" s="424"/>
      <c r="SB119" s="424"/>
      <c r="SC119" s="424"/>
      <c r="SD119" s="424"/>
      <c r="SE119" s="424"/>
      <c r="SF119" s="424"/>
      <c r="SG119" s="424"/>
      <c r="SH119" s="424"/>
      <c r="SI119" s="424"/>
      <c r="SJ119" s="424"/>
      <c r="SK119" s="424"/>
      <c r="SZ119" s="1373"/>
      <c r="TA119" s="1373"/>
      <c r="TB119" s="1373"/>
      <c r="TC119" s="1373"/>
      <c r="TD119" s="424"/>
      <c r="TE119" s="424"/>
      <c r="TF119" s="424"/>
      <c r="TG119" s="424"/>
      <c r="TH119" s="424"/>
      <c r="TI119" s="424"/>
      <c r="TJ119" s="424"/>
    </row>
    <row r="120" spans="2:543" x14ac:dyDescent="0.25">
      <c r="B120" s="20"/>
      <c r="C120" s="547"/>
      <c r="D120" s="800"/>
      <c r="E120" s="800"/>
      <c r="F120" s="800"/>
      <c r="G120" s="800"/>
      <c r="H120" s="63"/>
      <c r="I120" s="800"/>
      <c r="J120" s="800"/>
      <c r="K120" s="800"/>
      <c r="L120" s="800"/>
      <c r="M120" s="800"/>
      <c r="N120" s="800"/>
      <c r="T120" s="679"/>
      <c r="U120" s="1415"/>
      <c r="V120" s="63"/>
      <c r="W120" s="42"/>
      <c r="X120" s="63"/>
      <c r="Y120" s="63"/>
      <c r="Z120" s="63"/>
      <c r="AA120" s="63"/>
      <c r="AB120" s="63"/>
      <c r="AC120" s="63"/>
      <c r="AD120" s="63"/>
      <c r="AE120" s="63"/>
      <c r="AF120" s="63"/>
      <c r="AG120" s="1460"/>
      <c r="AH120" s="1460"/>
      <c r="AI120" s="1460"/>
      <c r="AJ120" s="1460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V120"/>
      <c r="BW120"/>
      <c r="BX120"/>
      <c r="BY120"/>
      <c r="BZ120"/>
      <c r="CA120"/>
      <c r="CB1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IS120"/>
      <c r="IT120"/>
      <c r="IU120"/>
      <c r="IV120"/>
      <c r="IW120"/>
      <c r="IX120"/>
      <c r="IY120"/>
      <c r="IZ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NP120" s="88"/>
      <c r="OW120"/>
      <c r="OX120"/>
      <c r="OY120"/>
      <c r="OZ120" s="1207"/>
      <c r="PA120" s="711"/>
      <c r="PB120" s="78"/>
      <c r="PC120" s="78"/>
      <c r="PD120" s="78"/>
      <c r="PE120" s="78"/>
      <c r="PF120" s="20"/>
      <c r="PG120" s="20"/>
      <c r="PH120" s="20"/>
      <c r="PI120" s="1456"/>
      <c r="PJ120" s="1456"/>
      <c r="PK120" s="1456"/>
      <c r="PL120" s="1456"/>
      <c r="PM120"/>
      <c r="PN120"/>
      <c r="PO120"/>
      <c r="PP120"/>
      <c r="QJ120" s="424"/>
      <c r="QK120" s="424"/>
      <c r="QL120" s="424"/>
      <c r="QM120" s="424"/>
      <c r="QN120" s="424"/>
      <c r="QO120" s="424"/>
      <c r="QP120" s="424"/>
      <c r="QQ120" s="424"/>
      <c r="QR120" s="424"/>
      <c r="QS120" s="424"/>
      <c r="QT120" s="424"/>
      <c r="QU120" s="424"/>
      <c r="QV120" s="424"/>
      <c r="QW120" s="424"/>
      <c r="QX120" s="424"/>
      <c r="QY120" s="424"/>
      <c r="QZ120" s="424"/>
      <c r="RA120" s="424"/>
      <c r="RT120" s="424"/>
      <c r="RU120" s="424"/>
      <c r="RV120" s="424"/>
      <c r="RW120" s="424"/>
      <c r="RX120" s="424"/>
      <c r="RY120" s="424"/>
      <c r="RZ120" s="424"/>
      <c r="SA120" s="424"/>
      <c r="SB120" s="424"/>
      <c r="SC120" s="424"/>
      <c r="SD120" s="424"/>
      <c r="SE120" s="424"/>
      <c r="SF120" s="424"/>
      <c r="SG120" s="424"/>
      <c r="SH120" s="424"/>
      <c r="SI120" s="424"/>
      <c r="SJ120" s="424"/>
      <c r="SK120" s="424"/>
      <c r="SZ120" s="1373"/>
      <c r="TA120" s="1373"/>
      <c r="TB120" s="1373">
        <v>7870769.2824759902</v>
      </c>
      <c r="TC120" s="1373">
        <v>33065701.427185986</v>
      </c>
      <c r="TD120" s="424"/>
      <c r="TE120" s="424"/>
      <c r="TF120" s="424"/>
      <c r="TG120" s="424"/>
      <c r="TH120" s="424"/>
      <c r="TI120" s="424"/>
      <c r="TJ120" s="424"/>
    </row>
    <row r="121" spans="2:543" x14ac:dyDescent="0.25">
      <c r="B121" s="1384"/>
      <c r="C121" s="20"/>
      <c r="D121" s="619"/>
      <c r="E121" s="619"/>
      <c r="F121" s="619"/>
      <c r="G121" s="619"/>
      <c r="H121" s="619"/>
      <c r="I121" s="619"/>
      <c r="J121" s="619"/>
      <c r="K121" s="619"/>
      <c r="L121" s="619"/>
      <c r="M121" s="619"/>
      <c r="N121" s="619"/>
      <c r="T121" s="679"/>
      <c r="U121" s="1417"/>
      <c r="V121" s="63"/>
      <c r="W121" s="42"/>
      <c r="X121" s="63"/>
      <c r="Y121" s="63"/>
      <c r="Z121" s="63"/>
      <c r="AA121" s="63"/>
      <c r="AB121" s="63"/>
      <c r="AC121" s="63"/>
      <c r="AD121" s="63"/>
      <c r="AE121" s="63"/>
      <c r="AF121" s="63"/>
      <c r="AG121" s="1459"/>
      <c r="AH121" s="1459"/>
      <c r="AI121" s="1459"/>
      <c r="AJ121" s="1459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V121"/>
      <c r="BW121"/>
      <c r="BX121"/>
      <c r="BY121"/>
      <c r="BZ121"/>
      <c r="CA121"/>
      <c r="CB121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IS121"/>
      <c r="IT121"/>
      <c r="IU121"/>
      <c r="IV121"/>
      <c r="IW121"/>
      <c r="IX121"/>
      <c r="IY121"/>
      <c r="IZ121"/>
      <c r="NP121" s="88"/>
      <c r="OW121"/>
      <c r="OX121"/>
      <c r="OY121"/>
      <c r="OZ121" s="1207"/>
      <c r="PA121" s="711"/>
      <c r="PB121" s="78"/>
      <c r="PC121" s="78"/>
      <c r="PD121" s="78"/>
      <c r="PE121" s="78"/>
      <c r="PF121" s="20"/>
      <c r="PG121" s="20"/>
      <c r="PH121" s="20"/>
      <c r="PI121" s="1456"/>
      <c r="PJ121" s="1456"/>
      <c r="PK121" s="1456"/>
      <c r="PL121" s="1456"/>
      <c r="PM121"/>
      <c r="PN121"/>
      <c r="PO121"/>
      <c r="PP121"/>
      <c r="QJ121" s="424"/>
      <c r="QK121" s="424"/>
      <c r="QL121" s="424"/>
      <c r="QM121" s="424"/>
      <c r="QN121" s="424"/>
      <c r="QO121" s="424"/>
      <c r="QP121" s="424"/>
      <c r="QQ121" s="424"/>
      <c r="QR121" s="424"/>
      <c r="QS121" s="424"/>
      <c r="QT121" s="424"/>
      <c r="QU121" s="424"/>
      <c r="QV121" s="424"/>
      <c r="QW121" s="424"/>
      <c r="QX121" s="424"/>
      <c r="QY121" s="424"/>
      <c r="QZ121" s="424"/>
      <c r="RA121" s="424"/>
      <c r="RT121" s="424"/>
      <c r="RU121" s="424"/>
      <c r="RV121" s="424"/>
      <c r="RW121" s="424"/>
      <c r="RX121" s="424"/>
      <c r="RY121" s="424"/>
      <c r="RZ121" s="424"/>
      <c r="SA121" s="424"/>
      <c r="SB121" s="424"/>
      <c r="SC121" s="424"/>
      <c r="SD121" s="424"/>
      <c r="SE121" s="424"/>
      <c r="SF121" s="424"/>
      <c r="SG121" s="424"/>
      <c r="SH121" s="424"/>
      <c r="SI121" s="424"/>
      <c r="SJ121" s="424"/>
      <c r="SK121" s="424"/>
      <c r="SZ121" s="1378"/>
      <c r="TA121" s="1378"/>
      <c r="TB121" s="1378"/>
      <c r="TC121" s="1378"/>
      <c r="TD121" s="424"/>
      <c r="TE121" s="424"/>
      <c r="TF121" s="424"/>
      <c r="TG121" s="424"/>
      <c r="TH121" s="424"/>
      <c r="TI121" s="424"/>
      <c r="TJ121" s="424"/>
    </row>
    <row r="122" spans="2:543" x14ac:dyDescent="0.25">
      <c r="B122" s="1390"/>
      <c r="C122" s="20"/>
      <c r="D122" s="619"/>
      <c r="E122" s="619"/>
      <c r="F122" s="619"/>
      <c r="G122" s="619"/>
      <c r="H122" s="619"/>
      <c r="I122" s="619"/>
      <c r="J122" s="619"/>
      <c r="K122" s="619"/>
      <c r="L122" s="619"/>
      <c r="M122" s="619"/>
      <c r="N122" s="619"/>
      <c r="T122" s="679"/>
      <c r="U122" s="1417"/>
      <c r="V122" s="63"/>
      <c r="W122" s="42"/>
      <c r="X122" s="63"/>
      <c r="Y122" s="63"/>
      <c r="Z122" s="63"/>
      <c r="AA122" s="63"/>
      <c r="AB122" s="63"/>
      <c r="AC122" s="63"/>
      <c r="AD122" s="63"/>
      <c r="AE122" s="63"/>
      <c r="AF122" s="63"/>
      <c r="AG122" s="1437"/>
      <c r="AH122" s="1437"/>
      <c r="AI122" s="1437"/>
      <c r="AJ122" s="1437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V122"/>
      <c r="BW122"/>
      <c r="BX122"/>
      <c r="BY122"/>
      <c r="BZ122"/>
      <c r="CA122"/>
      <c r="CB122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IS122"/>
      <c r="IT122"/>
      <c r="IU122"/>
      <c r="IV122"/>
      <c r="IW122"/>
      <c r="IX122"/>
      <c r="IY122"/>
      <c r="IZ122"/>
      <c r="NP122" s="88"/>
      <c r="OW122"/>
      <c r="OX122"/>
      <c r="OY122"/>
      <c r="OZ122" s="1207"/>
      <c r="PA122" s="711"/>
      <c r="PB122" s="78"/>
      <c r="PC122" s="78"/>
      <c r="PD122" s="78"/>
      <c r="PE122" s="78"/>
      <c r="PF122" s="20"/>
      <c r="PG122" s="20"/>
      <c r="PH122" s="20"/>
      <c r="PI122" s="1456"/>
      <c r="PJ122" s="1456"/>
      <c r="PK122" s="1456"/>
      <c r="PL122" s="1456"/>
      <c r="PM122"/>
      <c r="PN122"/>
      <c r="PO122"/>
      <c r="PP122"/>
      <c r="QJ122" s="424"/>
      <c r="QK122" s="424"/>
      <c r="QL122" s="424"/>
      <c r="QM122" s="424"/>
      <c r="QN122" s="424"/>
      <c r="QO122" s="424"/>
      <c r="QP122" s="424"/>
      <c r="QQ122" s="424"/>
      <c r="QR122" s="424"/>
      <c r="QS122" s="424"/>
      <c r="QT122" s="424"/>
      <c r="QU122" s="424"/>
      <c r="QV122" s="424"/>
      <c r="QW122" s="424"/>
      <c r="QX122" s="424"/>
      <c r="QY122" s="424"/>
      <c r="QZ122" s="424"/>
      <c r="RA122" s="424"/>
      <c r="RT122" s="424"/>
      <c r="RU122" s="424"/>
      <c r="RV122" s="424"/>
      <c r="RW122" s="424"/>
      <c r="RX122" s="424"/>
      <c r="RY122" s="424"/>
      <c r="RZ122" s="424"/>
      <c r="SA122" s="424"/>
      <c r="SB122" s="424"/>
      <c r="SC122" s="424"/>
      <c r="SD122" s="424"/>
      <c r="SE122" s="424"/>
      <c r="SF122" s="424"/>
      <c r="SG122" s="424"/>
      <c r="SH122" s="424"/>
      <c r="SI122" s="424"/>
      <c r="SJ122" s="424"/>
      <c r="SK122" s="424"/>
      <c r="SZ122" s="1372"/>
      <c r="TA122" s="1372"/>
      <c r="TB122" s="1372">
        <v>-1652861.5493199578</v>
      </c>
      <c r="TC122" s="1372">
        <v>-6943797.2997090565</v>
      </c>
      <c r="TD122" s="424"/>
      <c r="TE122" s="424"/>
      <c r="TF122" s="424"/>
      <c r="TG122" s="424"/>
      <c r="TH122" s="424"/>
      <c r="TI122" s="424"/>
      <c r="TJ122" s="424"/>
    </row>
    <row r="123" spans="2:543" x14ac:dyDescent="0.25">
      <c r="B123" s="1217"/>
      <c r="C123" s="1388"/>
      <c r="D123" s="1387"/>
      <c r="E123" s="1389"/>
      <c r="F123" s="560"/>
      <c r="G123" s="619"/>
      <c r="H123" s="560"/>
      <c r="I123" s="619"/>
      <c r="J123" s="619"/>
      <c r="K123" s="619"/>
      <c r="L123" s="619"/>
      <c r="M123" s="619"/>
      <c r="N123" s="619"/>
      <c r="T123" s="679"/>
      <c r="U123" s="1417"/>
      <c r="V123" s="63"/>
      <c r="W123" s="42"/>
      <c r="X123" s="20"/>
      <c r="Y123" s="20"/>
      <c r="Z123" s="20"/>
      <c r="AA123" s="20"/>
      <c r="AB123" s="20"/>
      <c r="AC123" s="20"/>
      <c r="AD123" s="20"/>
      <c r="AE123" s="20"/>
      <c r="AF123" s="20"/>
      <c r="AG123" s="1458"/>
      <c r="AH123" s="1458"/>
      <c r="AI123" s="1458"/>
      <c r="AJ123" s="145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V123"/>
      <c r="BW123"/>
      <c r="BX123"/>
      <c r="BY123"/>
      <c r="BZ123"/>
      <c r="CA123"/>
      <c r="CB123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IS123"/>
      <c r="IT123"/>
      <c r="IU123"/>
      <c r="IV123"/>
      <c r="IW123"/>
      <c r="IX123"/>
      <c r="IY123"/>
      <c r="IZ123"/>
      <c r="NP123" s="88"/>
      <c r="OW123"/>
      <c r="OX123"/>
      <c r="OY123"/>
      <c r="OZ123" s="690"/>
      <c r="PA123" s="1457"/>
      <c r="PB123" s="78"/>
      <c r="PC123" s="78"/>
      <c r="PD123" s="78"/>
      <c r="PE123" s="78"/>
      <c r="PF123" s="20"/>
      <c r="PG123" s="20"/>
      <c r="PH123" s="20"/>
      <c r="PI123" s="1456"/>
      <c r="PJ123" s="1456"/>
      <c r="PK123" s="1456"/>
      <c r="PL123" s="1456"/>
      <c r="PM123"/>
      <c r="PN123"/>
      <c r="PO123"/>
      <c r="PP123"/>
      <c r="QJ123" s="424"/>
      <c r="QK123" s="424"/>
      <c r="QL123" s="424"/>
      <c r="QM123" s="424"/>
      <c r="QN123" s="424"/>
      <c r="QO123" s="424"/>
      <c r="QP123" s="424"/>
      <c r="QQ123" s="424"/>
      <c r="QR123" s="424"/>
      <c r="QS123" s="424"/>
      <c r="QT123" s="424"/>
      <c r="QU123" s="424"/>
      <c r="QV123" s="424"/>
      <c r="QW123" s="424"/>
      <c r="QX123" s="424"/>
      <c r="QY123" s="424"/>
      <c r="QZ123" s="424"/>
      <c r="RA123" s="424"/>
      <c r="RT123" s="424"/>
      <c r="RU123" s="424"/>
      <c r="RV123" s="424"/>
      <c r="RW123" s="424"/>
      <c r="RX123" s="424"/>
      <c r="RY123" s="424"/>
      <c r="RZ123" s="424"/>
      <c r="SA123" s="424"/>
      <c r="SB123" s="424"/>
      <c r="SC123" s="424"/>
      <c r="SD123" s="424"/>
      <c r="SE123" s="424"/>
      <c r="SF123" s="424"/>
      <c r="SG123" s="424"/>
      <c r="SH123" s="424"/>
      <c r="SI123" s="424"/>
      <c r="SJ123" s="424"/>
      <c r="SK123" s="424"/>
      <c r="SZ123" s="1377"/>
      <c r="TA123" s="1377"/>
      <c r="TB123" s="1377"/>
      <c r="TC123" s="1377"/>
      <c r="TD123" s="424"/>
      <c r="TE123" s="424"/>
      <c r="TF123" s="424"/>
      <c r="TG123" s="424"/>
      <c r="TH123" s="424"/>
      <c r="TI123" s="424"/>
      <c r="TJ123" s="424"/>
    </row>
    <row r="124" spans="2:543" ht="15.75" thickBot="1" x14ac:dyDescent="0.3">
      <c r="B124" s="1217"/>
      <c r="C124" s="1388"/>
      <c r="D124" s="1387"/>
      <c r="E124" s="1386"/>
      <c r="F124" s="560"/>
      <c r="G124" s="800"/>
      <c r="H124" s="560"/>
      <c r="I124" s="800"/>
      <c r="J124" s="800"/>
      <c r="K124" s="800"/>
      <c r="L124" s="800"/>
      <c r="M124" s="800"/>
      <c r="N124" s="800"/>
      <c r="T124" s="679"/>
      <c r="U124" s="1417"/>
      <c r="V124" s="63"/>
      <c r="W124" s="42"/>
      <c r="X124" s="20"/>
      <c r="Y124" s="20"/>
      <c r="Z124" s="20"/>
      <c r="AA124" s="20"/>
      <c r="AB124" s="20"/>
      <c r="AC124" s="20"/>
      <c r="AD124" s="20"/>
      <c r="AE124" s="20"/>
      <c r="AF124" s="20"/>
      <c r="AG124" s="1445"/>
      <c r="AH124" s="1445"/>
      <c r="AI124" s="1445"/>
      <c r="AJ124" s="1445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V124"/>
      <c r="BW124"/>
      <c r="BX124"/>
      <c r="BY124"/>
      <c r="BZ124"/>
      <c r="CA124"/>
      <c r="CB124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IS124"/>
      <c r="IT124"/>
      <c r="IU124"/>
      <c r="IV124"/>
      <c r="IW124"/>
      <c r="IX124"/>
      <c r="IY124"/>
      <c r="IZ124"/>
      <c r="NP124" s="88"/>
      <c r="OW124"/>
      <c r="OX124"/>
      <c r="OY124"/>
      <c r="OZ124" s="20"/>
      <c r="PA124" s="20"/>
      <c r="PB124" s="20"/>
      <c r="PC124" s="20"/>
      <c r="PD124" s="20"/>
      <c r="PE124" s="20"/>
      <c r="PF124" s="20"/>
      <c r="PG124" s="20"/>
      <c r="PH124" s="20"/>
      <c r="PI124" s="1456"/>
      <c r="PJ124" s="1456"/>
      <c r="PK124" s="1456"/>
      <c r="PL124" s="1456"/>
      <c r="PM124"/>
      <c r="PN124"/>
      <c r="PO124"/>
      <c r="PP124"/>
      <c r="QJ124" s="424"/>
      <c r="QK124" s="424"/>
      <c r="QL124" s="424"/>
      <c r="QM124" s="424"/>
      <c r="QN124" s="424"/>
      <c r="QO124" s="424"/>
      <c r="QP124" s="424"/>
      <c r="QQ124" s="424"/>
      <c r="QR124" s="424"/>
      <c r="QS124" s="424"/>
      <c r="QT124" s="424"/>
      <c r="QU124" s="424"/>
      <c r="QV124" s="424"/>
      <c r="QW124" s="424"/>
      <c r="QX124" s="424"/>
      <c r="QY124" s="424"/>
      <c r="QZ124" s="424"/>
      <c r="RA124" s="424"/>
      <c r="RT124" s="424"/>
      <c r="RU124" s="424"/>
      <c r="RV124" s="424"/>
      <c r="RW124" s="424"/>
      <c r="RX124" s="424"/>
      <c r="RY124" s="424"/>
      <c r="RZ124" s="424"/>
      <c r="SA124" s="424"/>
      <c r="SB124" s="424"/>
      <c r="SC124" s="424"/>
      <c r="SD124" s="424"/>
      <c r="SE124" s="424"/>
      <c r="SF124" s="424"/>
      <c r="SG124" s="424"/>
      <c r="SH124" s="424"/>
      <c r="SI124" s="424"/>
      <c r="SJ124" s="424"/>
      <c r="SK124" s="424"/>
      <c r="SZ124" s="1376"/>
      <c r="TA124" s="1376"/>
      <c r="TB124" s="1376">
        <v>-6217907.7331560329</v>
      </c>
      <c r="TC124" s="1376">
        <v>-26121904.127476931</v>
      </c>
      <c r="TD124" s="424"/>
      <c r="TE124" s="424"/>
      <c r="TF124" s="424"/>
      <c r="TG124" s="424"/>
      <c r="TH124" s="424"/>
      <c r="TI124" s="424"/>
      <c r="TJ124" s="424"/>
    </row>
    <row r="125" spans="2:543" ht="16.5" thickTop="1" thickBot="1" x14ac:dyDescent="0.3">
      <c r="B125" s="1384"/>
      <c r="C125" s="1172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T125" s="679"/>
      <c r="U125" s="1415"/>
      <c r="V125" s="63"/>
      <c r="W125" s="42"/>
      <c r="X125" s="63"/>
      <c r="Y125" s="63"/>
      <c r="Z125" s="63"/>
      <c r="AA125" s="63"/>
      <c r="AB125" s="63"/>
      <c r="AC125" s="63"/>
      <c r="AD125" s="63"/>
      <c r="AE125" s="63"/>
      <c r="AF125" s="63"/>
      <c r="AG125" s="1455"/>
      <c r="AH125" s="1455"/>
      <c r="AI125" s="1455"/>
      <c r="AJ125" s="1455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V125"/>
      <c r="BW125"/>
      <c r="BX125"/>
      <c r="BY125"/>
      <c r="BZ125"/>
      <c r="CA125"/>
      <c r="CB125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IS125"/>
      <c r="IT125"/>
      <c r="IU125"/>
      <c r="IV125"/>
      <c r="IW125"/>
      <c r="IX125"/>
      <c r="IY125"/>
      <c r="IZ125"/>
      <c r="NP125" s="88"/>
      <c r="OW125"/>
      <c r="OX125"/>
      <c r="OY125"/>
      <c r="OZ125" s="1454"/>
      <c r="PA125" s="1449"/>
      <c r="PB125" s="1453"/>
      <c r="PC125" s="1453"/>
      <c r="PD125" s="1453"/>
      <c r="PE125" s="1453"/>
      <c r="PF125" s="1453"/>
      <c r="PG125" s="1453"/>
      <c r="PH125" s="1453"/>
      <c r="PI125" s="1453"/>
      <c r="PJ125" s="1453"/>
      <c r="PK125" s="1453"/>
      <c r="PL125" s="1452"/>
      <c r="PM125"/>
      <c r="PN125"/>
      <c r="PO125"/>
      <c r="PP125"/>
      <c r="QJ125" s="424"/>
      <c r="QK125" s="424"/>
      <c r="QL125" s="424"/>
      <c r="QM125" s="424"/>
      <c r="QN125" s="424"/>
      <c r="QO125" s="424"/>
      <c r="QP125" s="424"/>
      <c r="QQ125" s="424"/>
      <c r="QR125" s="424"/>
      <c r="QS125" s="424"/>
      <c r="QT125" s="424"/>
      <c r="QU125" s="424"/>
      <c r="QV125" s="424"/>
      <c r="QW125" s="424"/>
      <c r="QX125" s="424"/>
      <c r="QY125" s="424"/>
      <c r="QZ125" s="424"/>
      <c r="RA125" s="424"/>
      <c r="RT125" s="424"/>
      <c r="RU125" s="424"/>
      <c r="RV125" s="424"/>
      <c r="RW125" s="424"/>
      <c r="RX125" s="424"/>
      <c r="RY125" s="424"/>
      <c r="RZ125" s="424"/>
      <c r="SA125" s="424"/>
      <c r="SB125" s="424"/>
      <c r="SC125" s="424"/>
      <c r="SD125" s="424"/>
      <c r="SE125" s="424"/>
      <c r="SF125" s="424"/>
      <c r="SG125" s="424"/>
      <c r="SH125" s="424"/>
      <c r="SI125" s="424"/>
      <c r="SJ125" s="424"/>
      <c r="SK125" s="424"/>
      <c r="SZ125" s="1375"/>
      <c r="TA125" s="1375"/>
      <c r="TB125" s="1375"/>
      <c r="TC125" s="1375"/>
      <c r="TD125" s="424"/>
      <c r="TE125" s="424"/>
      <c r="TF125" s="424"/>
      <c r="TG125" s="424"/>
      <c r="TH125" s="424"/>
      <c r="TI125" s="424"/>
      <c r="TJ125" s="424"/>
    </row>
    <row r="126" spans="2:543" ht="15.75" thickTop="1" x14ac:dyDescent="0.25">
      <c r="B126" s="1385"/>
      <c r="C126" s="547"/>
      <c r="D126" s="63"/>
      <c r="E126" s="63"/>
      <c r="F126" s="63"/>
      <c r="G126" s="63"/>
      <c r="H126" s="800"/>
      <c r="I126" s="63"/>
      <c r="J126" s="63"/>
      <c r="K126" s="63"/>
      <c r="L126" s="63"/>
      <c r="M126" s="63"/>
      <c r="N126" s="63"/>
      <c r="T126" s="1183"/>
      <c r="U126" s="1183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1437"/>
      <c r="AH126" s="1437"/>
      <c r="AI126" s="1437"/>
      <c r="AJ126" s="1437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V126"/>
      <c r="BW126"/>
      <c r="BX126"/>
      <c r="BY126"/>
      <c r="BZ126"/>
      <c r="CA126"/>
      <c r="CB126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IS126"/>
      <c r="IT126"/>
      <c r="IU126"/>
      <c r="IV126"/>
      <c r="IW126"/>
      <c r="IX126"/>
      <c r="IY126"/>
      <c r="IZ126"/>
      <c r="NP126" s="88"/>
      <c r="OW126"/>
      <c r="OX126"/>
      <c r="OY126"/>
      <c r="OZ126" s="592"/>
      <c r="PA126" s="594"/>
      <c r="PB126" s="63"/>
      <c r="PC126" s="624"/>
      <c r="PD126" s="63"/>
      <c r="PE126" s="63"/>
      <c r="PF126" s="1451"/>
      <c r="PG126" s="63"/>
      <c r="PH126" s="1451"/>
      <c r="PI126" s="63"/>
      <c r="PJ126" s="1442"/>
      <c r="PK126" s="63"/>
      <c r="PL126" s="1442"/>
      <c r="PM126"/>
      <c r="PN126"/>
      <c r="PO126"/>
      <c r="PP126"/>
      <c r="QJ126" s="424"/>
      <c r="QK126" s="424"/>
      <c r="QL126" s="424"/>
      <c r="QM126" s="424"/>
      <c r="QN126" s="424"/>
      <c r="QO126" s="424"/>
      <c r="QP126" s="424"/>
      <c r="QQ126" s="424"/>
      <c r="QR126" s="424"/>
      <c r="QS126" s="424"/>
      <c r="QT126" s="424"/>
      <c r="QU126" s="424"/>
      <c r="QV126" s="424"/>
      <c r="QW126" s="424"/>
      <c r="QX126" s="424"/>
      <c r="QY126" s="424"/>
      <c r="QZ126" s="424"/>
      <c r="RA126" s="424"/>
      <c r="RT126" s="424"/>
      <c r="RU126" s="424"/>
      <c r="RV126" s="424"/>
      <c r="RW126" s="424"/>
      <c r="RX126" s="424"/>
      <c r="RY126" s="424"/>
      <c r="RZ126" s="424"/>
      <c r="SA126" s="424"/>
      <c r="SB126" s="424"/>
      <c r="SC126" s="424"/>
      <c r="SD126" s="424"/>
      <c r="SE126" s="424"/>
      <c r="SF126" s="424"/>
      <c r="SG126" s="424"/>
      <c r="SH126" s="424"/>
      <c r="SI126" s="424"/>
      <c r="SJ126" s="424"/>
      <c r="SK126" s="424"/>
      <c r="SZ126" s="1374"/>
      <c r="TA126" s="1374"/>
      <c r="TB126" s="1374">
        <v>173511166.51301789</v>
      </c>
      <c r="TC126" s="1374">
        <v>665059066.61902595</v>
      </c>
      <c r="TD126" s="424"/>
      <c r="TE126" s="424"/>
      <c r="TF126" s="424"/>
      <c r="TG126" s="424"/>
      <c r="TH126" s="424"/>
      <c r="TI126" s="424"/>
      <c r="TJ126" s="424"/>
    </row>
    <row r="127" spans="2:543" x14ac:dyDescent="0.25">
      <c r="B127" s="1384"/>
      <c r="C127" s="1175"/>
      <c r="D127" s="801"/>
      <c r="E127" s="801"/>
      <c r="F127" s="801"/>
      <c r="G127" s="801"/>
      <c r="H127" s="801"/>
      <c r="I127" s="801"/>
      <c r="J127" s="801"/>
      <c r="K127" s="801"/>
      <c r="L127" s="801"/>
      <c r="M127" s="801"/>
      <c r="N127" s="801"/>
      <c r="T127" s="20"/>
      <c r="U127" s="20"/>
      <c r="V127" s="1413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1450"/>
      <c r="AH127" s="1450"/>
      <c r="AI127" s="1450"/>
      <c r="AJ127" s="1450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V127"/>
      <c r="BW127"/>
      <c r="BX127"/>
      <c r="BY127"/>
      <c r="BZ127"/>
      <c r="CA127"/>
      <c r="CB127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IS127"/>
      <c r="IT127"/>
      <c r="IU127"/>
      <c r="IV127"/>
      <c r="IW127"/>
      <c r="IX127"/>
      <c r="IY127"/>
      <c r="IZ127"/>
      <c r="NP127" s="88"/>
      <c r="OW127"/>
      <c r="OX127"/>
      <c r="OY127"/>
      <c r="OZ127" s="1449"/>
      <c r="PA127" s="842"/>
      <c r="PB127" s="1438"/>
      <c r="PC127" s="1438"/>
      <c r="PD127" s="1438"/>
      <c r="PE127" s="1438"/>
      <c r="PF127" s="1438"/>
      <c r="PG127" s="1438"/>
      <c r="PH127" s="1438"/>
      <c r="PI127" s="1438"/>
      <c r="PJ127" s="1438"/>
      <c r="PK127" s="1438"/>
      <c r="PL127" s="1438"/>
      <c r="PM127"/>
      <c r="PN127"/>
      <c r="PO127"/>
      <c r="PP127"/>
      <c r="QJ127" s="424"/>
      <c r="QK127" s="424"/>
      <c r="QL127" s="424"/>
      <c r="QM127" s="424"/>
      <c r="QN127" s="424"/>
      <c r="QO127" s="424"/>
      <c r="QP127" s="424"/>
      <c r="QQ127" s="424"/>
      <c r="QR127" s="424"/>
      <c r="QS127" s="424"/>
      <c r="QT127" s="424"/>
      <c r="QU127" s="424"/>
      <c r="QV127" s="424"/>
      <c r="QW127" s="424"/>
      <c r="QX127" s="424"/>
      <c r="QY127" s="424"/>
      <c r="QZ127" s="424"/>
      <c r="RA127" s="424"/>
      <c r="RT127" s="424"/>
      <c r="RU127" s="424"/>
      <c r="RV127" s="424"/>
      <c r="RW127" s="424"/>
      <c r="RX127" s="424"/>
      <c r="RY127" s="424"/>
      <c r="RZ127" s="424"/>
      <c r="SA127" s="424"/>
      <c r="SB127" s="424"/>
      <c r="SC127" s="424"/>
      <c r="SD127" s="424"/>
      <c r="SE127" s="424"/>
      <c r="SF127" s="424"/>
      <c r="SG127" s="424"/>
      <c r="SH127" s="424"/>
      <c r="SI127" s="424"/>
      <c r="SJ127" s="424"/>
      <c r="SK127" s="424"/>
      <c r="SZ127" s="1373"/>
      <c r="TA127" s="1373"/>
      <c r="TB127" s="1373">
        <v>-29109479.608439997</v>
      </c>
      <c r="TC127" s="1373">
        <v>-59460001.115079999</v>
      </c>
      <c r="TD127" s="424"/>
      <c r="TE127" s="424"/>
      <c r="TF127" s="424"/>
      <c r="TG127" s="424"/>
      <c r="TH127" s="424"/>
      <c r="TI127" s="424"/>
      <c r="TJ127" s="424"/>
    </row>
    <row r="128" spans="2:543" x14ac:dyDescent="0.25">
      <c r="B128" s="1384"/>
      <c r="C128" s="1175"/>
      <c r="D128" s="801"/>
      <c r="E128" s="801"/>
      <c r="F128" s="801"/>
      <c r="G128" s="801"/>
      <c r="H128" s="801"/>
      <c r="I128" s="801"/>
      <c r="J128" s="801"/>
      <c r="K128" s="801"/>
      <c r="L128" s="801"/>
      <c r="M128" s="801"/>
      <c r="N128" s="801"/>
      <c r="T128" s="41"/>
      <c r="U128" s="41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1448"/>
      <c r="AH128" s="1448"/>
      <c r="AI128" s="1448"/>
      <c r="AJ128" s="144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V128"/>
      <c r="BW128"/>
      <c r="BX128"/>
      <c r="BY128"/>
      <c r="BZ128"/>
      <c r="CA128"/>
      <c r="CB128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IS128"/>
      <c r="IT128"/>
      <c r="IU128"/>
      <c r="IV128"/>
      <c r="IW128"/>
      <c r="IX128"/>
      <c r="IY128"/>
      <c r="IZ128"/>
      <c r="NP128" s="88"/>
      <c r="OW128"/>
      <c r="OX128"/>
      <c r="OY128"/>
      <c r="OZ128" s="1447"/>
      <c r="PA128" s="842"/>
      <c r="PB128" s="1446"/>
      <c r="PC128" s="1446"/>
      <c r="PD128" s="1446"/>
      <c r="PE128" s="1446"/>
      <c r="PF128" s="1446"/>
      <c r="PG128" s="1446"/>
      <c r="PH128" s="1446"/>
      <c r="PI128" s="1446"/>
      <c r="PJ128" s="1446"/>
      <c r="PK128" s="1443"/>
      <c r="PL128" s="1442"/>
      <c r="PM128"/>
      <c r="PN128"/>
      <c r="PO128"/>
      <c r="PP128"/>
      <c r="QJ128" s="424"/>
      <c r="QK128" s="424"/>
      <c r="QL128" s="424"/>
      <c r="QM128" s="424"/>
      <c r="QN128" s="424"/>
      <c r="QO128" s="424"/>
      <c r="QP128" s="424"/>
      <c r="QQ128" s="424"/>
      <c r="QR128" s="424"/>
      <c r="QS128" s="424"/>
      <c r="QT128" s="424"/>
      <c r="QU128" s="424"/>
      <c r="QV128" s="424"/>
      <c r="QW128" s="424"/>
      <c r="QX128" s="424"/>
      <c r="QY128" s="424"/>
      <c r="QZ128" s="424"/>
      <c r="RA128" s="424"/>
      <c r="RT128" s="424"/>
      <c r="RU128" s="424"/>
      <c r="RV128" s="424"/>
      <c r="RW128" s="424"/>
      <c r="RX128" s="424"/>
      <c r="RY128" s="424"/>
      <c r="RZ128" s="424"/>
      <c r="SA128" s="424"/>
      <c r="SB128" s="424"/>
      <c r="SC128" s="424"/>
      <c r="SD128" s="424"/>
      <c r="SE128" s="424"/>
      <c r="SF128" s="424"/>
      <c r="SG128" s="424"/>
      <c r="SH128" s="424"/>
      <c r="SI128" s="424"/>
      <c r="SJ128" s="424"/>
      <c r="SK128" s="424"/>
      <c r="SZ128" s="1372"/>
      <c r="TA128" s="1372"/>
      <c r="TB128" s="1372">
        <v>-8926753.4646099992</v>
      </c>
      <c r="TC128" s="1372">
        <v>-21634996.429591998</v>
      </c>
      <c r="TD128" s="424"/>
      <c r="TE128" s="424"/>
      <c r="TF128" s="424"/>
      <c r="TG128" s="424"/>
      <c r="TH128" s="424"/>
      <c r="TI128" s="424"/>
      <c r="TJ128" s="424"/>
    </row>
    <row r="129" spans="2:530" ht="15.75" thickBot="1" x14ac:dyDescent="0.3">
      <c r="B129" s="1384"/>
      <c r="C129" s="1175"/>
      <c r="D129" s="801"/>
      <c r="E129" s="801"/>
      <c r="F129" s="801"/>
      <c r="G129" s="801"/>
      <c r="H129" s="801"/>
      <c r="I129" s="801"/>
      <c r="J129" s="801"/>
      <c r="K129" s="801"/>
      <c r="L129" s="801"/>
      <c r="M129" s="801"/>
      <c r="N129" s="801"/>
      <c r="T129" s="41"/>
      <c r="U129" s="893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1445"/>
      <c r="AH129" s="1445"/>
      <c r="AI129" s="1445"/>
      <c r="AJ129" s="1445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IS129"/>
      <c r="IT129"/>
      <c r="IU129"/>
      <c r="IV129"/>
      <c r="IW129"/>
      <c r="IX129"/>
      <c r="IY129"/>
      <c r="IZ129"/>
      <c r="NP129" s="88"/>
      <c r="OW129"/>
      <c r="OX129"/>
      <c r="OY129"/>
      <c r="OZ129" s="1439"/>
      <c r="PA129" s="20"/>
      <c r="PB129" s="1438"/>
      <c r="PC129" s="1438"/>
      <c r="PD129" s="1438"/>
      <c r="PE129" s="1438"/>
      <c r="PF129" s="1438"/>
      <c r="PG129" s="1438"/>
      <c r="PH129" s="1438"/>
      <c r="PI129" s="1438"/>
      <c r="PJ129" s="1438"/>
      <c r="PK129" s="1438"/>
      <c r="PL129" s="1438"/>
      <c r="PM129"/>
      <c r="PN129"/>
      <c r="PO129"/>
      <c r="PP129"/>
      <c r="QJ129" s="424"/>
      <c r="QK129" s="424"/>
      <c r="QL129" s="424"/>
      <c r="QM129" s="424"/>
      <c r="QN129" s="424"/>
      <c r="QO129" s="424"/>
      <c r="QP129" s="424"/>
      <c r="QQ129" s="424"/>
      <c r="QR129" s="424"/>
      <c r="QS129" s="424"/>
      <c r="QT129" s="424"/>
      <c r="QU129" s="424"/>
      <c r="QV129" s="424"/>
      <c r="QW129" s="424"/>
      <c r="QX129" s="424"/>
      <c r="QY129" s="424"/>
      <c r="QZ129" s="424"/>
      <c r="RA129" s="424"/>
      <c r="RT129" s="424"/>
      <c r="RU129" s="424"/>
      <c r="RV129" s="424"/>
      <c r="RW129" s="424"/>
      <c r="RX129" s="424"/>
      <c r="RY129" s="424"/>
      <c r="RZ129" s="424"/>
      <c r="SA129" s="424"/>
      <c r="SB129" s="424"/>
      <c r="SC129" s="424"/>
      <c r="SD129" s="424"/>
      <c r="SE129" s="424"/>
      <c r="SF129" s="424"/>
      <c r="SG129" s="424"/>
      <c r="SH129" s="424"/>
      <c r="SI129" s="424"/>
      <c r="SJ129" s="424"/>
      <c r="SK129" s="424"/>
      <c r="SZ129" s="1371"/>
      <c r="TA129" s="1371"/>
      <c r="TB129" s="1371">
        <v>135474933.4399679</v>
      </c>
      <c r="TC129" s="1371">
        <v>583964069.07435393</v>
      </c>
      <c r="TD129" s="424"/>
      <c r="TE129" s="424"/>
      <c r="TF129" s="424"/>
      <c r="TG129" s="424"/>
      <c r="TH129" s="424"/>
      <c r="TI129" s="424"/>
      <c r="TJ129" s="424"/>
    </row>
    <row r="130" spans="2:530" ht="16.5" thickTop="1" thickBot="1" x14ac:dyDescent="0.3">
      <c r="B130" s="1383"/>
      <c r="C130" s="20"/>
      <c r="D130" s="800"/>
      <c r="E130" s="800"/>
      <c r="F130" s="800"/>
      <c r="G130" s="800"/>
      <c r="H130" s="800"/>
      <c r="I130" s="800"/>
      <c r="J130" s="800"/>
      <c r="K130" s="800"/>
      <c r="L130" s="800"/>
      <c r="M130" s="800"/>
      <c r="N130" s="800"/>
      <c r="T130" s="41"/>
      <c r="U130" s="41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1436"/>
      <c r="AH130" s="1436"/>
      <c r="AI130" s="1436"/>
      <c r="AJ130" s="1436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IS130"/>
      <c r="IT130"/>
      <c r="IU130"/>
      <c r="IV130"/>
      <c r="IW130"/>
      <c r="IX130"/>
      <c r="IY130"/>
      <c r="IZ130"/>
      <c r="NP130" s="88"/>
      <c r="OW130"/>
      <c r="OX130"/>
      <c r="OY130"/>
      <c r="OZ130" s="1439"/>
      <c r="PA130" s="842"/>
      <c r="PB130" s="1444"/>
      <c r="PC130" s="1444"/>
      <c r="PD130" s="1444"/>
      <c r="PE130" s="1444"/>
      <c r="PF130" s="1444"/>
      <c r="PG130" s="1444"/>
      <c r="PH130" s="1444"/>
      <c r="PI130" s="1444"/>
      <c r="PJ130" s="1444"/>
      <c r="PK130" s="1443"/>
      <c r="PL130" s="1442"/>
      <c r="PM130"/>
      <c r="PN130"/>
      <c r="PO130"/>
      <c r="PP130"/>
      <c r="QJ130" s="424"/>
      <c r="QK130" s="424"/>
      <c r="QL130" s="424"/>
      <c r="QM130" s="424"/>
      <c r="QN130" s="424"/>
      <c r="QO130" s="424"/>
      <c r="QP130" s="424"/>
      <c r="QQ130" s="424"/>
      <c r="QR130" s="424"/>
      <c r="QS130" s="424"/>
      <c r="QT130" s="424"/>
      <c r="QU130" s="424"/>
      <c r="QV130" s="424"/>
      <c r="QW130" s="424"/>
      <c r="QX130" s="424"/>
      <c r="QY130" s="424"/>
      <c r="QZ130" s="424"/>
      <c r="RA130" s="424"/>
      <c r="RT130" s="424"/>
      <c r="RU130" s="424"/>
      <c r="RV130" s="424"/>
      <c r="RW130" s="424"/>
      <c r="RX130" s="424"/>
      <c r="RY130" s="424"/>
      <c r="RZ130" s="424"/>
      <c r="SA130" s="424"/>
      <c r="SB130" s="424"/>
      <c r="SC130" s="424"/>
      <c r="SD130" s="424"/>
      <c r="SE130" s="424"/>
      <c r="SF130" s="424"/>
      <c r="SG130" s="424"/>
      <c r="SH130" s="424"/>
      <c r="SI130" s="424"/>
      <c r="SJ130" s="424"/>
      <c r="SK130" s="424"/>
      <c r="SZ130" s="1375"/>
      <c r="TA130" s="1375"/>
      <c r="TB130" s="1375"/>
      <c r="TC130" s="1375"/>
      <c r="TD130" s="424"/>
      <c r="TE130" s="424"/>
      <c r="TF130" s="424"/>
      <c r="TG130" s="424"/>
      <c r="TH130" s="424"/>
      <c r="TI130" s="424"/>
      <c r="TJ130" s="424"/>
    </row>
    <row r="131" spans="2:530" ht="15.75" thickTop="1" x14ac:dyDescent="0.25">
      <c r="B131" s="1382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1441"/>
      <c r="AH131" s="1441"/>
      <c r="AI131" s="1441"/>
      <c r="AJ131" s="1441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IS131"/>
      <c r="IT131"/>
      <c r="IU131"/>
      <c r="IV131"/>
      <c r="IW131"/>
      <c r="IX131"/>
      <c r="IY131"/>
      <c r="IZ131"/>
      <c r="NP131" s="88"/>
      <c r="OW131"/>
      <c r="OX131"/>
      <c r="OY131"/>
      <c r="OZ131" s="1439"/>
      <c r="PA131" s="703"/>
      <c r="PB131" s="1440"/>
      <c r="PC131" s="1440"/>
      <c r="PD131" s="1440"/>
      <c r="PE131" s="1440"/>
      <c r="PF131" s="1440"/>
      <c r="PG131" s="1440"/>
      <c r="PH131" s="1440"/>
      <c r="PI131" s="1440"/>
      <c r="PJ131" s="1440"/>
      <c r="PK131" s="1440"/>
      <c r="PL131" s="1440"/>
      <c r="PM131"/>
      <c r="PN131"/>
      <c r="PO131"/>
      <c r="PP131"/>
      <c r="QJ131" s="424"/>
      <c r="QK131" s="424"/>
      <c r="QL131" s="424"/>
      <c r="QM131" s="424"/>
      <c r="QN131" s="424"/>
      <c r="QO131" s="424"/>
      <c r="QP131" s="424"/>
      <c r="QQ131" s="424"/>
      <c r="QR131" s="424"/>
      <c r="QS131" s="424"/>
      <c r="QT131" s="424"/>
      <c r="QU131" s="424"/>
      <c r="QV131" s="424"/>
      <c r="QW131" s="424"/>
      <c r="QX131" s="424"/>
      <c r="QY131" s="424"/>
      <c r="QZ131" s="424"/>
      <c r="RA131" s="424"/>
      <c r="RT131" s="424"/>
      <c r="RU131" s="424"/>
      <c r="RV131" s="424"/>
      <c r="RW131" s="424"/>
      <c r="RX131" s="424"/>
      <c r="RY131" s="424"/>
      <c r="RZ131" s="424"/>
      <c r="SA131" s="424"/>
      <c r="SB131" s="424"/>
      <c r="SC131" s="424"/>
      <c r="SD131" s="424"/>
      <c r="SE131" s="424"/>
      <c r="SF131" s="424"/>
      <c r="SG131" s="424"/>
      <c r="SH131" s="424"/>
      <c r="SI131" s="424"/>
      <c r="SJ131" s="424"/>
      <c r="SK131" s="424"/>
      <c r="SZ131" s="1375"/>
      <c r="TA131" s="1375"/>
      <c r="TB131" s="1375"/>
      <c r="TC131" s="1375"/>
      <c r="TD131" s="424"/>
      <c r="TE131" s="424"/>
      <c r="TF131" s="424"/>
      <c r="TG131" s="424"/>
      <c r="TH131" s="424"/>
      <c r="TI131" s="424"/>
      <c r="TJ131" s="424"/>
    </row>
    <row r="132" spans="2:530" x14ac:dyDescent="0.25">
      <c r="B132" s="1382"/>
      <c r="C132" s="1177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1437"/>
      <c r="AH132" s="1437"/>
      <c r="AI132" s="1437"/>
      <c r="AJ132" s="1437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IS132"/>
      <c r="IT132"/>
      <c r="IU132"/>
      <c r="IV132"/>
      <c r="IW132"/>
      <c r="IX132"/>
      <c r="IY132"/>
      <c r="IZ132"/>
      <c r="NP132" s="88"/>
      <c r="OW132"/>
      <c r="OX132"/>
      <c r="OY132"/>
      <c r="OZ132" s="1439"/>
      <c r="PA132" s="20"/>
      <c r="PB132" s="1438"/>
      <c r="PC132" s="1438"/>
      <c r="PD132" s="1438"/>
      <c r="PE132" s="1438"/>
      <c r="PF132" s="1438"/>
      <c r="PG132" s="1438"/>
      <c r="PH132" s="1438"/>
      <c r="PI132" s="1438"/>
      <c r="PJ132" s="1438"/>
      <c r="PK132" s="1438"/>
      <c r="PL132" s="1438"/>
      <c r="PM132"/>
      <c r="PN132"/>
      <c r="PO132"/>
      <c r="PP132"/>
      <c r="QJ132" s="424"/>
      <c r="QK132" s="424"/>
      <c r="QL132" s="424"/>
      <c r="QM132" s="424"/>
      <c r="QN132" s="424"/>
      <c r="QO132" s="424"/>
      <c r="QP132" s="424"/>
      <c r="QQ132" s="424"/>
      <c r="QR132" s="424"/>
      <c r="QS132" s="424"/>
      <c r="QT132" s="424"/>
      <c r="QU132" s="424"/>
      <c r="QV132" s="424"/>
      <c r="QW132" s="424"/>
      <c r="QX132" s="424"/>
      <c r="QY132" s="424"/>
      <c r="QZ132" s="424"/>
      <c r="RA132" s="424"/>
      <c r="RT132" s="424"/>
      <c r="RU132" s="424"/>
      <c r="RV132" s="424"/>
      <c r="RW132" s="424"/>
      <c r="RX132" s="424"/>
      <c r="RY132" s="424"/>
      <c r="RZ132" s="424"/>
      <c r="SA132" s="424"/>
      <c r="SB132" s="424"/>
      <c r="SC132" s="424"/>
      <c r="SD132" s="424"/>
      <c r="SE132" s="424"/>
      <c r="SF132" s="424"/>
      <c r="SG132" s="424"/>
      <c r="SH132" s="424"/>
      <c r="SI132" s="424"/>
      <c r="SJ132" s="424"/>
      <c r="SK132" s="424"/>
      <c r="SZ132" s="1374"/>
      <c r="TA132" s="1374"/>
      <c r="TB132" s="1381">
        <v>2325963.2900000233</v>
      </c>
      <c r="TC132" s="1374">
        <v>11515728.170000041</v>
      </c>
      <c r="TD132" s="424"/>
      <c r="TE132" s="424"/>
      <c r="TF132" s="424"/>
      <c r="TG132" s="424"/>
      <c r="TH132" s="424"/>
      <c r="TI132" s="424"/>
      <c r="TJ132" s="424"/>
    </row>
    <row r="133" spans="2:530" x14ac:dyDescent="0.25">
      <c r="B133" s="1382"/>
      <c r="C133" s="1198"/>
      <c r="D133" s="647"/>
      <c r="E133" s="647"/>
      <c r="F133" s="647"/>
      <c r="G133" s="647"/>
      <c r="H133" s="647"/>
      <c r="I133" s="647"/>
      <c r="J133" s="647"/>
      <c r="K133" s="647"/>
      <c r="L133" s="647"/>
      <c r="M133" s="647"/>
      <c r="N133" s="647"/>
      <c r="T133" s="72"/>
      <c r="U133" s="72"/>
      <c r="V133" s="1178"/>
      <c r="W133" s="1178"/>
      <c r="X133" s="1178"/>
      <c r="Y133" s="1178"/>
      <c r="Z133" s="1178"/>
      <c r="AA133" s="1178"/>
      <c r="AB133" s="1178"/>
      <c r="AC133" s="1178"/>
      <c r="AD133" s="1178"/>
      <c r="AE133" s="1178"/>
      <c r="AF133" s="1178"/>
      <c r="AG133" s="1437"/>
      <c r="AH133" s="1437"/>
      <c r="AI133" s="1437"/>
      <c r="AJ133" s="1437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IS133"/>
      <c r="IT133"/>
      <c r="IU133"/>
      <c r="IV133"/>
      <c r="IW133"/>
      <c r="IX133"/>
      <c r="IY133"/>
      <c r="IZ133"/>
      <c r="NP133" s="88"/>
      <c r="OW133"/>
      <c r="OX133"/>
      <c r="OY133"/>
      <c r="OZ133" s="99"/>
      <c r="PA133" s="99"/>
      <c r="PB133" s="99"/>
      <c r="PC133" s="99"/>
      <c r="PD133" s="99"/>
      <c r="PE133" s="99"/>
      <c r="PF133" s="99"/>
      <c r="PG133" s="99"/>
      <c r="PH133" s="99"/>
      <c r="PI133" s="99"/>
      <c r="PJ133" s="99"/>
      <c r="PK133" s="99"/>
      <c r="PL133" s="99"/>
      <c r="PM133"/>
      <c r="PN133"/>
      <c r="PO133"/>
      <c r="PP133"/>
      <c r="QJ133" s="424"/>
      <c r="QK133" s="424"/>
      <c r="QL133" s="424"/>
      <c r="QM133" s="424"/>
      <c r="QN133" s="424"/>
      <c r="QO133" s="424"/>
      <c r="QP133" s="424"/>
      <c r="QQ133" s="424"/>
      <c r="QR133" s="424"/>
      <c r="QS133" s="424"/>
      <c r="QT133" s="424"/>
      <c r="QU133" s="424"/>
      <c r="QV133" s="424"/>
      <c r="QW133" s="424"/>
      <c r="QX133" s="424"/>
      <c r="QY133" s="424"/>
      <c r="QZ133" s="424"/>
      <c r="RA133" s="424"/>
      <c r="RT133" s="424"/>
      <c r="RU133" s="424"/>
      <c r="RV133" s="424"/>
      <c r="RW133" s="424"/>
      <c r="RX133" s="424"/>
      <c r="RY133" s="424"/>
      <c r="RZ133" s="424"/>
      <c r="SA133" s="424"/>
      <c r="SB133" s="424"/>
      <c r="SC133" s="424"/>
      <c r="SD133" s="424"/>
      <c r="SE133" s="424"/>
      <c r="SF133" s="424"/>
      <c r="SG133" s="424"/>
      <c r="SH133" s="424"/>
      <c r="SI133" s="424"/>
      <c r="SJ133" s="424"/>
      <c r="SK133" s="424"/>
      <c r="SZ133" s="1373"/>
      <c r="TA133" s="1373"/>
      <c r="TB133" s="1380">
        <v>0</v>
      </c>
      <c r="TC133" s="1373">
        <v>0</v>
      </c>
      <c r="TD133" s="424"/>
      <c r="TE133" s="424"/>
      <c r="TF133" s="424"/>
      <c r="TG133" s="424"/>
      <c r="TH133" s="424"/>
      <c r="TI133" s="424"/>
      <c r="TJ133" s="424"/>
    </row>
    <row r="134" spans="2:530" x14ac:dyDescent="0.25">
      <c r="B134" s="1382"/>
      <c r="C134" s="547"/>
      <c r="D134" s="980"/>
      <c r="E134" s="980"/>
      <c r="F134" s="980"/>
      <c r="G134" s="980"/>
      <c r="H134" s="980"/>
      <c r="I134" s="980"/>
      <c r="J134" s="980"/>
      <c r="K134" s="980"/>
      <c r="L134" s="980"/>
      <c r="M134" s="980"/>
      <c r="N134" s="980"/>
      <c r="T134" s="72"/>
      <c r="U134" s="72"/>
      <c r="V134" s="1232"/>
      <c r="W134" s="1232"/>
      <c r="X134" s="1232"/>
      <c r="Y134" s="1232"/>
      <c r="Z134" s="1232"/>
      <c r="AA134" s="1232"/>
      <c r="AB134" s="1232"/>
      <c r="AC134" s="1232"/>
      <c r="AD134" s="1232"/>
      <c r="AE134" s="1232"/>
      <c r="AF134" s="1232"/>
      <c r="AG134" s="1437"/>
      <c r="AH134" s="1437"/>
      <c r="AI134" s="1437"/>
      <c r="AJ134" s="1437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IS134"/>
      <c r="IT134"/>
      <c r="IU134"/>
      <c r="IV134"/>
      <c r="IW134"/>
      <c r="IX134"/>
      <c r="IY134"/>
      <c r="IZ134"/>
      <c r="NP134" s="88"/>
      <c r="OW134"/>
      <c r="OX134"/>
      <c r="OY134"/>
      <c r="OZ134" s="99"/>
      <c r="PA134" s="99"/>
      <c r="PB134" s="99"/>
      <c r="PC134" s="99"/>
      <c r="PD134" s="99"/>
      <c r="PE134" s="99"/>
      <c r="PF134" s="99"/>
      <c r="PG134" s="99"/>
      <c r="PH134" s="99"/>
      <c r="PI134" s="99"/>
      <c r="PJ134" s="99"/>
      <c r="PK134" s="99"/>
      <c r="PL134" s="99"/>
      <c r="PM134"/>
      <c r="PN134"/>
      <c r="PO134"/>
      <c r="PP134"/>
      <c r="QJ134" s="424"/>
      <c r="QK134" s="424"/>
      <c r="QL134" s="424"/>
      <c r="QM134" s="424"/>
      <c r="QN134" s="424"/>
      <c r="QO134" s="424"/>
      <c r="QP134" s="424"/>
      <c r="QQ134" s="424"/>
      <c r="QR134" s="424"/>
      <c r="QS134" s="424"/>
      <c r="QT134" s="424"/>
      <c r="QU134" s="424"/>
      <c r="QV134" s="424"/>
      <c r="QW134" s="424"/>
      <c r="QX134" s="424"/>
      <c r="QY134" s="424"/>
      <c r="QZ134" s="424"/>
      <c r="RA134" s="424"/>
      <c r="RT134" s="424"/>
      <c r="RU134" s="424"/>
      <c r="RV134" s="424"/>
      <c r="RW134" s="424"/>
      <c r="RX134" s="424"/>
      <c r="RY134" s="424"/>
      <c r="RZ134" s="424"/>
      <c r="SA134" s="424"/>
      <c r="SB134" s="424"/>
      <c r="SC134" s="424"/>
      <c r="SD134" s="424"/>
      <c r="SE134" s="424"/>
      <c r="SF134" s="424"/>
      <c r="SG134" s="424"/>
      <c r="SH134" s="424"/>
      <c r="SI134" s="424"/>
      <c r="SJ134" s="424"/>
      <c r="SK134" s="424"/>
      <c r="SZ134" s="1373"/>
      <c r="TA134" s="1373"/>
      <c r="TB134" s="1380">
        <v>0</v>
      </c>
      <c r="TC134" s="1373">
        <v>0</v>
      </c>
      <c r="TD134" s="424"/>
      <c r="TE134" s="424"/>
      <c r="TF134" s="424"/>
      <c r="TG134" s="424"/>
      <c r="TH134" s="424"/>
      <c r="TI134" s="424"/>
      <c r="TJ134" s="424"/>
    </row>
    <row r="135" spans="2:530" x14ac:dyDescent="0.25">
      <c r="B135" s="523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T135" s="72"/>
      <c r="U135" s="72"/>
      <c r="V135" s="1178"/>
      <c r="W135" s="1178"/>
      <c r="X135" s="72"/>
      <c r="Y135" s="72"/>
      <c r="Z135" s="72"/>
      <c r="AA135" s="72"/>
      <c r="AB135" s="72"/>
      <c r="AC135" s="72"/>
      <c r="AD135" s="72"/>
      <c r="AE135" s="72"/>
      <c r="AF135" s="72"/>
      <c r="AG135" s="1437"/>
      <c r="AH135" s="1437"/>
      <c r="AI135" s="1437"/>
      <c r="AJ135" s="1437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IS135"/>
      <c r="IT135"/>
      <c r="IU135"/>
      <c r="IV135"/>
      <c r="IW135"/>
      <c r="IX135"/>
      <c r="IY135"/>
      <c r="IZ135"/>
      <c r="NP135" s="88"/>
      <c r="OW135"/>
      <c r="OX135"/>
      <c r="OY135"/>
      <c r="OZ135" s="99"/>
      <c r="PA135" s="99"/>
      <c r="PB135" s="99"/>
      <c r="PC135" s="99"/>
      <c r="PD135" s="99"/>
      <c r="PE135" s="99"/>
      <c r="PF135" s="99"/>
      <c r="PG135" s="99"/>
      <c r="PH135" s="99"/>
      <c r="PI135" s="99"/>
      <c r="PJ135" s="99"/>
      <c r="PK135" s="99"/>
      <c r="PL135" s="99"/>
      <c r="PM135"/>
      <c r="PN135"/>
      <c r="PO135"/>
      <c r="PP135"/>
      <c r="QJ135" s="424"/>
      <c r="QK135" s="424"/>
      <c r="QL135" s="424"/>
      <c r="QM135" s="424"/>
      <c r="QN135" s="424"/>
      <c r="QO135" s="424"/>
      <c r="QP135" s="424"/>
      <c r="QQ135" s="424"/>
      <c r="QR135" s="424"/>
      <c r="QS135" s="424"/>
      <c r="QT135" s="424"/>
      <c r="QU135" s="424"/>
      <c r="QV135" s="424"/>
      <c r="QW135" s="424"/>
      <c r="QX135" s="424"/>
      <c r="QY135" s="424"/>
      <c r="QZ135" s="424"/>
      <c r="RA135" s="424"/>
      <c r="RT135" s="424"/>
      <c r="RU135" s="424"/>
      <c r="RV135" s="424"/>
      <c r="RW135" s="424"/>
      <c r="RX135" s="424"/>
      <c r="RY135" s="424"/>
      <c r="RZ135" s="424"/>
      <c r="SA135" s="424"/>
      <c r="SB135" s="424"/>
      <c r="SC135" s="424"/>
      <c r="SD135" s="424"/>
      <c r="SE135" s="424"/>
      <c r="SF135" s="424"/>
      <c r="SG135" s="424"/>
      <c r="SH135" s="424"/>
      <c r="SI135" s="424"/>
      <c r="SJ135" s="424"/>
      <c r="SK135" s="424"/>
      <c r="SZ135" s="1372"/>
      <c r="TA135" s="1372"/>
      <c r="TB135" s="1379">
        <v>0</v>
      </c>
      <c r="TC135" s="1372">
        <v>0</v>
      </c>
      <c r="TD135" s="424"/>
      <c r="TE135" s="424"/>
      <c r="TF135" s="424"/>
      <c r="TG135" s="424"/>
      <c r="TH135" s="424"/>
      <c r="TI135" s="424"/>
      <c r="TJ135" s="424"/>
    </row>
    <row r="136" spans="2:530" x14ac:dyDescent="0.25">
      <c r="B136" s="139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T136" s="72"/>
      <c r="U136" s="72"/>
      <c r="V136" s="899"/>
      <c r="W136" s="899"/>
      <c r="X136" s="1399"/>
      <c r="Y136" s="1399"/>
      <c r="Z136" s="1399"/>
      <c r="AA136" s="1399"/>
      <c r="AB136" s="1399"/>
      <c r="AC136" s="1399"/>
      <c r="AD136" s="1399"/>
      <c r="AE136" s="1399"/>
      <c r="AF136" s="1399"/>
      <c r="AG136" s="1437"/>
      <c r="AH136" s="1437"/>
      <c r="AI136" s="1437"/>
      <c r="AJ136" s="1437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IS136"/>
      <c r="IT136"/>
      <c r="IU136"/>
      <c r="IV136"/>
      <c r="IW136"/>
      <c r="IX136"/>
      <c r="IY136"/>
      <c r="IZ136"/>
      <c r="NP136" s="88"/>
      <c r="OW136"/>
      <c r="OX136"/>
      <c r="OY136"/>
      <c r="OZ136" s="99"/>
      <c r="PA136" s="99"/>
      <c r="PB136" s="99"/>
      <c r="PC136" s="99"/>
      <c r="PD136" s="99"/>
      <c r="PE136" s="99"/>
      <c r="PF136" s="99"/>
      <c r="PG136" s="99"/>
      <c r="PH136" s="99"/>
      <c r="PI136" s="99"/>
      <c r="PJ136" s="99"/>
      <c r="PK136" s="99"/>
      <c r="PL136" s="99"/>
      <c r="PM136"/>
      <c r="PN136"/>
      <c r="PO136"/>
      <c r="PP136"/>
      <c r="QJ136" s="424"/>
      <c r="QK136" s="424"/>
      <c r="QL136" s="424"/>
      <c r="QM136" s="424"/>
      <c r="QN136" s="424"/>
      <c r="QO136" s="424"/>
      <c r="QP136" s="424"/>
      <c r="QQ136" s="424"/>
      <c r="QR136" s="424"/>
      <c r="QS136" s="424"/>
      <c r="QT136" s="424"/>
      <c r="QU136" s="424"/>
      <c r="QV136" s="424"/>
      <c r="QW136" s="424"/>
      <c r="QX136" s="424"/>
      <c r="QY136" s="424"/>
      <c r="QZ136" s="424"/>
      <c r="RA136" s="424"/>
      <c r="RT136" s="424"/>
      <c r="RU136" s="424"/>
      <c r="RV136" s="424"/>
      <c r="RW136" s="424"/>
      <c r="RX136" s="424"/>
      <c r="RY136" s="424"/>
      <c r="RZ136" s="424"/>
      <c r="SA136" s="424"/>
      <c r="SB136" s="424"/>
      <c r="SC136" s="424"/>
      <c r="SD136" s="424"/>
      <c r="SE136" s="424"/>
      <c r="SF136" s="424"/>
      <c r="SG136" s="424"/>
      <c r="SH136" s="424"/>
      <c r="SI136" s="424"/>
      <c r="SJ136" s="424"/>
      <c r="SK136" s="424"/>
      <c r="SZ136" s="1373"/>
      <c r="TA136" s="1373"/>
      <c r="TB136" s="1373">
        <v>2325963.2900000233</v>
      </c>
      <c r="TC136" s="1373">
        <v>11515728.170000041</v>
      </c>
      <c r="TD136" s="424"/>
      <c r="TE136" s="424"/>
      <c r="TF136" s="424"/>
      <c r="TG136" s="424"/>
      <c r="TH136" s="424"/>
      <c r="TI136" s="424"/>
      <c r="TJ136" s="424"/>
    </row>
    <row r="137" spans="2:530" x14ac:dyDescent="0.25">
      <c r="B137" s="1217"/>
      <c r="C137" s="547"/>
      <c r="D137" s="880"/>
      <c r="E137" s="980"/>
      <c r="F137" s="880"/>
      <c r="G137" s="980"/>
      <c r="H137" s="880"/>
      <c r="I137" s="1412"/>
      <c r="J137" s="1412"/>
      <c r="K137" s="1412"/>
      <c r="L137" s="1412"/>
      <c r="M137" s="1412"/>
      <c r="N137" s="526"/>
      <c r="T137" s="72"/>
      <c r="U137" s="72"/>
      <c r="V137" s="1178"/>
      <c r="W137" s="1178"/>
      <c r="X137" s="72"/>
      <c r="Y137" s="72"/>
      <c r="Z137" s="72"/>
      <c r="AA137" s="72"/>
      <c r="AB137" s="72"/>
      <c r="AC137" s="72"/>
      <c r="AD137" s="72"/>
      <c r="AE137" s="72"/>
      <c r="AF137" s="72"/>
      <c r="AG137" s="1437"/>
      <c r="AH137" s="1437"/>
      <c r="AI137" s="1437"/>
      <c r="AJ137" s="1437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IS137"/>
      <c r="IT137"/>
      <c r="IU137"/>
      <c r="IV137"/>
      <c r="IW137"/>
      <c r="IX137"/>
      <c r="IY137"/>
      <c r="IZ137"/>
      <c r="NP137" s="88"/>
      <c r="OW137"/>
      <c r="OX137"/>
      <c r="OY137"/>
      <c r="OZ137" s="99"/>
      <c r="PA137" s="99"/>
      <c r="PB137" s="99"/>
      <c r="PC137" s="99"/>
      <c r="PD137" s="99"/>
      <c r="PE137" s="99"/>
      <c r="PF137" s="99"/>
      <c r="PG137" s="99"/>
      <c r="PH137" s="99"/>
      <c r="PI137" s="99"/>
      <c r="PJ137" s="99"/>
      <c r="PK137" s="99"/>
      <c r="PL137" s="99"/>
      <c r="PM137"/>
      <c r="PN137"/>
      <c r="PO137"/>
      <c r="PP137"/>
      <c r="QJ137" s="424"/>
      <c r="QK137" s="424"/>
      <c r="QL137" s="424"/>
      <c r="QM137" s="424"/>
      <c r="QN137" s="424"/>
      <c r="QO137" s="424"/>
      <c r="QP137" s="424"/>
      <c r="QQ137" s="424"/>
      <c r="QR137" s="424"/>
      <c r="QS137" s="424"/>
      <c r="QT137" s="424"/>
      <c r="QU137" s="424"/>
      <c r="QV137" s="424"/>
      <c r="QW137" s="424"/>
      <c r="QX137" s="424"/>
      <c r="QY137" s="424"/>
      <c r="QZ137" s="424"/>
      <c r="RA137" s="424"/>
      <c r="RT137" s="424"/>
      <c r="RU137" s="424"/>
      <c r="RV137" s="424"/>
      <c r="RW137" s="424"/>
      <c r="RX137" s="424"/>
      <c r="RY137" s="424"/>
      <c r="RZ137" s="424"/>
      <c r="SA137" s="424"/>
      <c r="SB137" s="424"/>
      <c r="SC137" s="424"/>
      <c r="SD137" s="424"/>
      <c r="SE137" s="424"/>
      <c r="SF137" s="424"/>
      <c r="SG137" s="424"/>
      <c r="SH137" s="424"/>
      <c r="SI137" s="424"/>
      <c r="SJ137" s="424"/>
      <c r="SK137" s="424"/>
      <c r="SZ137" s="1373"/>
      <c r="TA137" s="1373"/>
      <c r="TB137" s="1373"/>
      <c r="TC137" s="1373"/>
      <c r="TD137" s="424"/>
      <c r="TE137" s="424"/>
      <c r="TF137" s="424"/>
      <c r="TG137" s="424"/>
      <c r="TH137" s="424"/>
      <c r="TI137" s="424"/>
      <c r="TJ137" s="424"/>
    </row>
    <row r="138" spans="2:530" x14ac:dyDescent="0.25">
      <c r="B138" s="99"/>
      <c r="C138" s="1388"/>
      <c r="D138" s="880"/>
      <c r="E138" s="880"/>
      <c r="F138" s="880"/>
      <c r="G138" s="1052"/>
      <c r="H138" s="880"/>
      <c r="I138" s="1052"/>
      <c r="J138" s="1052"/>
      <c r="K138" s="1052"/>
      <c r="L138" s="1052"/>
      <c r="M138" s="1052"/>
      <c r="N138" s="984"/>
      <c r="T138" s="72"/>
      <c r="U138" s="72"/>
      <c r="V138" s="1232"/>
      <c r="W138" s="1232"/>
      <c r="X138" s="72"/>
      <c r="Y138" s="72"/>
      <c r="Z138" s="72"/>
      <c r="AA138" s="72"/>
      <c r="AB138" s="72"/>
      <c r="AC138" s="72"/>
      <c r="AD138" s="72"/>
      <c r="AE138" s="72"/>
      <c r="AF138" s="72"/>
      <c r="AG138" s="1437"/>
      <c r="AH138" s="1437"/>
      <c r="AI138" s="1437"/>
      <c r="AJ138" s="1437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IS138"/>
      <c r="IT138"/>
      <c r="IU138"/>
      <c r="IV138"/>
      <c r="IW138"/>
      <c r="IX138"/>
      <c r="IY138"/>
      <c r="IZ138"/>
      <c r="NP138" s="88"/>
      <c r="OW138"/>
      <c r="OX138"/>
      <c r="OY138"/>
      <c r="OZ138" s="99"/>
      <c r="PA138" s="99"/>
      <c r="PB138" s="99"/>
      <c r="PC138" s="99"/>
      <c r="PD138" s="99"/>
      <c r="PE138" s="99"/>
      <c r="PF138" s="99"/>
      <c r="PG138" s="99"/>
      <c r="PH138" s="99"/>
      <c r="PI138" s="99"/>
      <c r="PJ138" s="99"/>
      <c r="PK138" s="99"/>
      <c r="PL138" s="99"/>
      <c r="PM138"/>
      <c r="PN138"/>
      <c r="PO138"/>
      <c r="PP138"/>
      <c r="QJ138" s="424"/>
      <c r="QK138" s="424"/>
      <c r="QL138" s="424"/>
      <c r="QM138" s="424"/>
      <c r="QN138" s="424"/>
      <c r="QO138" s="424"/>
      <c r="QP138" s="424"/>
      <c r="QQ138" s="424"/>
      <c r="QR138" s="424"/>
      <c r="QS138" s="424"/>
      <c r="QT138" s="424"/>
      <c r="QU138" s="424"/>
      <c r="QV138" s="424"/>
      <c r="QW138" s="424"/>
      <c r="QX138" s="424"/>
      <c r="QY138" s="424"/>
      <c r="QZ138" s="424"/>
      <c r="RA138" s="424"/>
      <c r="RT138" s="424"/>
      <c r="RU138" s="424"/>
      <c r="RV138" s="424"/>
      <c r="RW138" s="424"/>
      <c r="RX138" s="424"/>
      <c r="RY138" s="424"/>
      <c r="RZ138" s="424"/>
      <c r="SA138" s="424"/>
      <c r="SB138" s="424"/>
      <c r="SC138" s="424"/>
      <c r="SD138" s="424"/>
      <c r="SE138" s="424"/>
      <c r="SF138" s="424"/>
      <c r="SG138" s="424"/>
      <c r="SH138" s="424"/>
      <c r="SI138" s="424"/>
      <c r="SJ138" s="424"/>
      <c r="SK138" s="424"/>
      <c r="SZ138" s="1373"/>
      <c r="TA138" s="1373"/>
      <c r="TB138" s="1373">
        <v>2325963.2900000233</v>
      </c>
      <c r="TC138" s="1373">
        <v>11515728.170000041</v>
      </c>
      <c r="TD138" s="424"/>
      <c r="TE138" s="424"/>
      <c r="TF138" s="424"/>
      <c r="TG138" s="424"/>
      <c r="TH138" s="424"/>
      <c r="TI138" s="424"/>
      <c r="TJ138" s="424"/>
    </row>
    <row r="139" spans="2:530" ht="15.75" thickBot="1" x14ac:dyDescent="0.3">
      <c r="B139" s="99"/>
      <c r="C139" s="1388"/>
      <c r="D139" s="1392"/>
      <c r="E139" s="1392"/>
      <c r="F139" s="880"/>
      <c r="G139" s="641"/>
      <c r="H139" s="880"/>
      <c r="I139" s="641"/>
      <c r="J139" s="1052"/>
      <c r="K139" s="641"/>
      <c r="L139" s="641"/>
      <c r="M139" s="641"/>
      <c r="N139" s="619"/>
      <c r="T139" s="72"/>
      <c r="U139" s="72"/>
      <c r="V139" s="1232"/>
      <c r="W139" s="1232"/>
      <c r="X139" s="72"/>
      <c r="Y139" s="72"/>
      <c r="Z139" s="72"/>
      <c r="AA139" s="72"/>
      <c r="AB139" s="72"/>
      <c r="AC139" s="72"/>
      <c r="AD139" s="72"/>
      <c r="AE139" s="72"/>
      <c r="AF139" s="72"/>
      <c r="AG139" s="1436"/>
      <c r="AH139" s="1436"/>
      <c r="AI139" s="1436"/>
      <c r="AJ139" s="1436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IS139"/>
      <c r="IT139"/>
      <c r="IU139"/>
      <c r="IV139"/>
      <c r="IW139"/>
      <c r="IX139"/>
      <c r="IY139"/>
      <c r="IZ139"/>
      <c r="NP139" s="88"/>
      <c r="OW139"/>
      <c r="OX139"/>
      <c r="OY139"/>
      <c r="OZ139" s="99"/>
      <c r="PA139" s="99"/>
      <c r="PB139" s="99"/>
      <c r="PC139" s="99"/>
      <c r="PD139" s="99"/>
      <c r="PE139" s="99"/>
      <c r="PF139" s="99"/>
      <c r="PG139" s="99"/>
      <c r="PH139" s="99"/>
      <c r="PI139" s="99"/>
      <c r="PJ139" s="99"/>
      <c r="PK139" s="99"/>
      <c r="PL139" s="99"/>
      <c r="PM139"/>
      <c r="PN139"/>
      <c r="PO139"/>
      <c r="PP139"/>
      <c r="QJ139" s="424"/>
      <c r="QK139" s="424"/>
      <c r="QL139" s="424"/>
      <c r="QM139" s="424"/>
      <c r="QN139" s="424"/>
      <c r="QO139" s="424"/>
      <c r="QP139" s="424"/>
      <c r="QQ139" s="424"/>
      <c r="QR139" s="424"/>
      <c r="QS139" s="424"/>
      <c r="QT139" s="424"/>
      <c r="QU139" s="424"/>
      <c r="QV139" s="424"/>
      <c r="QW139" s="424"/>
      <c r="QX139" s="424"/>
      <c r="QY139" s="424"/>
      <c r="QZ139" s="424"/>
      <c r="RA139" s="424"/>
      <c r="RT139" s="424"/>
      <c r="RU139" s="424"/>
      <c r="RV139" s="424"/>
      <c r="RW139" s="424"/>
      <c r="RX139" s="424"/>
      <c r="RY139" s="424"/>
      <c r="RZ139" s="424"/>
      <c r="SA139" s="424"/>
      <c r="SB139" s="424"/>
      <c r="SC139" s="424"/>
      <c r="SD139" s="424"/>
      <c r="SE139" s="424"/>
      <c r="SF139" s="424"/>
      <c r="SG139" s="424"/>
      <c r="SH139" s="424"/>
      <c r="SI139" s="424"/>
      <c r="SJ139" s="424"/>
      <c r="SK139" s="424"/>
      <c r="SZ139" s="1378"/>
      <c r="TA139" s="1378"/>
      <c r="TB139" s="1378"/>
      <c r="TC139" s="1378"/>
      <c r="TD139" s="424"/>
      <c r="TE139" s="424"/>
      <c r="TF139" s="424"/>
      <c r="TG139" s="424"/>
      <c r="TH139" s="424"/>
      <c r="TI139" s="424"/>
      <c r="TJ139" s="424"/>
    </row>
    <row r="140" spans="2:530" ht="15.75" thickTop="1" x14ac:dyDescent="0.25">
      <c r="B140" s="99"/>
      <c r="C140" s="1388"/>
      <c r="D140" s="880"/>
      <c r="E140" s="880"/>
      <c r="F140" s="880"/>
      <c r="G140" s="1052"/>
      <c r="H140" s="880"/>
      <c r="I140" s="641"/>
      <c r="J140" s="1052"/>
      <c r="K140" s="641"/>
      <c r="L140" s="641"/>
      <c r="M140" s="641"/>
      <c r="N140" s="619"/>
      <c r="T140" s="72"/>
      <c r="U140" s="72"/>
      <c r="V140" s="1232"/>
      <c r="W140" s="1232"/>
      <c r="X140" s="72"/>
      <c r="Y140" s="72"/>
      <c r="Z140" s="72"/>
      <c r="AA140" s="72"/>
      <c r="AB140" s="72"/>
      <c r="AC140" s="72"/>
      <c r="AD140" s="72"/>
      <c r="AE140" s="72"/>
      <c r="AF140" s="72"/>
      <c r="AG140" s="1435"/>
      <c r="AH140" s="1435"/>
      <c r="AI140" s="1435"/>
      <c r="AJ140" s="1435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IS140"/>
      <c r="IT140"/>
      <c r="IU140"/>
      <c r="IV140"/>
      <c r="IW140"/>
      <c r="IX140"/>
      <c r="IY140"/>
      <c r="IZ140"/>
      <c r="NP140" s="88"/>
      <c r="OW140"/>
      <c r="OX140"/>
      <c r="OY140"/>
      <c r="OZ140" s="99"/>
      <c r="PA140" s="99"/>
      <c r="PB140" s="99"/>
      <c r="PC140" s="99"/>
      <c r="PD140" s="99"/>
      <c r="PE140" s="99"/>
      <c r="PF140" s="99"/>
      <c r="PG140" s="99"/>
      <c r="PH140" s="99"/>
      <c r="PI140" s="99"/>
      <c r="PJ140" s="99"/>
      <c r="PK140" s="99"/>
      <c r="PL140" s="99"/>
      <c r="PM140"/>
      <c r="PN140"/>
      <c r="PO140"/>
      <c r="PP140"/>
      <c r="QJ140" s="424"/>
      <c r="QK140" s="424"/>
      <c r="QL140" s="424"/>
      <c r="QM140" s="424"/>
      <c r="QN140" s="424"/>
      <c r="QO140" s="424"/>
      <c r="QP140" s="424"/>
      <c r="QQ140" s="424"/>
      <c r="QR140" s="424"/>
      <c r="QS140" s="424"/>
      <c r="QT140" s="424"/>
      <c r="QU140" s="424"/>
      <c r="QV140" s="424"/>
      <c r="QW140" s="424"/>
      <c r="QX140" s="424"/>
      <c r="QY140" s="424"/>
      <c r="QZ140" s="424"/>
      <c r="RA140" s="424"/>
      <c r="RT140" s="424"/>
      <c r="RU140" s="424"/>
      <c r="RV140" s="424"/>
      <c r="RW140" s="424"/>
      <c r="RX140" s="424"/>
      <c r="RY140" s="424"/>
      <c r="RZ140" s="424"/>
      <c r="SA140" s="424"/>
      <c r="SB140" s="424"/>
      <c r="SC140" s="424"/>
      <c r="SD140" s="424"/>
      <c r="SE140" s="424"/>
      <c r="SF140" s="424"/>
      <c r="SG140" s="424"/>
      <c r="SH140" s="424"/>
      <c r="SI140" s="424"/>
      <c r="SJ140" s="424"/>
      <c r="SK140" s="424"/>
      <c r="SZ140" s="1372"/>
      <c r="TA140" s="1372"/>
      <c r="TB140" s="1372">
        <v>-488452.29090000485</v>
      </c>
      <c r="TC140" s="1372">
        <v>-2418302.9157000086</v>
      </c>
      <c r="TD140" s="424"/>
      <c r="TE140" s="424"/>
      <c r="TF140" s="424"/>
      <c r="TG140" s="424"/>
      <c r="TH140" s="424"/>
      <c r="TI140" s="424"/>
      <c r="TJ140" s="424"/>
    </row>
    <row r="141" spans="2:530" x14ac:dyDescent="0.25">
      <c r="B141" s="99"/>
      <c r="C141" s="1388"/>
      <c r="D141" s="1392"/>
      <c r="E141" s="1392"/>
      <c r="F141" s="880"/>
      <c r="G141" s="641"/>
      <c r="H141" s="880"/>
      <c r="I141" s="641"/>
      <c r="J141" s="1052"/>
      <c r="K141" s="641"/>
      <c r="L141" s="641"/>
      <c r="M141" s="641"/>
      <c r="N141" s="747"/>
      <c r="T141" s="72"/>
      <c r="U141" s="72"/>
      <c r="V141" s="1232"/>
      <c r="W141" s="1232"/>
      <c r="X141" s="72"/>
      <c r="Y141" s="72"/>
      <c r="Z141" s="72"/>
      <c r="AA141" s="72"/>
      <c r="AB141" s="72"/>
      <c r="AC141" s="72"/>
      <c r="AD141" s="72"/>
      <c r="AE141" s="72"/>
      <c r="AF141" s="72"/>
      <c r="AG141" s="1434"/>
      <c r="AH141" s="1434"/>
      <c r="AI141" s="1434"/>
      <c r="AJ141" s="1434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NP141" s="88"/>
      <c r="OW141"/>
      <c r="OX141"/>
      <c r="OY141"/>
      <c r="OZ141" s="99"/>
      <c r="PA141" s="99"/>
      <c r="PB141" s="99"/>
      <c r="PC141" s="99"/>
      <c r="PD141" s="99"/>
      <c r="PE141" s="99"/>
      <c r="PF141" s="99"/>
      <c r="PG141" s="99"/>
      <c r="PH141" s="99"/>
      <c r="PI141" s="99"/>
      <c r="PJ141" s="99"/>
      <c r="PK141" s="99"/>
      <c r="PL141" s="99"/>
      <c r="PM141"/>
      <c r="PN141"/>
      <c r="PO141"/>
      <c r="PP141"/>
      <c r="QJ141" s="424"/>
      <c r="QK141" s="424"/>
      <c r="QL141" s="424"/>
      <c r="QM141" s="424"/>
      <c r="QN141" s="424"/>
      <c r="QO141" s="424"/>
      <c r="QP141" s="424"/>
      <c r="QQ141" s="424"/>
      <c r="QR141" s="424"/>
      <c r="QS141" s="424"/>
      <c r="QT141" s="424"/>
      <c r="QU141" s="424"/>
      <c r="QV141" s="424"/>
      <c r="QW141" s="424"/>
      <c r="QX141" s="424"/>
      <c r="QY141" s="424"/>
      <c r="QZ141" s="424"/>
      <c r="RA141" s="424"/>
      <c r="RT141" s="424"/>
      <c r="RU141" s="424"/>
      <c r="RV141" s="424"/>
      <c r="RW141" s="424"/>
      <c r="RX141" s="424"/>
      <c r="RY141" s="424"/>
      <c r="RZ141" s="424"/>
      <c r="SA141" s="424"/>
      <c r="SB141" s="424"/>
      <c r="SC141" s="424"/>
      <c r="SD141" s="424"/>
      <c r="SE141" s="424"/>
      <c r="SF141" s="424"/>
      <c r="SG141" s="424"/>
      <c r="SH141" s="424"/>
      <c r="SI141" s="424"/>
      <c r="SJ141" s="424"/>
      <c r="SK141" s="424"/>
      <c r="SZ141" s="1377"/>
      <c r="TA141" s="1377"/>
      <c r="TB141" s="1377"/>
      <c r="TC141" s="1377"/>
      <c r="TD141" s="424"/>
      <c r="TE141" s="424"/>
      <c r="TF141" s="424"/>
      <c r="TG141" s="424"/>
      <c r="TH141" s="424"/>
      <c r="TI141" s="424"/>
      <c r="TJ141" s="424"/>
    </row>
    <row r="142" spans="2:530" ht="15.75" thickBot="1" x14ac:dyDescent="0.3">
      <c r="B142" s="99"/>
      <c r="C142" s="1388"/>
      <c r="D142" s="880"/>
      <c r="E142" s="880"/>
      <c r="F142" s="880"/>
      <c r="G142" s="641"/>
      <c r="H142" s="880"/>
      <c r="I142" s="641"/>
      <c r="J142" s="1052"/>
      <c r="K142" s="641"/>
      <c r="L142" s="641"/>
      <c r="M142" s="641"/>
      <c r="N142" s="619"/>
      <c r="T142" s="72"/>
      <c r="U142" s="72"/>
      <c r="V142" s="1232"/>
      <c r="W142" s="1232"/>
      <c r="X142" s="72"/>
      <c r="Y142" s="72"/>
      <c r="Z142" s="72"/>
      <c r="AA142" s="72"/>
      <c r="AB142" s="72"/>
      <c r="AC142" s="72"/>
      <c r="AD142" s="72"/>
      <c r="AE142" s="72"/>
      <c r="AF142" s="72"/>
      <c r="AG142" s="1434"/>
      <c r="AH142" s="1434"/>
      <c r="AI142" s="1434"/>
      <c r="AJ142" s="1434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NP142" s="88"/>
      <c r="OW142"/>
      <c r="OX142"/>
      <c r="OY142"/>
      <c r="OZ142" s="99"/>
      <c r="PA142" s="99"/>
      <c r="PB142" s="99"/>
      <c r="PC142" s="99"/>
      <c r="PD142" s="99"/>
      <c r="PE142" s="99"/>
      <c r="PF142" s="99"/>
      <c r="PG142" s="99"/>
      <c r="PH142" s="99"/>
      <c r="PI142" s="99"/>
      <c r="PJ142" s="99"/>
      <c r="PK142" s="99"/>
      <c r="PL142" s="99"/>
      <c r="PM142"/>
      <c r="PN142"/>
      <c r="PO142"/>
      <c r="PP142"/>
      <c r="QJ142" s="424"/>
      <c r="QK142" s="424"/>
      <c r="QL142" s="424"/>
      <c r="QM142" s="424"/>
      <c r="QN142" s="424"/>
      <c r="QO142" s="424"/>
      <c r="QP142" s="424"/>
      <c r="QQ142" s="424"/>
      <c r="QR142" s="424"/>
      <c r="QS142" s="424"/>
      <c r="QT142" s="424"/>
      <c r="QU142" s="424"/>
      <c r="QV142" s="424"/>
      <c r="QW142" s="424"/>
      <c r="QX142" s="424"/>
      <c r="QY142" s="424"/>
      <c r="QZ142" s="424"/>
      <c r="RA142" s="424"/>
      <c r="RT142" s="424"/>
      <c r="RU142" s="424"/>
      <c r="RV142" s="424"/>
      <c r="RW142" s="424"/>
      <c r="RX142" s="424"/>
      <c r="RY142" s="424"/>
      <c r="RZ142" s="424"/>
      <c r="SA142" s="424"/>
      <c r="SB142" s="424"/>
      <c r="SC142" s="424"/>
      <c r="SD142" s="424"/>
      <c r="SE142" s="424"/>
      <c r="SF142" s="424"/>
      <c r="SG142" s="424"/>
      <c r="SH142" s="424"/>
      <c r="SI142" s="424"/>
      <c r="SJ142" s="424"/>
      <c r="SK142" s="424"/>
      <c r="SZ142" s="1376"/>
      <c r="TA142" s="1376"/>
      <c r="TB142" s="1376">
        <v>-1837510.9991000185</v>
      </c>
      <c r="TC142" s="1376">
        <v>-9097425.2543000318</v>
      </c>
      <c r="TD142" s="424"/>
      <c r="TE142" s="424"/>
      <c r="TF142" s="424"/>
      <c r="TG142" s="424"/>
      <c r="TH142" s="424"/>
      <c r="TI142" s="424"/>
      <c r="TJ142" s="424"/>
    </row>
    <row r="143" spans="2:530" ht="15.75" thickTop="1" x14ac:dyDescent="0.25">
      <c r="B143" s="99"/>
      <c r="C143" s="1388"/>
      <c r="D143" s="1392"/>
      <c r="E143" s="1392"/>
      <c r="F143" s="880"/>
      <c r="G143" s="641"/>
      <c r="H143" s="880"/>
      <c r="I143" s="641"/>
      <c r="J143" s="1052"/>
      <c r="K143" s="641"/>
      <c r="L143" s="641"/>
      <c r="M143" s="641"/>
      <c r="N143" s="619"/>
      <c r="T143" s="72"/>
      <c r="U143" s="72"/>
      <c r="V143" s="1232"/>
      <c r="W143" s="1232"/>
      <c r="X143" s="72"/>
      <c r="Y143" s="72"/>
      <c r="Z143" s="72"/>
      <c r="AA143" s="72"/>
      <c r="AB143" s="72"/>
      <c r="AC143" s="72"/>
      <c r="AD143" s="72"/>
      <c r="AE143" s="72"/>
      <c r="AF143" s="72"/>
      <c r="AG143" s="1433"/>
      <c r="AH143" s="1433"/>
      <c r="AI143" s="1433"/>
      <c r="AJ143" s="1433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NP143" s="88"/>
      <c r="OW143"/>
      <c r="OX143"/>
      <c r="OY143"/>
      <c r="OZ143" s="99"/>
      <c r="PA143" s="99"/>
      <c r="PB143" s="99"/>
      <c r="PC143" s="99"/>
      <c r="PD143" s="99"/>
      <c r="PE143" s="99"/>
      <c r="PF143" s="99"/>
      <c r="PG143" s="99"/>
      <c r="PH143" s="99"/>
      <c r="PI143" s="99"/>
      <c r="PJ143" s="99"/>
      <c r="PK143" s="99"/>
      <c r="PL143" s="99"/>
      <c r="PM143"/>
      <c r="PN143"/>
      <c r="PO143"/>
      <c r="PP143"/>
      <c r="QJ143" s="424"/>
      <c r="QK143" s="424"/>
      <c r="QL143" s="424"/>
      <c r="QM143" s="424"/>
      <c r="QN143" s="424"/>
      <c r="QO143" s="424"/>
      <c r="QP143" s="424"/>
      <c r="QQ143" s="424"/>
      <c r="QR143" s="424"/>
      <c r="QS143" s="424"/>
      <c r="QT143" s="424"/>
      <c r="QU143" s="424"/>
      <c r="QV143" s="424"/>
      <c r="QW143" s="424"/>
      <c r="QX143" s="424"/>
      <c r="QY143" s="424"/>
      <c r="QZ143" s="424"/>
      <c r="RA143" s="424"/>
      <c r="RT143" s="424"/>
      <c r="RU143" s="424"/>
      <c r="RV143" s="424"/>
      <c r="RW143" s="424"/>
      <c r="RX143" s="424"/>
      <c r="RY143" s="424"/>
      <c r="RZ143" s="424"/>
      <c r="SA143" s="424"/>
      <c r="SB143" s="424"/>
      <c r="SC143" s="424"/>
      <c r="SD143" s="424"/>
      <c r="SE143" s="424"/>
      <c r="SF143" s="424"/>
      <c r="SG143" s="424"/>
      <c r="SH143" s="424"/>
      <c r="SI143" s="424"/>
      <c r="SJ143" s="424"/>
      <c r="SK143" s="424"/>
      <c r="SZ143" s="1375"/>
      <c r="TA143" s="1375"/>
      <c r="TB143" s="1375"/>
      <c r="TC143" s="1375"/>
      <c r="TD143" s="424"/>
      <c r="TE143" s="424"/>
      <c r="TF143" s="424"/>
      <c r="TG143" s="424"/>
      <c r="TH143" s="424"/>
      <c r="TI143" s="424"/>
      <c r="TJ143" s="424"/>
    </row>
    <row r="144" spans="2:530" x14ac:dyDescent="0.25">
      <c r="B144" s="99"/>
      <c r="C144" s="1388"/>
      <c r="D144" s="72"/>
      <c r="E144" s="1392"/>
      <c r="F144" s="72"/>
      <c r="G144" s="72"/>
      <c r="H144" s="880"/>
      <c r="I144" s="641"/>
      <c r="J144" s="1052"/>
      <c r="K144" s="641"/>
      <c r="L144" s="641"/>
      <c r="M144" s="641"/>
      <c r="N144" s="619"/>
      <c r="T144" s="72"/>
      <c r="U144" s="72"/>
      <c r="V144" s="1178"/>
      <c r="W144" s="1178"/>
      <c r="X144" s="72"/>
      <c r="Y144" s="72"/>
      <c r="Z144" s="72"/>
      <c r="AA144" s="72"/>
      <c r="AB144" s="72"/>
      <c r="AC144" s="72"/>
      <c r="AD144" s="72"/>
      <c r="AE144" s="72"/>
      <c r="AF144" s="72"/>
      <c r="AG144" s="1418"/>
      <c r="AH144" s="1418"/>
      <c r="AI144" s="1418"/>
      <c r="AJ144" s="1418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NP144" s="88"/>
      <c r="OW144"/>
      <c r="OX144"/>
      <c r="OY144"/>
      <c r="OZ144" s="99"/>
      <c r="PA144" s="99"/>
      <c r="PB144" s="99"/>
      <c r="PC144" s="99"/>
      <c r="PD144" s="99"/>
      <c r="PE144" s="99"/>
      <c r="PF144" s="99"/>
      <c r="PG144" s="99"/>
      <c r="PH144" s="99"/>
      <c r="PI144" s="99"/>
      <c r="PJ144" s="99"/>
      <c r="PK144" s="99"/>
      <c r="PL144" s="99"/>
      <c r="PM144"/>
      <c r="PN144"/>
      <c r="PO144"/>
      <c r="PP144"/>
      <c r="QJ144" s="424"/>
      <c r="QK144" s="424"/>
      <c r="QL144" s="424"/>
      <c r="QM144" s="424"/>
      <c r="QN144" s="424"/>
      <c r="QO144" s="424"/>
      <c r="QP144" s="424"/>
      <c r="QQ144" s="424"/>
      <c r="QR144" s="424"/>
      <c r="QS144" s="424"/>
      <c r="QT144" s="424"/>
      <c r="QU144" s="424"/>
      <c r="QV144" s="424"/>
      <c r="QW144" s="424"/>
      <c r="QX144" s="424"/>
      <c r="QY144" s="424"/>
      <c r="QZ144" s="424"/>
      <c r="RA144" s="424"/>
      <c r="RT144" s="424"/>
      <c r="RU144" s="424"/>
      <c r="RV144" s="424"/>
      <c r="RW144" s="424"/>
      <c r="RX144" s="424"/>
      <c r="RY144" s="424"/>
      <c r="RZ144" s="424"/>
      <c r="SA144" s="424"/>
      <c r="SB144" s="424"/>
      <c r="SC144" s="424"/>
      <c r="SD144" s="424"/>
      <c r="SE144" s="424"/>
      <c r="SF144" s="424"/>
      <c r="SG144" s="424"/>
      <c r="SH144" s="424"/>
      <c r="SI144" s="424"/>
      <c r="SJ144" s="424"/>
      <c r="SK144" s="424"/>
      <c r="SZ144" s="1374"/>
      <c r="TA144" s="1374"/>
      <c r="TB144" s="1374">
        <v>85647742.719999969</v>
      </c>
      <c r="TC144" s="1374">
        <v>408123404.95999998</v>
      </c>
      <c r="TD144" s="424"/>
      <c r="TE144" s="424"/>
      <c r="TF144" s="424"/>
      <c r="TG144" s="424"/>
      <c r="TH144" s="424"/>
      <c r="TI144" s="424"/>
      <c r="TJ144" s="424"/>
    </row>
    <row r="145" spans="2:530" x14ac:dyDescent="0.25">
      <c r="B145" s="99"/>
      <c r="C145" s="1388"/>
      <c r="D145" s="880"/>
      <c r="E145" s="880"/>
      <c r="F145" s="880"/>
      <c r="G145" s="641"/>
      <c r="H145" s="880"/>
      <c r="I145" s="641"/>
      <c r="J145" s="1052"/>
      <c r="K145" s="641"/>
      <c r="L145" s="641"/>
      <c r="M145" s="641"/>
      <c r="N145" s="619"/>
      <c r="T145" s="523"/>
      <c r="U145" s="72"/>
      <c r="V145" s="1399"/>
      <c r="W145" s="1399"/>
      <c r="X145" s="1399"/>
      <c r="Y145" s="1399"/>
      <c r="Z145" s="1399"/>
      <c r="AA145" s="1398"/>
      <c r="AB145" s="1398"/>
      <c r="AC145" s="1398"/>
      <c r="AD145" s="1398"/>
      <c r="AE145" s="1398"/>
      <c r="AF145" s="1398"/>
      <c r="AG145" s="1430"/>
      <c r="AH145" s="1430"/>
      <c r="AI145" s="1430"/>
      <c r="AJ145" s="143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NP145" s="88"/>
      <c r="OW145"/>
      <c r="OX145"/>
      <c r="OY145"/>
      <c r="OZ145" s="99"/>
      <c r="PA145" s="99"/>
      <c r="PB145" s="99"/>
      <c r="PC145" s="99"/>
      <c r="PD145" s="99"/>
      <c r="PE145" s="99"/>
      <c r="PF145" s="99"/>
      <c r="PG145" s="99"/>
      <c r="PH145" s="99"/>
      <c r="PI145" s="99"/>
      <c r="PJ145" s="99"/>
      <c r="PK145" s="99"/>
      <c r="PL145" s="99"/>
      <c r="PM145"/>
      <c r="PN145"/>
      <c r="PO145"/>
      <c r="PP145"/>
      <c r="QJ145" s="424"/>
      <c r="QK145" s="424"/>
      <c r="QL145" s="424"/>
      <c r="QM145" s="424"/>
      <c r="QN145" s="424"/>
      <c r="QO145" s="424"/>
      <c r="QP145" s="424"/>
      <c r="QQ145" s="424"/>
      <c r="QR145" s="424"/>
      <c r="QS145" s="424"/>
      <c r="QT145" s="424"/>
      <c r="QU145" s="424"/>
      <c r="QV145" s="424"/>
      <c r="QW145" s="424"/>
      <c r="QX145" s="424"/>
      <c r="QY145" s="424"/>
      <c r="QZ145" s="424"/>
      <c r="RA145" s="424"/>
      <c r="RT145" s="424"/>
      <c r="RU145" s="424"/>
      <c r="RV145" s="424"/>
      <c r="RW145" s="424"/>
      <c r="RX145" s="424"/>
      <c r="RY145" s="424"/>
      <c r="RZ145" s="424"/>
      <c r="SA145" s="424"/>
      <c r="SB145" s="424"/>
      <c r="SC145" s="424"/>
      <c r="SD145" s="424"/>
      <c r="SE145" s="424"/>
      <c r="SF145" s="424"/>
      <c r="SG145" s="424"/>
      <c r="SH145" s="424"/>
      <c r="SI145" s="424"/>
      <c r="SJ145" s="424"/>
      <c r="SK145" s="424"/>
      <c r="SZ145" s="1373"/>
      <c r="TA145" s="1373"/>
      <c r="TB145" s="1373">
        <v>-10374414.870000005</v>
      </c>
      <c r="TC145" s="1373">
        <v>-24750370.200000007</v>
      </c>
      <c r="TD145" s="424"/>
      <c r="TE145" s="424"/>
      <c r="TF145" s="424"/>
      <c r="TG145" s="424"/>
      <c r="TH145" s="424"/>
      <c r="TI145" s="424"/>
      <c r="TJ145" s="424"/>
    </row>
    <row r="146" spans="2:530" x14ac:dyDescent="0.25">
      <c r="B146" s="99"/>
      <c r="C146" s="1388"/>
      <c r="D146" s="880"/>
      <c r="E146" s="880"/>
      <c r="F146" s="880"/>
      <c r="G146" s="641"/>
      <c r="H146" s="880"/>
      <c r="I146" s="641"/>
      <c r="J146" s="1052"/>
      <c r="K146" s="641"/>
      <c r="L146" s="641"/>
      <c r="M146" s="641"/>
      <c r="N146" s="619"/>
      <c r="T146" s="689"/>
      <c r="U146" s="1432"/>
      <c r="V146" s="1432"/>
      <c r="W146" s="20"/>
      <c r="X146" s="20"/>
      <c r="Y146" s="20"/>
      <c r="Z146" s="20"/>
      <c r="AA146" s="526"/>
      <c r="AB146" s="526"/>
      <c r="AC146" s="526"/>
      <c r="AD146" s="526"/>
      <c r="AE146" s="526"/>
      <c r="AF146" s="526"/>
      <c r="AG146" s="1430"/>
      <c r="AH146" s="1430"/>
      <c r="AI146" s="1430"/>
      <c r="AJ146" s="143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NP146" s="88"/>
      <c r="OW146"/>
      <c r="OX146"/>
      <c r="OY146"/>
      <c r="OZ146" s="99"/>
      <c r="PA146" s="99"/>
      <c r="PB146" s="99"/>
      <c r="PC146" s="99"/>
      <c r="PD146" s="99"/>
      <c r="PE146" s="99"/>
      <c r="PF146" s="99"/>
      <c r="PG146" s="99"/>
      <c r="PH146" s="99"/>
      <c r="PI146" s="99"/>
      <c r="PJ146" s="99"/>
      <c r="PK146" s="99"/>
      <c r="PL146" s="99"/>
      <c r="PM146"/>
      <c r="PN146"/>
      <c r="PO146"/>
      <c r="PP146"/>
      <c r="QJ146" s="424"/>
      <c r="QK146" s="424"/>
      <c r="QL146" s="424"/>
      <c r="QM146" s="424"/>
      <c r="QN146" s="424"/>
      <c r="QO146" s="424"/>
      <c r="QP146" s="424"/>
      <c r="QQ146" s="424"/>
      <c r="QR146" s="424"/>
      <c r="QS146" s="424"/>
      <c r="QT146" s="424"/>
      <c r="QU146" s="424"/>
      <c r="QV146" s="424"/>
      <c r="QW146" s="424"/>
      <c r="QX146" s="424"/>
      <c r="QY146" s="424"/>
      <c r="QZ146" s="424"/>
      <c r="RA146" s="424"/>
      <c r="RT146" s="424"/>
      <c r="RU146" s="424"/>
      <c r="RV146" s="424"/>
      <c r="RW146" s="424"/>
      <c r="RX146" s="424"/>
      <c r="RY146" s="424"/>
      <c r="RZ146" s="424"/>
      <c r="SA146" s="424"/>
      <c r="SB146" s="424"/>
      <c r="SC146" s="424"/>
      <c r="SD146" s="424"/>
      <c r="SE146" s="424"/>
      <c r="SF146" s="424"/>
      <c r="SG146" s="424"/>
      <c r="SH146" s="424"/>
      <c r="SI146" s="424"/>
      <c r="SJ146" s="424"/>
      <c r="SK146" s="424"/>
      <c r="SZ146" s="1372"/>
      <c r="TA146" s="1372"/>
      <c r="TB146" s="1372">
        <v>-2966768.1999999993</v>
      </c>
      <c r="TC146" s="1372">
        <v>-7911032.129999999</v>
      </c>
      <c r="TD146" s="424"/>
      <c r="TE146" s="424"/>
      <c r="TF146" s="424"/>
      <c r="TG146" s="424"/>
      <c r="TH146" s="424"/>
      <c r="TI146" s="424"/>
      <c r="TJ146" s="424"/>
    </row>
    <row r="147" spans="2:530" ht="15.75" thickBot="1" x14ac:dyDescent="0.3">
      <c r="B147" s="99"/>
      <c r="C147" s="1388"/>
      <c r="D147" s="880"/>
      <c r="E147" s="880"/>
      <c r="F147" s="880"/>
      <c r="G147" s="641"/>
      <c r="H147" s="880"/>
      <c r="I147" s="641"/>
      <c r="J147" s="1052"/>
      <c r="K147" s="641"/>
      <c r="L147" s="641"/>
      <c r="M147" s="641"/>
      <c r="N147" s="619"/>
      <c r="T147" s="679"/>
      <c r="U147" s="1431"/>
      <c r="V147" s="624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1430"/>
      <c r="AH147" s="1430"/>
      <c r="AI147" s="1430"/>
      <c r="AJ147" s="143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NP147" s="88"/>
      <c r="OW147"/>
      <c r="OX147"/>
      <c r="OY147"/>
      <c r="OZ147" s="99"/>
      <c r="PA147" s="99"/>
      <c r="PB147" s="99"/>
      <c r="PC147" s="99"/>
      <c r="PD147" s="99"/>
      <c r="PE147" s="99"/>
      <c r="PF147" s="99"/>
      <c r="PG147" s="99"/>
      <c r="PH147" s="99"/>
      <c r="PI147" s="99"/>
      <c r="PJ147" s="99"/>
      <c r="PK147" s="99"/>
      <c r="PL147" s="99"/>
      <c r="PM147"/>
      <c r="PN147"/>
      <c r="PO147"/>
      <c r="PP147"/>
      <c r="QJ147" s="424"/>
      <c r="QK147" s="424"/>
      <c r="QL147" s="424"/>
      <c r="QM147" s="424"/>
      <c r="QN147" s="424"/>
      <c r="QO147" s="424"/>
      <c r="QP147" s="424"/>
      <c r="QQ147" s="424"/>
      <c r="QR147" s="424"/>
      <c r="QS147" s="424"/>
      <c r="QT147" s="424"/>
      <c r="QU147" s="424"/>
      <c r="QV147" s="424"/>
      <c r="QW147" s="424"/>
      <c r="QX147" s="424"/>
      <c r="QY147" s="424"/>
      <c r="QZ147" s="424"/>
      <c r="RA147" s="424"/>
      <c r="RT147" s="424"/>
      <c r="RU147" s="424"/>
      <c r="RV147" s="424"/>
      <c r="RW147" s="424"/>
      <c r="RX147" s="424"/>
      <c r="RY147" s="424"/>
      <c r="RZ147" s="424"/>
      <c r="SA147" s="424"/>
      <c r="SB147" s="424"/>
      <c r="SC147" s="424"/>
      <c r="SD147" s="424"/>
      <c r="SE147" s="424"/>
      <c r="SF147" s="424"/>
      <c r="SG147" s="424"/>
      <c r="SH147" s="424"/>
      <c r="SI147" s="424"/>
      <c r="SJ147" s="424"/>
      <c r="SK147" s="424"/>
      <c r="SZ147" s="1371"/>
      <c r="TA147" s="1371"/>
      <c r="TB147" s="1371">
        <v>72306559.649999961</v>
      </c>
      <c r="TC147" s="1371">
        <v>375462002.63</v>
      </c>
      <c r="TD147" s="424"/>
      <c r="TE147" s="424"/>
      <c r="TF147" s="424"/>
      <c r="TG147" s="424"/>
      <c r="TH147" s="424"/>
      <c r="TI147" s="424"/>
      <c r="TJ147" s="424"/>
    </row>
    <row r="148" spans="2:530" ht="15.75" thickTop="1" x14ac:dyDescent="0.25">
      <c r="B148" s="99"/>
      <c r="C148" s="1388"/>
      <c r="D148" s="1392"/>
      <c r="E148" s="1392"/>
      <c r="F148" s="880"/>
      <c r="G148" s="1392"/>
      <c r="H148" s="880"/>
      <c r="I148" s="641"/>
      <c r="J148" s="1052"/>
      <c r="K148" s="641"/>
      <c r="L148" s="641"/>
      <c r="M148" s="641"/>
      <c r="N148" s="619"/>
      <c r="T148" s="679"/>
      <c r="U148" s="690"/>
      <c r="V148" s="63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1430"/>
      <c r="AH148" s="1430"/>
      <c r="AI148" s="1430"/>
      <c r="AJ148" s="143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NP148" s="88"/>
      <c r="OW148"/>
      <c r="OX148"/>
      <c r="OY148"/>
      <c r="OZ148" s="99"/>
      <c r="PA148" s="99"/>
      <c r="PB148" s="99"/>
      <c r="PC148" s="99"/>
      <c r="PD148" s="99"/>
      <c r="PE148" s="99"/>
      <c r="PF148" s="99"/>
      <c r="PG148" s="99"/>
      <c r="PH148" s="99"/>
      <c r="PI148" s="99"/>
      <c r="PJ148" s="99"/>
      <c r="PK148" s="99"/>
      <c r="PL148" s="99"/>
      <c r="PM148"/>
      <c r="PN148"/>
      <c r="PO148"/>
      <c r="PP148"/>
      <c r="QJ148" s="424"/>
      <c r="QK148" s="424"/>
      <c r="QL148" s="424"/>
      <c r="QM148" s="424"/>
      <c r="QN148" s="424"/>
      <c r="QO148" s="424"/>
      <c r="QP148" s="424"/>
      <c r="QQ148" s="424"/>
      <c r="QR148" s="424"/>
      <c r="QS148" s="424"/>
      <c r="QT148" s="424"/>
      <c r="QU148" s="424"/>
      <c r="QV148" s="424"/>
      <c r="QW148" s="424"/>
      <c r="QX148" s="424"/>
      <c r="QY148" s="424"/>
      <c r="QZ148" s="424"/>
      <c r="RA148" s="424"/>
      <c r="RT148" s="424"/>
      <c r="RU148" s="424"/>
      <c r="RV148" s="424"/>
      <c r="RW148" s="424"/>
      <c r="RX148" s="424"/>
      <c r="RY148" s="424"/>
      <c r="RZ148" s="424"/>
      <c r="SA148" s="424"/>
      <c r="SB148" s="424"/>
      <c r="SC148" s="424"/>
      <c r="SD148" s="424"/>
      <c r="SE148" s="424"/>
      <c r="SF148" s="424"/>
      <c r="SG148" s="424"/>
      <c r="SH148" s="424"/>
      <c r="SI148" s="424"/>
      <c r="SJ148" s="424"/>
      <c r="SK148" s="424"/>
      <c r="SZ148" s="1375"/>
      <c r="TA148" s="1375"/>
      <c r="TB148" s="1375"/>
      <c r="TC148" s="1375"/>
      <c r="TD148" s="424"/>
      <c r="TE148" s="424"/>
      <c r="TF148" s="424"/>
      <c r="TG148" s="424"/>
      <c r="TH148" s="424"/>
      <c r="TI148" s="424"/>
      <c r="TJ148" s="424"/>
    </row>
    <row r="149" spans="2:530" x14ac:dyDescent="0.25">
      <c r="B149" s="99"/>
      <c r="C149" s="1388"/>
      <c r="D149" s="1392"/>
      <c r="E149" s="1392"/>
      <c r="F149" s="880"/>
      <c r="G149" s="641"/>
      <c r="H149" s="880"/>
      <c r="I149" s="641"/>
      <c r="J149" s="1052"/>
      <c r="K149" s="641"/>
      <c r="L149" s="641"/>
      <c r="M149" s="641"/>
      <c r="N149" s="1394"/>
      <c r="T149" s="679"/>
      <c r="U149" s="690"/>
      <c r="V149" s="63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1430"/>
      <c r="AH149" s="1430"/>
      <c r="AI149" s="1430"/>
      <c r="AJ149" s="143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NP149" s="88"/>
      <c r="OW149"/>
      <c r="OX149"/>
      <c r="OY149"/>
      <c r="OZ149" s="99"/>
      <c r="PA149" s="99"/>
      <c r="PB149" s="99"/>
      <c r="PC149" s="99"/>
      <c r="PD149" s="99"/>
      <c r="PE149" s="99"/>
      <c r="PF149" s="99"/>
      <c r="PG149" s="99"/>
      <c r="PH149" s="99"/>
      <c r="PI149" s="99"/>
      <c r="PJ149" s="99"/>
      <c r="PK149" s="99"/>
      <c r="PL149" s="99"/>
      <c r="PM149"/>
      <c r="PN149"/>
      <c r="PO149"/>
      <c r="PP149"/>
      <c r="QJ149" s="424"/>
      <c r="QK149" s="424"/>
      <c r="QL149" s="424"/>
      <c r="QM149" s="424"/>
      <c r="QN149" s="424"/>
      <c r="QO149" s="424"/>
      <c r="QP149" s="424"/>
      <c r="QQ149" s="424"/>
      <c r="QR149" s="424"/>
      <c r="QS149" s="424"/>
      <c r="QT149" s="424"/>
      <c r="QU149" s="424"/>
      <c r="QV149" s="424"/>
      <c r="QW149" s="424"/>
      <c r="QX149" s="424"/>
      <c r="QY149" s="424"/>
      <c r="QZ149" s="424"/>
      <c r="RA149" s="424"/>
      <c r="RT149" s="424"/>
      <c r="RU149" s="424"/>
      <c r="RV149" s="424"/>
      <c r="RW149" s="424"/>
      <c r="RX149" s="424"/>
      <c r="RY149" s="424"/>
      <c r="RZ149" s="424"/>
      <c r="SA149" s="424"/>
      <c r="SB149" s="424"/>
      <c r="SC149" s="424"/>
      <c r="SD149" s="424"/>
      <c r="SE149" s="424"/>
      <c r="SF149" s="424"/>
      <c r="SG149" s="424"/>
      <c r="SH149" s="424"/>
      <c r="SI149" s="424"/>
      <c r="SJ149" s="424"/>
      <c r="SK149" s="424"/>
      <c r="SZ149" s="1375"/>
      <c r="TA149" s="1375"/>
      <c r="TB149" s="1375"/>
      <c r="TC149" s="1375"/>
      <c r="TD149" s="424"/>
      <c r="TE149" s="424"/>
      <c r="TF149" s="424"/>
      <c r="TG149" s="424"/>
      <c r="TH149" s="424"/>
      <c r="TI149" s="424"/>
      <c r="TJ149" s="424"/>
    </row>
    <row r="150" spans="2:530" x14ac:dyDescent="0.25">
      <c r="B150" s="99"/>
      <c r="C150" s="1388"/>
      <c r="D150" s="1392"/>
      <c r="E150" s="1392"/>
      <c r="F150" s="880"/>
      <c r="G150" s="641"/>
      <c r="H150" s="880"/>
      <c r="I150" s="641"/>
      <c r="J150" s="1052"/>
      <c r="K150" s="641"/>
      <c r="L150" s="641"/>
      <c r="M150" s="641"/>
      <c r="N150" s="1394"/>
      <c r="T150" s="679"/>
      <c r="U150" s="690"/>
      <c r="V150" s="63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1430"/>
      <c r="AH150" s="1430"/>
      <c r="AI150" s="1430"/>
      <c r="AJ150" s="143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NP150" s="88"/>
      <c r="OW150"/>
      <c r="OX150"/>
      <c r="OY150"/>
      <c r="OZ150" s="99"/>
      <c r="PA150" s="99"/>
      <c r="PB150" s="99"/>
      <c r="PC150" s="99"/>
      <c r="PD150" s="99"/>
      <c r="PE150" s="99"/>
      <c r="PF150" s="99"/>
      <c r="PG150" s="99"/>
      <c r="PH150" s="99"/>
      <c r="PI150" s="99"/>
      <c r="PJ150" s="99"/>
      <c r="PK150" s="99"/>
      <c r="PL150" s="99"/>
      <c r="PM150"/>
      <c r="PN150"/>
      <c r="PO150"/>
      <c r="PP150"/>
      <c r="QJ150" s="424"/>
      <c r="QK150" s="424"/>
      <c r="QL150" s="424"/>
      <c r="QM150" s="424"/>
      <c r="QN150" s="424"/>
      <c r="QO150" s="424"/>
      <c r="QP150" s="424"/>
      <c r="QQ150" s="424"/>
      <c r="QR150" s="424"/>
      <c r="QS150" s="424"/>
      <c r="QT150" s="424"/>
      <c r="QU150" s="424"/>
      <c r="QV150" s="424"/>
      <c r="QW150" s="424"/>
      <c r="QX150" s="424"/>
      <c r="QY150" s="424"/>
      <c r="QZ150" s="424"/>
      <c r="RA150" s="424"/>
      <c r="RT150" s="424"/>
      <c r="RU150" s="424"/>
      <c r="RV150" s="424"/>
      <c r="RW150" s="424"/>
      <c r="RX150" s="424"/>
      <c r="RY150" s="424"/>
      <c r="RZ150" s="424"/>
      <c r="SA150" s="424"/>
      <c r="SB150" s="424"/>
      <c r="SC150" s="424"/>
      <c r="SD150" s="424"/>
      <c r="SE150" s="424"/>
      <c r="SF150" s="424"/>
      <c r="SG150" s="424"/>
      <c r="SH150" s="424"/>
      <c r="SI150" s="424"/>
      <c r="SJ150" s="424"/>
      <c r="SK150" s="424"/>
      <c r="SZ150" s="1374"/>
      <c r="TA150" s="1374"/>
      <c r="TB150" s="1381">
        <v>151151.41999999993</v>
      </c>
      <c r="TC150" s="1374">
        <v>5283472.82</v>
      </c>
      <c r="TD150" s="424"/>
      <c r="TE150" s="424"/>
      <c r="TF150" s="424"/>
      <c r="TG150" s="424"/>
      <c r="TH150" s="424"/>
      <c r="TI150" s="424"/>
      <c r="TJ150" s="424"/>
    </row>
    <row r="151" spans="2:530" x14ac:dyDescent="0.25">
      <c r="B151" s="99"/>
      <c r="C151" s="1388"/>
      <c r="D151" s="1392"/>
      <c r="E151" s="1392"/>
      <c r="F151" s="880"/>
      <c r="G151" s="641"/>
      <c r="H151" s="880"/>
      <c r="I151" s="641"/>
      <c r="J151" s="1052"/>
      <c r="K151" s="641"/>
      <c r="L151" s="641"/>
      <c r="M151" s="641"/>
      <c r="N151" s="1394"/>
      <c r="T151" s="679"/>
      <c r="U151" s="20"/>
      <c r="V151" s="63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1430"/>
      <c r="AH151" s="1430"/>
      <c r="AI151" s="1430"/>
      <c r="AJ151" s="143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NP151" s="88"/>
      <c r="OW151"/>
      <c r="OX151"/>
      <c r="OY151"/>
      <c r="OZ151" s="99"/>
      <c r="PA151" s="99"/>
      <c r="PB151" s="99"/>
      <c r="PC151" s="99"/>
      <c r="PD151" s="99"/>
      <c r="PE151" s="99"/>
      <c r="PF151" s="99"/>
      <c r="PG151" s="99"/>
      <c r="PH151" s="99"/>
      <c r="PI151" s="99"/>
      <c r="PJ151" s="99"/>
      <c r="PK151" s="99"/>
      <c r="PL151" s="99"/>
      <c r="PM151"/>
      <c r="PN151"/>
      <c r="PO151"/>
      <c r="PP151"/>
      <c r="QJ151" s="424"/>
      <c r="QK151" s="424"/>
      <c r="QL151" s="424"/>
      <c r="QM151" s="424"/>
      <c r="QN151" s="424"/>
      <c r="QO151" s="424"/>
      <c r="QP151" s="424"/>
      <c r="QQ151" s="424"/>
      <c r="QR151" s="424"/>
      <c r="QS151" s="424"/>
      <c r="QT151" s="424"/>
      <c r="QU151" s="424"/>
      <c r="QV151" s="424"/>
      <c r="QW151" s="424"/>
      <c r="QX151" s="424"/>
      <c r="QY151" s="424"/>
      <c r="QZ151" s="424"/>
      <c r="RA151" s="424"/>
      <c r="RT151" s="424"/>
      <c r="RU151" s="424"/>
      <c r="RV151" s="424"/>
      <c r="RW151" s="424"/>
      <c r="RX151" s="424"/>
      <c r="RY151" s="424"/>
      <c r="RZ151" s="424"/>
      <c r="SA151" s="424"/>
      <c r="SB151" s="424"/>
      <c r="SC151" s="424"/>
      <c r="SD151" s="424"/>
      <c r="SE151" s="424"/>
      <c r="SF151" s="424"/>
      <c r="SG151" s="424"/>
      <c r="SH151" s="424"/>
      <c r="SI151" s="424"/>
      <c r="SJ151" s="424"/>
      <c r="SK151" s="424"/>
      <c r="SZ151" s="1373"/>
      <c r="TA151" s="1373"/>
      <c r="TB151" s="1380">
        <v>110848.988666</v>
      </c>
      <c r="TC151" s="1373">
        <v>115120.156944</v>
      </c>
      <c r="TD151" s="424"/>
      <c r="TE151" s="424"/>
      <c r="TF151" s="424"/>
      <c r="TG151" s="424"/>
      <c r="TH151" s="424"/>
      <c r="TI151" s="424"/>
      <c r="TJ151" s="424"/>
    </row>
    <row r="152" spans="2:530" x14ac:dyDescent="0.25">
      <c r="B152" s="99"/>
      <c r="C152" s="1388"/>
      <c r="D152" s="1392"/>
      <c r="E152" s="1392"/>
      <c r="F152" s="880"/>
      <c r="G152" s="641"/>
      <c r="H152" s="880"/>
      <c r="I152" s="641"/>
      <c r="J152" s="1052"/>
      <c r="K152" s="641"/>
      <c r="L152" s="641"/>
      <c r="M152" s="641"/>
      <c r="N152" s="1394"/>
      <c r="T152" s="679"/>
      <c r="U152" s="690"/>
      <c r="V152" s="63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1430"/>
      <c r="AH152" s="1430"/>
      <c r="AI152" s="1430"/>
      <c r="AJ152" s="143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NP152" s="88"/>
      <c r="OW152"/>
      <c r="OX152"/>
      <c r="OY152"/>
      <c r="OZ152" s="99"/>
      <c r="PA152" s="99"/>
      <c r="PB152" s="99"/>
      <c r="PC152" s="99"/>
      <c r="PD152" s="99"/>
      <c r="PE152" s="99"/>
      <c r="PF152" s="99"/>
      <c r="PG152" s="99"/>
      <c r="PH152" s="99"/>
      <c r="PI152" s="99"/>
      <c r="PJ152" s="99"/>
      <c r="PK152" s="99"/>
      <c r="PL152" s="99"/>
      <c r="PM152"/>
      <c r="PN152"/>
      <c r="PO152"/>
      <c r="PP152"/>
      <c r="QJ152" s="424"/>
      <c r="QK152" s="424"/>
      <c r="QL152" s="424"/>
      <c r="QM152" s="424"/>
      <c r="QN152" s="424"/>
      <c r="QO152" s="424"/>
      <c r="QP152" s="424"/>
      <c r="QQ152" s="424"/>
      <c r="QR152" s="424"/>
      <c r="QS152" s="424"/>
      <c r="QT152" s="424"/>
      <c r="QU152" s="424"/>
      <c r="QV152" s="424"/>
      <c r="QW152" s="424"/>
      <c r="QX152" s="424"/>
      <c r="QY152" s="424"/>
      <c r="QZ152" s="424"/>
      <c r="RA152" s="424"/>
      <c r="RT152" s="424"/>
      <c r="RU152" s="424"/>
      <c r="RV152" s="424"/>
      <c r="RW152" s="424"/>
      <c r="RX152" s="424"/>
      <c r="RY152" s="424"/>
      <c r="RZ152" s="424"/>
      <c r="SA152" s="424"/>
      <c r="SB152" s="424"/>
      <c r="SC152" s="424"/>
      <c r="SD152" s="424"/>
      <c r="SE152" s="424"/>
      <c r="SF152" s="424"/>
      <c r="SG152" s="424"/>
      <c r="SH152" s="424"/>
      <c r="SI152" s="424"/>
      <c r="SJ152" s="424"/>
      <c r="SK152" s="424"/>
      <c r="SZ152" s="1373"/>
      <c r="TA152" s="1373"/>
      <c r="TB152" s="1380">
        <v>0</v>
      </c>
      <c r="TC152" s="1373">
        <v>0</v>
      </c>
      <c r="TD152" s="424"/>
      <c r="TE152" s="424"/>
      <c r="TF152" s="424"/>
      <c r="TG152" s="424"/>
      <c r="TH152" s="424"/>
      <c r="TI152" s="424"/>
      <c r="TJ152" s="424"/>
    </row>
    <row r="153" spans="2:530" x14ac:dyDescent="0.25">
      <c r="B153" s="99"/>
      <c r="C153" s="1388"/>
      <c r="D153" s="1392"/>
      <c r="E153" s="1392"/>
      <c r="F153" s="880"/>
      <c r="G153" s="641"/>
      <c r="H153" s="880"/>
      <c r="I153" s="641"/>
      <c r="J153" s="1052"/>
      <c r="K153" s="641"/>
      <c r="L153" s="641"/>
      <c r="M153" s="641"/>
      <c r="N153" s="1394"/>
      <c r="T153" s="679"/>
      <c r="U153" s="690"/>
      <c r="V153" s="63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1430"/>
      <c r="AH153" s="1430"/>
      <c r="AI153" s="1430"/>
      <c r="AJ153" s="143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NP153" s="88"/>
      <c r="OW153"/>
      <c r="OX153"/>
      <c r="OY153"/>
      <c r="OZ153" s="99"/>
      <c r="PA153" s="99"/>
      <c r="PB153" s="99"/>
      <c r="PC153" s="99"/>
      <c r="PD153" s="99"/>
      <c r="PE153" s="99"/>
      <c r="PF153" s="99"/>
      <c r="PG153" s="99"/>
      <c r="PH153" s="99"/>
      <c r="PI153" s="99"/>
      <c r="PJ153" s="99"/>
      <c r="PK153" s="99"/>
      <c r="PL153" s="99"/>
      <c r="PM153"/>
      <c r="PN153"/>
      <c r="PO153"/>
      <c r="PP153"/>
      <c r="QJ153" s="424"/>
      <c r="QK153" s="424"/>
      <c r="QL153" s="424"/>
      <c r="QM153" s="424"/>
      <c r="QN153" s="424"/>
      <c r="QO153" s="424"/>
      <c r="QP153" s="424"/>
      <c r="QQ153" s="424"/>
      <c r="QR153" s="424"/>
      <c r="QS153" s="424"/>
      <c r="QT153" s="424"/>
      <c r="QU153" s="424"/>
      <c r="QV153" s="424"/>
      <c r="QW153" s="424"/>
      <c r="QX153" s="424"/>
      <c r="QY153" s="424"/>
      <c r="QZ153" s="424"/>
      <c r="RA153" s="424"/>
      <c r="RT153" s="424"/>
      <c r="RU153" s="424"/>
      <c r="RV153" s="424"/>
      <c r="RW153" s="424"/>
      <c r="RX153" s="424"/>
      <c r="RY153" s="424"/>
      <c r="RZ153" s="424"/>
      <c r="SA153" s="424"/>
      <c r="SB153" s="424"/>
      <c r="SC153" s="424"/>
      <c r="SD153" s="424"/>
      <c r="SE153" s="424"/>
      <c r="SF153" s="424"/>
      <c r="SG153" s="424"/>
      <c r="SH153" s="424"/>
      <c r="SI153" s="424"/>
      <c r="SJ153" s="424"/>
      <c r="SK153" s="424"/>
      <c r="SZ153" s="1372"/>
      <c r="TA153" s="1372"/>
      <c r="TB153" s="1379">
        <v>1068637.026574</v>
      </c>
      <c r="TC153" s="1372">
        <v>1267470.985716</v>
      </c>
      <c r="TD153" s="424"/>
      <c r="TE153" s="424"/>
      <c r="TF153" s="424"/>
      <c r="TG153" s="424"/>
      <c r="TH153" s="424"/>
      <c r="TI153" s="424"/>
      <c r="TJ153" s="424"/>
    </row>
    <row r="154" spans="2:530" x14ac:dyDescent="0.25">
      <c r="B154" s="99"/>
      <c r="C154" s="1388"/>
      <c r="D154" s="1392"/>
      <c r="E154" s="1392"/>
      <c r="F154" s="880"/>
      <c r="G154" s="641"/>
      <c r="H154" s="880"/>
      <c r="I154" s="641"/>
      <c r="J154" s="1052"/>
      <c r="K154" s="641"/>
      <c r="L154" s="641"/>
      <c r="M154" s="641"/>
      <c r="N154" s="1394"/>
      <c r="T154" s="679"/>
      <c r="U154" s="20"/>
      <c r="V154" s="63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1430"/>
      <c r="AH154" s="1430"/>
      <c r="AI154" s="1430"/>
      <c r="AJ154" s="143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NP154" s="88"/>
      <c r="OW154"/>
      <c r="OX154"/>
      <c r="OY154"/>
      <c r="OZ154" s="99"/>
      <c r="PA154" s="99"/>
      <c r="PB154" s="99"/>
      <c r="PC154" s="99"/>
      <c r="PD154" s="99"/>
      <c r="PE154" s="99"/>
      <c r="PF154" s="99"/>
      <c r="PG154" s="99"/>
      <c r="PH154" s="99"/>
      <c r="PI154" s="99"/>
      <c r="PJ154" s="99"/>
      <c r="PK154" s="99"/>
      <c r="PL154" s="99"/>
      <c r="PM154"/>
      <c r="PN154"/>
      <c r="PO154"/>
      <c r="PP154"/>
      <c r="QJ154" s="424"/>
      <c r="QK154" s="424"/>
      <c r="QL154" s="424"/>
      <c r="QM154" s="424"/>
      <c r="QN154" s="424"/>
      <c r="QO154" s="424"/>
      <c r="QP154" s="424"/>
      <c r="QQ154" s="424"/>
      <c r="QR154" s="424"/>
      <c r="QS154" s="424"/>
      <c r="QT154" s="424"/>
      <c r="QU154" s="424"/>
      <c r="QV154" s="424"/>
      <c r="QW154" s="424"/>
      <c r="QX154" s="424"/>
      <c r="QY154" s="424"/>
      <c r="QZ154" s="424"/>
      <c r="RA154" s="424"/>
      <c r="RT154" s="424"/>
      <c r="RU154" s="424"/>
      <c r="RV154" s="424"/>
      <c r="RW154" s="424"/>
      <c r="RX154" s="424"/>
      <c r="RY154" s="424"/>
      <c r="RZ154" s="424"/>
      <c r="SA154" s="424"/>
      <c r="SB154" s="424"/>
      <c r="SC154" s="424"/>
      <c r="SD154" s="424"/>
      <c r="SE154" s="424"/>
      <c r="SF154" s="424"/>
      <c r="SG154" s="424"/>
      <c r="SH154" s="424"/>
      <c r="SI154" s="424"/>
      <c r="SJ154" s="424"/>
      <c r="SK154" s="424"/>
      <c r="SZ154" s="1373"/>
      <c r="TA154" s="1373"/>
      <c r="TB154" s="1373">
        <v>1330637.43524</v>
      </c>
      <c r="TC154" s="1373">
        <v>6666063.9626600007</v>
      </c>
      <c r="TD154" s="424"/>
      <c r="TE154" s="424"/>
      <c r="TF154" s="424"/>
      <c r="TG154" s="424"/>
      <c r="TH154" s="424"/>
      <c r="TI154" s="424"/>
      <c r="TJ154" s="424"/>
    </row>
    <row r="155" spans="2:530" x14ac:dyDescent="0.25">
      <c r="B155" s="99"/>
      <c r="C155" s="917"/>
      <c r="D155" s="1392"/>
      <c r="E155" s="1392"/>
      <c r="F155" s="880"/>
      <c r="G155" s="641"/>
      <c r="H155" s="880"/>
      <c r="I155" s="641"/>
      <c r="J155" s="1052"/>
      <c r="K155" s="641"/>
      <c r="L155" s="1393"/>
      <c r="M155" s="641"/>
      <c r="N155" s="1394"/>
      <c r="T155" s="679"/>
      <c r="U155" s="690"/>
      <c r="V155" s="63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1430"/>
      <c r="AH155" s="1430"/>
      <c r="AI155" s="1430"/>
      <c r="AJ155" s="143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NP155" s="88"/>
      <c r="OW155"/>
      <c r="OX155"/>
      <c r="OY155"/>
      <c r="OZ155" s="99"/>
      <c r="PA155" s="99"/>
      <c r="PB155" s="99"/>
      <c r="PC155" s="99"/>
      <c r="PD155" s="99"/>
      <c r="PE155" s="99"/>
      <c r="PF155" s="99"/>
      <c r="PG155" s="99"/>
      <c r="PH155" s="99"/>
      <c r="PI155" s="99"/>
      <c r="PJ155" s="99"/>
      <c r="PK155" s="99"/>
      <c r="PL155" s="99"/>
      <c r="PM155"/>
      <c r="PN155"/>
      <c r="PO155"/>
      <c r="PP155"/>
      <c r="QJ155" s="424"/>
      <c r="QK155" s="424"/>
      <c r="QL155" s="424"/>
      <c r="QM155" s="424"/>
      <c r="QN155" s="424"/>
      <c r="QO155" s="424"/>
      <c r="QP155" s="424"/>
      <c r="QQ155" s="424"/>
      <c r="QR155" s="424"/>
      <c r="QS155" s="424"/>
      <c r="QT155" s="424"/>
      <c r="QU155" s="424"/>
      <c r="QV155" s="424"/>
      <c r="QW155" s="424"/>
      <c r="QX155" s="424"/>
      <c r="QY155" s="424"/>
      <c r="QZ155" s="424"/>
      <c r="RA155" s="424"/>
      <c r="RT155" s="424"/>
      <c r="RU155" s="424"/>
      <c r="RV155" s="424"/>
      <c r="RW155" s="424"/>
      <c r="RX155" s="424"/>
      <c r="RY155" s="424"/>
      <c r="RZ155" s="424"/>
      <c r="SA155" s="424"/>
      <c r="SB155" s="424"/>
      <c r="SC155" s="424"/>
      <c r="SD155" s="424"/>
      <c r="SE155" s="424"/>
      <c r="SF155" s="424"/>
      <c r="SG155" s="424"/>
      <c r="SH155" s="424"/>
      <c r="SI155" s="424"/>
      <c r="SJ155" s="424"/>
      <c r="SK155" s="424"/>
      <c r="SZ155" s="1373"/>
      <c r="TA155" s="1373"/>
      <c r="TB155" s="1373"/>
      <c r="TC155" s="1373"/>
      <c r="TD155" s="424"/>
      <c r="TE155" s="424"/>
      <c r="TF155" s="424"/>
      <c r="TG155" s="424"/>
      <c r="TH155" s="424"/>
      <c r="TI155" s="424"/>
      <c r="TJ155" s="424"/>
    </row>
    <row r="156" spans="2:530" x14ac:dyDescent="0.25">
      <c r="B156" s="99"/>
      <c r="C156" s="917"/>
      <c r="D156" s="1392"/>
      <c r="E156" s="1392"/>
      <c r="F156" s="1396"/>
      <c r="G156" s="1397"/>
      <c r="H156" s="1396"/>
      <c r="I156" s="641"/>
      <c r="J156" s="1052"/>
      <c r="K156" s="641"/>
      <c r="L156" s="1395"/>
      <c r="M156" s="641"/>
      <c r="N156" s="1394"/>
      <c r="T156" s="679"/>
      <c r="U156" s="20"/>
      <c r="V156" s="63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1430"/>
      <c r="AH156" s="1430"/>
      <c r="AI156" s="1430"/>
      <c r="AJ156" s="1430"/>
      <c r="NP156" s="88"/>
      <c r="OW156"/>
      <c r="OX156"/>
      <c r="OY156"/>
      <c r="OZ156" s="99"/>
      <c r="PA156" s="99"/>
      <c r="PB156" s="99"/>
      <c r="PC156" s="99"/>
      <c r="PD156" s="99"/>
      <c r="PE156" s="99"/>
      <c r="PF156" s="99"/>
      <c r="PG156" s="99"/>
      <c r="PH156" s="99"/>
      <c r="PI156" s="99"/>
      <c r="PJ156" s="99"/>
      <c r="PK156" s="99"/>
      <c r="PL156" s="99"/>
      <c r="PM156"/>
      <c r="PN156"/>
      <c r="PO156"/>
      <c r="PP156"/>
      <c r="QJ156" s="424"/>
      <c r="QK156" s="424"/>
      <c r="QL156" s="424"/>
      <c r="QM156" s="424"/>
      <c r="QN156" s="424"/>
      <c r="QO156" s="424"/>
      <c r="QP156" s="424"/>
      <c r="QQ156" s="424"/>
      <c r="QR156" s="424"/>
      <c r="QS156" s="424"/>
      <c r="QT156" s="424"/>
      <c r="QU156" s="424"/>
      <c r="QV156" s="424"/>
      <c r="QW156" s="424"/>
      <c r="QX156" s="424"/>
      <c r="QY156" s="424"/>
      <c r="QZ156" s="424"/>
      <c r="RA156" s="424"/>
      <c r="RT156" s="424"/>
      <c r="RU156" s="424"/>
      <c r="RV156" s="424"/>
      <c r="RW156" s="424"/>
      <c r="RX156" s="424"/>
      <c r="RY156" s="424"/>
      <c r="RZ156" s="424"/>
      <c r="SA156" s="424"/>
      <c r="SB156" s="424"/>
      <c r="SC156" s="424"/>
      <c r="SD156" s="424"/>
      <c r="SE156" s="424"/>
      <c r="SF156" s="424"/>
      <c r="SG156" s="424"/>
      <c r="SH156" s="424"/>
      <c r="SI156" s="424"/>
      <c r="SJ156" s="424"/>
      <c r="SK156" s="424"/>
      <c r="SZ156" s="1373"/>
      <c r="TA156" s="1373"/>
      <c r="TB156" s="1373">
        <v>1330637.43524</v>
      </c>
      <c r="TC156" s="1373">
        <v>6666063.9626600007</v>
      </c>
      <c r="TD156" s="424"/>
      <c r="TE156" s="424"/>
      <c r="TF156" s="424"/>
      <c r="TG156" s="424"/>
      <c r="TH156" s="424"/>
      <c r="TI156" s="424"/>
      <c r="TJ156" s="424"/>
    </row>
    <row r="157" spans="2:530" x14ac:dyDescent="0.25">
      <c r="B157" s="20"/>
      <c r="C157" s="20"/>
      <c r="D157" s="72"/>
      <c r="E157" s="72"/>
      <c r="F157" s="72"/>
      <c r="G157" s="72"/>
      <c r="H157" s="880"/>
      <c r="I157" s="1024"/>
      <c r="J157" s="1052"/>
      <c r="K157" s="1024"/>
      <c r="L157" s="1393"/>
      <c r="M157" s="1024"/>
      <c r="N157" s="547"/>
      <c r="T157" s="679"/>
      <c r="U157" s="690"/>
      <c r="V157" s="63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1430"/>
      <c r="AH157" s="1430"/>
      <c r="AI157" s="1430"/>
      <c r="AJ157" s="1430"/>
      <c r="NP157" s="88"/>
      <c r="OW157"/>
      <c r="OX157"/>
      <c r="OY157"/>
      <c r="OZ157" s="99"/>
      <c r="PA157" s="99"/>
      <c r="PB157" s="99"/>
      <c r="PC157" s="99"/>
      <c r="PD157" s="99"/>
      <c r="PE157" s="99"/>
      <c r="PF157" s="99"/>
      <c r="PG157" s="99"/>
      <c r="PH157" s="99"/>
      <c r="PI157" s="99"/>
      <c r="PJ157" s="99"/>
      <c r="PK157" s="99"/>
      <c r="PL157" s="99"/>
      <c r="PM157"/>
      <c r="PN157"/>
      <c r="PO157"/>
      <c r="PP157"/>
      <c r="QJ157" s="424"/>
      <c r="QK157" s="424"/>
      <c r="QL157" s="424"/>
      <c r="QM157" s="424"/>
      <c r="QN157" s="424"/>
      <c r="QO157" s="424"/>
      <c r="QP157" s="424"/>
      <c r="QQ157" s="424"/>
      <c r="QR157" s="424"/>
      <c r="QS157" s="424"/>
      <c r="QT157" s="424"/>
      <c r="QU157" s="424"/>
      <c r="QV157" s="424"/>
      <c r="QW157" s="424"/>
      <c r="QX157" s="424"/>
      <c r="QY157" s="424"/>
      <c r="QZ157" s="424"/>
      <c r="RA157" s="424"/>
      <c r="RT157" s="424"/>
      <c r="RU157" s="424"/>
      <c r="RV157" s="424"/>
      <c r="RW157" s="424"/>
      <c r="RX157" s="424"/>
      <c r="RY157" s="424"/>
      <c r="RZ157" s="424"/>
      <c r="SA157" s="424"/>
      <c r="SB157" s="424"/>
      <c r="SC157" s="424"/>
      <c r="SD157" s="424"/>
      <c r="SE157" s="424"/>
      <c r="SF157" s="424"/>
      <c r="SG157" s="424"/>
      <c r="SH157" s="424"/>
      <c r="SI157" s="424"/>
      <c r="SJ157" s="424"/>
      <c r="SK157" s="424"/>
      <c r="SZ157" s="1378"/>
      <c r="TA157" s="1378"/>
      <c r="TB157" s="1378"/>
      <c r="TC157" s="1378"/>
      <c r="TD157" s="424"/>
      <c r="TE157" s="424"/>
      <c r="TF157" s="424"/>
      <c r="TG157" s="424"/>
      <c r="TH157" s="424"/>
      <c r="TI157" s="424"/>
      <c r="TJ157" s="424"/>
    </row>
    <row r="158" spans="2:530" x14ac:dyDescent="0.25">
      <c r="B158" s="1158"/>
      <c r="C158" s="547"/>
      <c r="D158" s="619"/>
      <c r="E158" s="1196"/>
      <c r="F158" s="619"/>
      <c r="G158" s="1196"/>
      <c r="H158" s="619"/>
      <c r="I158" s="1196"/>
      <c r="J158" s="619"/>
      <c r="K158" s="1196"/>
      <c r="L158" s="619"/>
      <c r="M158" s="1196"/>
      <c r="N158" s="619"/>
      <c r="T158" s="679"/>
      <c r="U158" s="20"/>
      <c r="V158" s="63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1430"/>
      <c r="AH158" s="1430"/>
      <c r="AI158" s="1430"/>
      <c r="AJ158" s="1430"/>
      <c r="NP158" s="88"/>
      <c r="OW158"/>
      <c r="OX158"/>
      <c r="OY158"/>
      <c r="OZ158" s="99"/>
      <c r="PA158" s="99"/>
      <c r="PB158" s="99"/>
      <c r="PC158" s="99"/>
      <c r="PD158" s="99"/>
      <c r="PE158" s="99"/>
      <c r="PF158" s="99"/>
      <c r="PG158" s="99"/>
      <c r="PH158" s="99"/>
      <c r="PI158" s="99"/>
      <c r="PJ158" s="99"/>
      <c r="PK158" s="99"/>
      <c r="PL158" s="99"/>
      <c r="PM158"/>
      <c r="PN158"/>
      <c r="PO158"/>
      <c r="PP158"/>
      <c r="QJ158" s="424"/>
      <c r="QK158" s="424"/>
      <c r="QL158" s="424"/>
      <c r="QM158" s="424"/>
      <c r="QN158" s="424"/>
      <c r="QO158" s="424"/>
      <c r="QP158" s="424"/>
      <c r="QQ158" s="424"/>
      <c r="QR158" s="424"/>
      <c r="QS158" s="424"/>
      <c r="QT158" s="424"/>
      <c r="QU158" s="424"/>
      <c r="QV158" s="424"/>
      <c r="QW158" s="424"/>
      <c r="QX158" s="424"/>
      <c r="QY158" s="424"/>
      <c r="QZ158" s="424"/>
      <c r="RA158" s="424"/>
      <c r="RT158" s="424"/>
      <c r="RU158" s="424"/>
      <c r="RV158" s="424"/>
      <c r="RW158" s="424"/>
      <c r="RX158" s="424"/>
      <c r="RY158" s="424"/>
      <c r="RZ158" s="424"/>
      <c r="SA158" s="424"/>
      <c r="SB158" s="424"/>
      <c r="SC158" s="424"/>
      <c r="SD158" s="424"/>
      <c r="SE158" s="424"/>
      <c r="SF158" s="424"/>
      <c r="SG158" s="424"/>
      <c r="SH158" s="424"/>
      <c r="SI158" s="424"/>
      <c r="SJ158" s="424"/>
      <c r="SK158" s="424"/>
      <c r="SZ158" s="1372"/>
      <c r="TA158" s="1372"/>
      <c r="TB158" s="1372">
        <v>-279433.8614004</v>
      </c>
      <c r="TC158" s="1372">
        <v>-1399873.4321586001</v>
      </c>
      <c r="TD158" s="424"/>
      <c r="TE158" s="424"/>
      <c r="TF158" s="424"/>
      <c r="TG158" s="424"/>
      <c r="TH158" s="424"/>
      <c r="TI158" s="424"/>
      <c r="TJ158" s="424"/>
    </row>
    <row r="159" spans="2:530" x14ac:dyDescent="0.25">
      <c r="B159" s="1158"/>
      <c r="C159" s="547"/>
      <c r="D159" s="619"/>
      <c r="E159" s="619"/>
      <c r="F159" s="619"/>
      <c r="G159" s="619"/>
      <c r="H159" s="619"/>
      <c r="I159" s="619"/>
      <c r="J159" s="20"/>
      <c r="K159" s="619"/>
      <c r="L159" s="924"/>
      <c r="M159" s="619"/>
      <c r="N159" s="619"/>
      <c r="T159" s="679"/>
      <c r="U159" s="690"/>
      <c r="V159" s="63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1429"/>
      <c r="AH159" s="1429"/>
      <c r="AI159" s="1429"/>
      <c r="AJ159" s="1429"/>
      <c r="NP159" s="88"/>
      <c r="OW159"/>
      <c r="OX159"/>
      <c r="OY159"/>
      <c r="OZ159" s="99"/>
      <c r="PA159" s="99"/>
      <c r="PB159" s="99"/>
      <c r="PC159" s="99"/>
      <c r="PD159" s="99"/>
      <c r="PE159" s="99"/>
      <c r="PF159" s="99"/>
      <c r="PG159" s="99"/>
      <c r="PH159" s="99"/>
      <c r="PI159" s="99"/>
      <c r="PJ159" s="99"/>
      <c r="PK159" s="99"/>
      <c r="PL159" s="99"/>
      <c r="PM159"/>
      <c r="PN159"/>
      <c r="PO159"/>
      <c r="PP159"/>
      <c r="QJ159" s="424"/>
      <c r="QK159" s="424"/>
      <c r="QL159" s="424"/>
      <c r="QM159" s="424"/>
      <c r="QN159" s="424"/>
      <c r="QO159" s="424"/>
      <c r="QP159" s="424"/>
      <c r="QQ159" s="424"/>
      <c r="QR159" s="424"/>
      <c r="QS159" s="424"/>
      <c r="QT159" s="424"/>
      <c r="QU159" s="424"/>
      <c r="QV159" s="424"/>
      <c r="QW159" s="424"/>
      <c r="QX159" s="424"/>
      <c r="QY159" s="424"/>
      <c r="QZ159" s="424"/>
      <c r="RA159" s="424"/>
      <c r="RT159" s="424"/>
      <c r="RU159" s="424"/>
      <c r="RV159" s="424"/>
      <c r="RW159" s="424"/>
      <c r="RX159" s="424"/>
      <c r="RY159" s="424"/>
      <c r="RZ159" s="424"/>
      <c r="SA159" s="424"/>
      <c r="SB159" s="424"/>
      <c r="SC159" s="424"/>
      <c r="SD159" s="424"/>
      <c r="SE159" s="424"/>
      <c r="SF159" s="424"/>
      <c r="SG159" s="424"/>
      <c r="SH159" s="424"/>
      <c r="SI159" s="424"/>
      <c r="SJ159" s="424"/>
      <c r="SK159" s="424"/>
      <c r="SZ159" s="1377"/>
      <c r="TA159" s="1377"/>
      <c r="TB159" s="1377"/>
      <c r="TC159" s="1377"/>
      <c r="TD159" s="424"/>
      <c r="TE159" s="424"/>
      <c r="TF159" s="424"/>
      <c r="TG159" s="424"/>
      <c r="TH159" s="424"/>
      <c r="TI159" s="424"/>
      <c r="TJ159" s="424"/>
    </row>
    <row r="160" spans="2:530" ht="15.75" thickBot="1" x14ac:dyDescent="0.3">
      <c r="B160" s="1390"/>
      <c r="C160" s="20"/>
      <c r="D160" s="619"/>
      <c r="E160" s="641"/>
      <c r="F160" s="641"/>
      <c r="G160" s="641"/>
      <c r="H160" s="1024"/>
      <c r="I160" s="619"/>
      <c r="J160" s="984"/>
      <c r="K160" s="619"/>
      <c r="L160" s="924"/>
      <c r="M160" s="619"/>
      <c r="N160" s="619"/>
      <c r="T160" s="679"/>
      <c r="U160" s="690"/>
      <c r="V160" s="63"/>
      <c r="W160" s="20"/>
      <c r="X160" s="42"/>
      <c r="Y160" s="42"/>
      <c r="Z160" s="42"/>
      <c r="AA160" s="42"/>
      <c r="AB160" s="42"/>
      <c r="AC160" s="42"/>
      <c r="AD160" s="42"/>
      <c r="AE160" s="42"/>
      <c r="AF160" s="42"/>
      <c r="AG160" s="1428"/>
      <c r="AH160" s="1428"/>
      <c r="AI160" s="1428"/>
      <c r="AJ160" s="1428"/>
      <c r="NP160" s="88"/>
      <c r="OW160"/>
      <c r="OX160"/>
      <c r="OY160"/>
      <c r="OZ160" s="99"/>
      <c r="PA160" s="99"/>
      <c r="PB160" s="99"/>
      <c r="PC160" s="99"/>
      <c r="PD160" s="99"/>
      <c r="PE160" s="99"/>
      <c r="PF160" s="99"/>
      <c r="PG160" s="99"/>
      <c r="PH160" s="99"/>
      <c r="PI160" s="99"/>
      <c r="PJ160" s="99"/>
      <c r="PK160" s="99"/>
      <c r="PL160" s="99"/>
      <c r="PM160"/>
      <c r="PN160"/>
      <c r="PO160"/>
      <c r="PP160"/>
      <c r="QJ160" s="424"/>
      <c r="QK160" s="424"/>
      <c r="QL160" s="424"/>
      <c r="QM160" s="424"/>
      <c r="QN160" s="424"/>
      <c r="QO160" s="424"/>
      <c r="QP160" s="424"/>
      <c r="QQ160" s="424"/>
      <c r="QR160" s="424"/>
      <c r="QS160" s="424"/>
      <c r="QT160" s="424"/>
      <c r="QU160" s="424"/>
      <c r="QV160" s="424"/>
      <c r="QW160" s="424"/>
      <c r="QX160" s="424"/>
      <c r="QY160" s="424"/>
      <c r="QZ160" s="424"/>
      <c r="RA160" s="424"/>
      <c r="RT160" s="424"/>
      <c r="RU160" s="424"/>
      <c r="RV160" s="424"/>
      <c r="RW160" s="424"/>
      <c r="RX160" s="424"/>
      <c r="RY160" s="424"/>
      <c r="RZ160" s="424"/>
      <c r="SA160" s="424"/>
      <c r="SB160" s="424"/>
      <c r="SC160" s="424"/>
      <c r="SD160" s="424"/>
      <c r="SE160" s="424"/>
      <c r="SF160" s="424"/>
      <c r="SG160" s="424"/>
      <c r="SH160" s="424"/>
      <c r="SI160" s="424"/>
      <c r="SJ160" s="424"/>
      <c r="SK160" s="424"/>
      <c r="SZ160" s="1376"/>
      <c r="TA160" s="1376"/>
      <c r="TB160" s="1376">
        <v>-1051203.5738396</v>
      </c>
      <c r="TC160" s="1376">
        <v>-5266190.5305014011</v>
      </c>
      <c r="TD160" s="424"/>
      <c r="TE160" s="424"/>
      <c r="TF160" s="424"/>
      <c r="TG160" s="424"/>
      <c r="TH160" s="424"/>
      <c r="TI160" s="424"/>
      <c r="TJ160" s="424"/>
    </row>
    <row r="161" spans="2:530" ht="15.75" thickTop="1" x14ac:dyDescent="0.25">
      <c r="B161" s="1382"/>
      <c r="C161" s="547"/>
      <c r="D161" s="560"/>
      <c r="E161" s="980"/>
      <c r="F161" s="880"/>
      <c r="G161" s="980"/>
      <c r="H161" s="880"/>
      <c r="I161" s="619"/>
      <c r="J161" s="984"/>
      <c r="K161" s="619"/>
      <c r="L161" s="924"/>
      <c r="M161" s="619"/>
      <c r="N161" s="619"/>
      <c r="T161" s="679"/>
      <c r="U161" s="690"/>
      <c r="V161" s="63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1411"/>
      <c r="AH161" s="1411"/>
      <c r="AI161" s="1411"/>
      <c r="AJ161" s="1411"/>
      <c r="OW161"/>
      <c r="OX161"/>
      <c r="OY161"/>
      <c r="OZ161" s="99"/>
      <c r="PA161" s="99"/>
      <c r="PB161" s="99"/>
      <c r="PC161" s="99"/>
      <c r="PD161" s="99"/>
      <c r="PE161" s="99"/>
      <c r="PF161" s="99"/>
      <c r="PG161" s="99"/>
      <c r="PH161" s="99"/>
      <c r="PI161" s="99"/>
      <c r="PJ161" s="99"/>
      <c r="PK161" s="99"/>
      <c r="PL161" s="99"/>
      <c r="PM161"/>
      <c r="PN161"/>
      <c r="PO161"/>
      <c r="PP161"/>
      <c r="QJ161" s="424"/>
      <c r="QK161" s="424"/>
      <c r="QL161" s="424"/>
      <c r="QM161" s="424"/>
      <c r="QN161" s="424"/>
      <c r="QO161" s="424"/>
      <c r="QP161" s="424"/>
      <c r="QQ161" s="424"/>
      <c r="QR161" s="424"/>
      <c r="QS161" s="424"/>
      <c r="QT161" s="424"/>
      <c r="QU161" s="424"/>
      <c r="QV161" s="424"/>
      <c r="QW161" s="424"/>
      <c r="QX161" s="424"/>
      <c r="QY161" s="424"/>
      <c r="QZ161" s="424"/>
      <c r="RA161" s="424"/>
      <c r="RT161" s="424"/>
      <c r="RU161" s="424"/>
      <c r="RV161" s="424"/>
      <c r="RW161" s="424"/>
      <c r="RX161" s="424"/>
      <c r="RY161" s="424"/>
      <c r="RZ161" s="424"/>
      <c r="SA161" s="424"/>
      <c r="SB161" s="424"/>
      <c r="SC161" s="424"/>
      <c r="SD161" s="424"/>
      <c r="SE161" s="424"/>
      <c r="SF161" s="424"/>
      <c r="SG161" s="424"/>
      <c r="SH161" s="424"/>
      <c r="SI161" s="424"/>
      <c r="SJ161" s="424"/>
      <c r="SK161" s="424"/>
      <c r="SZ161" s="1375"/>
      <c r="TA161" s="1375"/>
      <c r="TB161" s="1375"/>
      <c r="TC161" s="1375"/>
      <c r="TD161" s="424"/>
      <c r="TE161" s="424"/>
      <c r="TF161" s="424"/>
      <c r="TG161" s="424"/>
      <c r="TH161" s="424"/>
      <c r="TI161" s="424"/>
      <c r="TJ161" s="424"/>
    </row>
    <row r="162" spans="2:530" x14ac:dyDescent="0.25">
      <c r="B162" s="99"/>
      <c r="C162" s="1388"/>
      <c r="D162" s="560"/>
      <c r="E162" s="1392"/>
      <c r="F162" s="1162"/>
      <c r="G162" s="647"/>
      <c r="H162" s="880"/>
      <c r="I162" s="619"/>
      <c r="J162" s="984"/>
      <c r="K162" s="619"/>
      <c r="L162" s="924"/>
      <c r="M162" s="619"/>
      <c r="N162" s="619"/>
      <c r="T162" s="41"/>
      <c r="U162" s="690"/>
      <c r="V162" s="63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1411"/>
      <c r="AH162" s="1411"/>
      <c r="AI162" s="1411"/>
      <c r="AJ162" s="1411"/>
      <c r="OW162"/>
      <c r="OX162"/>
      <c r="OY162"/>
      <c r="OZ162" s="99"/>
      <c r="PA162" s="99"/>
      <c r="PB162" s="99"/>
      <c r="PC162" s="99"/>
      <c r="PD162" s="99"/>
      <c r="PE162" s="99"/>
      <c r="PF162" s="99"/>
      <c r="PG162" s="99"/>
      <c r="PH162" s="99"/>
      <c r="PI162" s="99"/>
      <c r="PJ162" s="99"/>
      <c r="PK162" s="99"/>
      <c r="PL162" s="99"/>
      <c r="PM162"/>
      <c r="PN162"/>
      <c r="PO162"/>
      <c r="PP162"/>
      <c r="QJ162" s="424"/>
      <c r="QK162" s="424"/>
      <c r="QL162" s="424"/>
      <c r="QM162" s="424"/>
      <c r="QN162" s="424"/>
      <c r="QO162" s="424"/>
      <c r="QP162" s="424"/>
      <c r="QQ162" s="424"/>
      <c r="QR162" s="424"/>
      <c r="QS162" s="424"/>
      <c r="QT162" s="424"/>
      <c r="QU162" s="424"/>
      <c r="QV162" s="424"/>
      <c r="QW162" s="424"/>
      <c r="QX162" s="424"/>
      <c r="QY162" s="424"/>
      <c r="QZ162" s="424"/>
      <c r="RA162" s="424"/>
      <c r="RT162" s="424"/>
      <c r="RU162" s="424"/>
      <c r="RV162" s="424"/>
      <c r="RW162" s="424"/>
      <c r="RX162" s="424"/>
      <c r="RY162" s="424"/>
      <c r="RZ162" s="424"/>
      <c r="SA162" s="424"/>
      <c r="SB162" s="424"/>
      <c r="SC162" s="424"/>
      <c r="SD162" s="424"/>
      <c r="SE162" s="424"/>
      <c r="SF162" s="424"/>
      <c r="SG162" s="424"/>
      <c r="SH162" s="424"/>
      <c r="SI162" s="424"/>
      <c r="SJ162" s="424"/>
      <c r="SK162" s="424"/>
      <c r="SZ162" s="1374"/>
      <c r="TA162" s="1374"/>
      <c r="TB162" s="1374">
        <v>17586544.043998033</v>
      </c>
      <c r="TC162" s="1374">
        <v>260314630.7942</v>
      </c>
      <c r="TD162" s="424"/>
      <c r="TE162" s="424"/>
      <c r="TF162" s="424"/>
      <c r="TG162" s="424"/>
      <c r="TH162" s="424"/>
      <c r="TI162" s="424"/>
      <c r="TJ162" s="424"/>
    </row>
    <row r="163" spans="2:530" x14ac:dyDescent="0.25">
      <c r="B163" s="99"/>
      <c r="C163" s="547"/>
      <c r="D163" s="1387"/>
      <c r="E163" s="1392"/>
      <c r="F163" s="1162"/>
      <c r="G163" s="647"/>
      <c r="H163" s="880"/>
      <c r="I163" s="619"/>
      <c r="J163" s="984"/>
      <c r="K163" s="619"/>
      <c r="L163" s="924"/>
      <c r="M163" s="619"/>
      <c r="N163" s="619"/>
      <c r="T163" s="1183"/>
      <c r="U163" s="679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1421"/>
      <c r="AH163" s="1421"/>
      <c r="AI163" s="1421"/>
      <c r="AJ163" s="1421"/>
      <c r="OW163"/>
      <c r="OX163"/>
      <c r="OY163"/>
      <c r="OZ163" s="99"/>
      <c r="PA163" s="99"/>
      <c r="PB163" s="99"/>
      <c r="PC163" s="99"/>
      <c r="PD163" s="99"/>
      <c r="PE163" s="99"/>
      <c r="PF163" s="99"/>
      <c r="PG163" s="99"/>
      <c r="PH163" s="99"/>
      <c r="PI163" s="99"/>
      <c r="PJ163" s="99"/>
      <c r="PK163" s="99"/>
      <c r="PL163" s="99"/>
      <c r="PM163"/>
      <c r="PN163"/>
      <c r="PO163"/>
      <c r="PP163"/>
      <c r="QJ163" s="424"/>
      <c r="QK163" s="424"/>
      <c r="QL163" s="424"/>
      <c r="QM163" s="424"/>
      <c r="QN163" s="424"/>
      <c r="QO163" s="424"/>
      <c r="QP163" s="424"/>
      <c r="QQ163" s="424"/>
      <c r="QR163" s="424"/>
      <c r="QS163" s="424"/>
      <c r="QT163" s="424"/>
      <c r="QU163" s="424"/>
      <c r="QV163" s="424"/>
      <c r="QW163" s="424"/>
      <c r="QX163" s="424"/>
      <c r="QY163" s="424"/>
      <c r="QZ163" s="424"/>
      <c r="RA163" s="424"/>
      <c r="RT163" s="424"/>
      <c r="RU163" s="424"/>
      <c r="RV163" s="424"/>
      <c r="RW163" s="424"/>
      <c r="RX163" s="424"/>
      <c r="RY163" s="424"/>
      <c r="RZ163" s="424"/>
      <c r="SA163" s="424"/>
      <c r="SB163" s="424"/>
      <c r="SC163" s="424"/>
      <c r="SD163" s="424"/>
      <c r="SE163" s="424"/>
      <c r="SF163" s="424"/>
      <c r="SG163" s="424"/>
      <c r="SH163" s="424"/>
      <c r="SI163" s="424"/>
      <c r="SJ163" s="424"/>
      <c r="SK163" s="424"/>
      <c r="SZ163" s="1373"/>
      <c r="TA163" s="1373"/>
      <c r="TB163" s="1373">
        <v>-5940519.9441640023</v>
      </c>
      <c r="TC163" s="1373">
        <v>-19518505.906612001</v>
      </c>
      <c r="TD163" s="424"/>
      <c r="TE163" s="424"/>
      <c r="TF163" s="424"/>
      <c r="TG163" s="424"/>
      <c r="TH163" s="424"/>
      <c r="TI163" s="424"/>
      <c r="TJ163" s="424"/>
    </row>
    <row r="164" spans="2:530" x14ac:dyDescent="0.25">
      <c r="B164" s="99"/>
      <c r="C164" s="547"/>
      <c r="D164" s="1387"/>
      <c r="E164" s="1392"/>
      <c r="F164" s="1162"/>
      <c r="G164" s="647"/>
      <c r="H164" s="880"/>
      <c r="I164" s="619"/>
      <c r="J164" s="984"/>
      <c r="K164" s="619"/>
      <c r="L164" s="924"/>
      <c r="M164" s="619"/>
      <c r="N164" s="619"/>
      <c r="T164" s="1183"/>
      <c r="U164" s="679"/>
      <c r="V164" s="63"/>
      <c r="W164" s="42"/>
      <c r="X164" s="20"/>
      <c r="Y164" s="20"/>
      <c r="Z164" s="20"/>
      <c r="AA164" s="20"/>
      <c r="AB164" s="20"/>
      <c r="AC164" s="20"/>
      <c r="AD164" s="20"/>
      <c r="AE164" s="20"/>
      <c r="AF164" s="20"/>
      <c r="AG164" s="1421"/>
      <c r="AH164" s="1421"/>
      <c r="AI164" s="1421"/>
      <c r="AJ164" s="1421"/>
      <c r="OW164"/>
      <c r="OX164"/>
      <c r="OY164"/>
      <c r="OZ164" s="99"/>
      <c r="PA164" s="99"/>
      <c r="PB164" s="99"/>
      <c r="PC164" s="99"/>
      <c r="PD164" s="99"/>
      <c r="PE164" s="99"/>
      <c r="PF164" s="99"/>
      <c r="PG164" s="99"/>
      <c r="PH164" s="99"/>
      <c r="PI164" s="99"/>
      <c r="PJ164" s="99"/>
      <c r="PK164" s="99"/>
      <c r="PL164" s="99"/>
      <c r="PM164"/>
      <c r="PN164"/>
      <c r="PO164"/>
      <c r="PP164"/>
      <c r="QJ164" s="424"/>
      <c r="QK164" s="424"/>
      <c r="QL164" s="424"/>
      <c r="QM164" s="424"/>
      <c r="QN164" s="424"/>
      <c r="QO164" s="424"/>
      <c r="QP164" s="424"/>
      <c r="QQ164" s="424"/>
      <c r="QR164" s="424"/>
      <c r="QS164" s="424"/>
      <c r="QT164" s="424"/>
      <c r="QU164" s="424"/>
      <c r="QV164" s="424"/>
      <c r="QW164" s="424"/>
      <c r="QX164" s="424"/>
      <c r="QY164" s="424"/>
      <c r="QZ164" s="424"/>
      <c r="RA164" s="424"/>
      <c r="RT164" s="424"/>
      <c r="RU164" s="424"/>
      <c r="RV164" s="424"/>
      <c r="RW164" s="424"/>
      <c r="RX164" s="424"/>
      <c r="RY164" s="424"/>
      <c r="RZ164" s="424"/>
      <c r="SA164" s="424"/>
      <c r="SB164" s="424"/>
      <c r="SC164" s="424"/>
      <c r="SD164" s="424"/>
      <c r="SE164" s="424"/>
      <c r="SF164" s="424"/>
      <c r="SG164" s="424"/>
      <c r="SH164" s="424"/>
      <c r="SI164" s="424"/>
      <c r="SJ164" s="424"/>
      <c r="SK164" s="424"/>
      <c r="SZ164" s="1372"/>
      <c r="TA164" s="1372"/>
      <c r="TB164" s="1372">
        <v>-526164.26697800006</v>
      </c>
      <c r="TC164" s="1372">
        <v>-304664.20316800004</v>
      </c>
      <c r="TD164" s="424"/>
      <c r="TE164" s="424"/>
      <c r="TF164" s="424"/>
      <c r="TG164" s="424"/>
      <c r="TH164" s="424"/>
      <c r="TI164" s="424"/>
      <c r="TJ164" s="424"/>
    </row>
    <row r="165" spans="2:530" ht="15.75" thickBot="1" x14ac:dyDescent="0.3">
      <c r="B165" s="99"/>
      <c r="C165" s="547"/>
      <c r="D165" s="1387"/>
      <c r="E165" s="1174"/>
      <c r="F165" s="1162"/>
      <c r="G165" s="647"/>
      <c r="H165" s="880"/>
      <c r="I165" s="619"/>
      <c r="J165" s="984"/>
      <c r="K165" s="619"/>
      <c r="L165" s="924"/>
      <c r="M165" s="619"/>
      <c r="N165" s="619"/>
      <c r="T165" s="689"/>
      <c r="U165" s="690"/>
      <c r="V165" s="690"/>
      <c r="W165" s="42"/>
      <c r="X165" s="20"/>
      <c r="Y165" s="20"/>
      <c r="Z165" s="20"/>
      <c r="AA165" s="20"/>
      <c r="AB165" s="20"/>
      <c r="AC165" s="20"/>
      <c r="AD165" s="20"/>
      <c r="AE165" s="20"/>
      <c r="AF165" s="20"/>
      <c r="AG165" s="1427"/>
      <c r="AH165" s="1427"/>
      <c r="AI165" s="1427"/>
      <c r="AJ165" s="1427"/>
      <c r="OW165"/>
      <c r="OX165"/>
      <c r="OY165"/>
      <c r="OZ165" s="99"/>
      <c r="PA165" s="99"/>
      <c r="PB165" s="99"/>
      <c r="PC165" s="99"/>
      <c r="PD165" s="99"/>
      <c r="PE165" s="99"/>
      <c r="PF165" s="99"/>
      <c r="PG165" s="99"/>
      <c r="PH165" s="99"/>
      <c r="PI165" s="99"/>
      <c r="PJ165" s="99"/>
      <c r="PK165" s="99"/>
      <c r="PL165" s="99"/>
      <c r="PM165"/>
      <c r="PN165"/>
      <c r="PO165"/>
      <c r="PP165"/>
      <c r="QJ165" s="424"/>
      <c r="QK165" s="424"/>
      <c r="QL165" s="424"/>
      <c r="QM165" s="424"/>
      <c r="QN165" s="424"/>
      <c r="QO165" s="424"/>
      <c r="QP165" s="424"/>
      <c r="QQ165" s="424"/>
      <c r="QR165" s="424"/>
      <c r="QS165" s="424"/>
      <c r="QT165" s="424"/>
      <c r="QU165" s="424"/>
      <c r="QV165" s="424"/>
      <c r="QW165" s="424"/>
      <c r="QX165" s="424"/>
      <c r="QY165" s="424"/>
      <c r="QZ165" s="424"/>
      <c r="RA165" s="424"/>
      <c r="RT165" s="424"/>
      <c r="RU165" s="424"/>
      <c r="RV165" s="424"/>
      <c r="RW165" s="424"/>
      <c r="RX165" s="424"/>
      <c r="RY165" s="424"/>
      <c r="RZ165" s="424"/>
      <c r="SA165" s="424"/>
      <c r="SB165" s="424"/>
      <c r="SC165" s="424"/>
      <c r="SD165" s="424"/>
      <c r="SE165" s="424"/>
      <c r="SF165" s="424"/>
      <c r="SG165" s="424"/>
      <c r="SH165" s="424"/>
      <c r="SI165" s="424"/>
      <c r="SJ165" s="424"/>
      <c r="SK165" s="424"/>
      <c r="SZ165" s="1371"/>
      <c r="TA165" s="1371"/>
      <c r="TB165" s="1371">
        <v>11119859.832856031</v>
      </c>
      <c r="TC165" s="1371">
        <v>240491460.68441999</v>
      </c>
      <c r="TD165" s="424"/>
      <c r="TE165" s="424"/>
      <c r="TF165" s="424"/>
      <c r="TG165" s="424"/>
      <c r="TH165" s="424"/>
      <c r="TI165" s="424"/>
      <c r="TJ165" s="424"/>
    </row>
    <row r="166" spans="2:530" ht="15.75" thickTop="1" x14ac:dyDescent="0.25">
      <c r="B166" s="99"/>
      <c r="C166" s="1388"/>
      <c r="D166" s="1387"/>
      <c r="E166" s="1174"/>
      <c r="F166" s="880"/>
      <c r="G166" s="641"/>
      <c r="H166" s="880"/>
      <c r="I166" s="619"/>
      <c r="J166" s="619"/>
      <c r="K166" s="619"/>
      <c r="L166" s="619"/>
      <c r="M166" s="619"/>
      <c r="N166" s="619"/>
      <c r="T166" s="679"/>
      <c r="U166" s="1426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1422"/>
      <c r="AH166" s="1422"/>
      <c r="AI166" s="1422"/>
      <c r="AJ166" s="1422"/>
      <c r="OW166"/>
      <c r="OX166"/>
      <c r="OY166"/>
      <c r="OZ166" s="99"/>
      <c r="PA166" s="99"/>
      <c r="PB166" s="99"/>
      <c r="PC166" s="99"/>
      <c r="PD166" s="99"/>
      <c r="PE166" s="99"/>
      <c r="PF166" s="99"/>
      <c r="PG166" s="99"/>
      <c r="PH166" s="99"/>
      <c r="PI166" s="99"/>
      <c r="PJ166" s="99"/>
      <c r="PK166" s="99"/>
      <c r="PL166" s="99"/>
      <c r="PM166"/>
      <c r="PN166"/>
      <c r="PO166"/>
      <c r="PP166"/>
      <c r="QJ166" s="424"/>
      <c r="QK166" s="424"/>
      <c r="QL166" s="424"/>
      <c r="QM166" s="424"/>
      <c r="QN166" s="424"/>
      <c r="QO166" s="424"/>
      <c r="QP166" s="424"/>
      <c r="QQ166" s="424"/>
      <c r="QR166" s="424"/>
      <c r="QS166" s="424"/>
      <c r="QT166" s="424"/>
      <c r="QU166" s="424"/>
      <c r="QV166" s="424"/>
      <c r="QW166" s="424"/>
      <c r="QX166" s="424"/>
      <c r="QY166" s="424"/>
      <c r="QZ166" s="424"/>
      <c r="RA166" s="424"/>
      <c r="RT166" s="424"/>
      <c r="RU166" s="424"/>
      <c r="RV166" s="424"/>
      <c r="RW166" s="424"/>
      <c r="RX166" s="424"/>
      <c r="RY166" s="424"/>
      <c r="RZ166" s="424"/>
      <c r="SA166" s="424"/>
      <c r="SB166" s="424"/>
      <c r="SC166" s="424"/>
      <c r="SD166" s="424"/>
      <c r="SE166" s="424"/>
      <c r="SF166" s="424"/>
      <c r="SG166" s="424"/>
      <c r="SH166" s="424"/>
      <c r="SI166" s="424"/>
      <c r="SJ166" s="424"/>
      <c r="SK166" s="424"/>
      <c r="SZ166" s="1375"/>
      <c r="TA166" s="1375"/>
      <c r="TB166" s="1375"/>
      <c r="TC166" s="1375"/>
      <c r="TD166" s="424"/>
      <c r="TE166" s="424"/>
      <c r="TF166" s="424"/>
      <c r="TG166" s="424"/>
      <c r="TH166" s="424"/>
      <c r="TI166" s="424"/>
      <c r="TJ166" s="424"/>
    </row>
    <row r="167" spans="2:530" x14ac:dyDescent="0.25">
      <c r="B167" s="99"/>
      <c r="C167" s="1388"/>
      <c r="D167" s="1387"/>
      <c r="E167" s="633"/>
      <c r="F167" s="880"/>
      <c r="G167" s="641"/>
      <c r="H167" s="880"/>
      <c r="I167" s="619"/>
      <c r="J167" s="619"/>
      <c r="K167" s="619"/>
      <c r="L167" s="619"/>
      <c r="M167" s="619"/>
      <c r="N167" s="619"/>
      <c r="T167" s="580"/>
      <c r="U167" s="1426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1411"/>
      <c r="AH167" s="1411"/>
      <c r="AI167" s="1411"/>
      <c r="AJ167" s="1411"/>
      <c r="OW167"/>
      <c r="OX167"/>
      <c r="OY167"/>
      <c r="OZ167" s="99"/>
      <c r="PA167" s="99"/>
      <c r="PB167" s="99"/>
      <c r="PC167" s="99"/>
      <c r="PD167" s="99"/>
      <c r="PE167" s="99"/>
      <c r="PF167" s="99"/>
      <c r="PG167" s="99"/>
      <c r="PH167" s="99"/>
      <c r="PI167" s="99"/>
      <c r="PJ167" s="99"/>
      <c r="PK167" s="99"/>
      <c r="PL167" s="99"/>
      <c r="PM167"/>
      <c r="PN167"/>
      <c r="PO167"/>
      <c r="PP167"/>
      <c r="QJ167" s="424"/>
      <c r="QK167" s="424"/>
      <c r="QL167" s="424"/>
      <c r="QM167" s="424"/>
      <c r="QN167" s="424"/>
      <c r="QO167" s="424"/>
      <c r="QP167" s="424"/>
      <c r="QQ167" s="424"/>
      <c r="QR167" s="424"/>
      <c r="QS167" s="424"/>
      <c r="QT167" s="424"/>
      <c r="QU167" s="424"/>
      <c r="QV167" s="424"/>
      <c r="QW167" s="424"/>
      <c r="QX167" s="424"/>
      <c r="QY167" s="424"/>
      <c r="QZ167" s="424"/>
      <c r="RA167" s="424"/>
      <c r="RT167" s="424"/>
      <c r="RU167" s="424"/>
      <c r="RV167" s="424"/>
      <c r="RW167" s="424"/>
      <c r="RX167" s="424"/>
      <c r="RY167" s="424"/>
      <c r="RZ167" s="424"/>
      <c r="SA167" s="424"/>
      <c r="SB167" s="424"/>
      <c r="SC167" s="424"/>
      <c r="SD167" s="424"/>
      <c r="SE167" s="424"/>
      <c r="SF167" s="424"/>
      <c r="SG167" s="424"/>
      <c r="SH167" s="424"/>
      <c r="SI167" s="424"/>
      <c r="SJ167" s="424"/>
      <c r="SK167" s="424"/>
      <c r="SZ167" s="1375"/>
      <c r="TA167" s="1375"/>
      <c r="TB167" s="1375"/>
      <c r="TC167" s="1375"/>
      <c r="TD167" s="424"/>
      <c r="TE167" s="424"/>
      <c r="TF167" s="424"/>
      <c r="TG167" s="424"/>
      <c r="TH167" s="424"/>
      <c r="TI167" s="424"/>
      <c r="TJ167" s="424"/>
    </row>
    <row r="168" spans="2:530" x14ac:dyDescent="0.25">
      <c r="B168" s="99"/>
      <c r="C168" s="1388"/>
      <c r="D168" s="1387"/>
      <c r="E168" s="1174"/>
      <c r="F168" s="880"/>
      <c r="G168" s="1174"/>
      <c r="H168" s="880"/>
      <c r="I168" s="619"/>
      <c r="J168" s="619"/>
      <c r="K168" s="619"/>
      <c r="L168" s="619"/>
      <c r="M168" s="619"/>
      <c r="N168" s="619"/>
      <c r="T168" s="580"/>
      <c r="U168" s="1426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1411"/>
      <c r="AH168" s="1411"/>
      <c r="AI168" s="1411"/>
      <c r="AJ168" s="1411"/>
      <c r="OW168"/>
      <c r="OX168"/>
      <c r="OY168"/>
      <c r="OZ168" s="99"/>
      <c r="PA168" s="99"/>
      <c r="PB168" s="99"/>
      <c r="PC168" s="99"/>
      <c r="PD168" s="99"/>
      <c r="PE168" s="99"/>
      <c r="PF168" s="99"/>
      <c r="PG168" s="99"/>
      <c r="PH168" s="99"/>
      <c r="PI168" s="99"/>
      <c r="PJ168" s="99"/>
      <c r="PK168" s="99"/>
      <c r="PL168" s="99"/>
      <c r="PM168"/>
      <c r="PN168"/>
      <c r="PO168"/>
      <c r="PP168"/>
      <c r="QJ168" s="424"/>
      <c r="QK168" s="424"/>
      <c r="QL168" s="424"/>
      <c r="QM168" s="424"/>
      <c r="QN168" s="424"/>
      <c r="QO168" s="424"/>
      <c r="QP168" s="424"/>
      <c r="QQ168" s="424"/>
      <c r="QR168" s="424"/>
      <c r="QS168" s="424"/>
      <c r="QT168" s="424"/>
      <c r="QU168" s="424"/>
      <c r="QV168" s="424"/>
      <c r="QW168" s="424"/>
      <c r="QX168" s="424"/>
      <c r="QY168" s="424"/>
      <c r="QZ168" s="424"/>
      <c r="RA168" s="424"/>
      <c r="RT168" s="424"/>
      <c r="RU168" s="424"/>
      <c r="RV168" s="424"/>
      <c r="RW168" s="424"/>
      <c r="RX168" s="424"/>
      <c r="RY168" s="424"/>
      <c r="RZ168" s="424"/>
      <c r="SA168" s="424"/>
      <c r="SB168" s="424"/>
      <c r="SC168" s="424"/>
      <c r="SD168" s="424"/>
      <c r="SE168" s="424"/>
      <c r="SF168" s="424"/>
      <c r="SG168" s="424"/>
      <c r="SH168" s="424"/>
      <c r="SI168" s="424"/>
      <c r="SJ168" s="424"/>
      <c r="SK168" s="424"/>
      <c r="SZ168" s="1374"/>
      <c r="TA168" s="1374"/>
      <c r="TB168" s="1381">
        <v>486242.2899999998</v>
      </c>
      <c r="TC168" s="1374">
        <v>2109121.8899999997</v>
      </c>
      <c r="TD168" s="424"/>
      <c r="TE168" s="424"/>
      <c r="TF168" s="424"/>
      <c r="TG168" s="424"/>
      <c r="TH168" s="424"/>
      <c r="TI168" s="424"/>
      <c r="TJ168" s="424"/>
    </row>
    <row r="169" spans="2:530" x14ac:dyDescent="0.25">
      <c r="B169" s="99"/>
      <c r="C169" s="1388"/>
      <c r="D169" s="1387"/>
      <c r="E169" s="1174"/>
      <c r="F169" s="880"/>
      <c r="G169" s="641"/>
      <c r="H169" s="880"/>
      <c r="I169" s="619"/>
      <c r="J169" s="619"/>
      <c r="K169" s="619"/>
      <c r="L169" s="619"/>
      <c r="M169" s="619"/>
      <c r="N169" s="619"/>
      <c r="T169" s="580"/>
      <c r="U169" s="1425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1411"/>
      <c r="AH169" s="1411"/>
      <c r="AI169" s="1411"/>
      <c r="AJ169" s="1411"/>
      <c r="OW169"/>
      <c r="OX169"/>
      <c r="OY169"/>
      <c r="OZ169" s="99"/>
      <c r="PA169" s="99"/>
      <c r="PB169" s="99"/>
      <c r="PC169" s="99"/>
      <c r="PD169" s="99"/>
      <c r="PE169" s="99"/>
      <c r="PF169" s="99"/>
      <c r="PG169" s="99"/>
      <c r="PH169" s="99"/>
      <c r="PI169" s="99"/>
      <c r="PJ169" s="99"/>
      <c r="PK169" s="99"/>
      <c r="PL169" s="99"/>
      <c r="PM169"/>
      <c r="PN169"/>
      <c r="PO169"/>
      <c r="PP169"/>
      <c r="QJ169" s="424"/>
      <c r="QK169" s="424"/>
      <c r="QL169" s="424"/>
      <c r="QM169" s="424"/>
      <c r="QN169" s="424"/>
      <c r="QO169" s="424"/>
      <c r="QP169" s="424"/>
      <c r="QQ169" s="424"/>
      <c r="QR169" s="424"/>
      <c r="QS169" s="424"/>
      <c r="QT169" s="424"/>
      <c r="QU169" s="424"/>
      <c r="QV169" s="424"/>
      <c r="QW169" s="424"/>
      <c r="QX169" s="424"/>
      <c r="QY169" s="424"/>
      <c r="QZ169" s="424"/>
      <c r="RA169" s="424"/>
      <c r="RT169" s="424"/>
      <c r="RU169" s="424"/>
      <c r="RV169" s="424"/>
      <c r="RW169" s="424"/>
      <c r="RX169" s="424"/>
      <c r="RY169" s="424"/>
      <c r="RZ169" s="424"/>
      <c r="SA169" s="424"/>
      <c r="SB169" s="424"/>
      <c r="SC169" s="424"/>
      <c r="SD169" s="424"/>
      <c r="SE169" s="424"/>
      <c r="SF169" s="424"/>
      <c r="SG169" s="424"/>
      <c r="SH169" s="424"/>
      <c r="SI169" s="424"/>
      <c r="SJ169" s="424"/>
      <c r="SK169" s="424"/>
      <c r="SZ169" s="1373"/>
      <c r="TA169" s="1373"/>
      <c r="TB169" s="1380">
        <v>377337.46341199998</v>
      </c>
      <c r="TC169" s="1373">
        <v>1191187.2124360001</v>
      </c>
      <c r="TD169" s="424"/>
      <c r="TE169" s="424"/>
      <c r="TF169" s="424"/>
      <c r="TG169" s="424"/>
      <c r="TH169" s="424"/>
      <c r="TI169" s="424"/>
      <c r="TJ169" s="424"/>
    </row>
    <row r="170" spans="2:530" x14ac:dyDescent="0.25">
      <c r="B170" s="99"/>
      <c r="C170" s="1388"/>
      <c r="D170" s="1387"/>
      <c r="E170" s="1174"/>
      <c r="F170" s="880"/>
      <c r="G170" s="1174"/>
      <c r="H170" s="880"/>
      <c r="I170" s="619"/>
      <c r="J170" s="619"/>
      <c r="K170" s="619"/>
      <c r="L170" s="619"/>
      <c r="M170" s="619"/>
      <c r="N170" s="619"/>
      <c r="T170" s="20"/>
      <c r="U170" s="20"/>
      <c r="V170" s="20"/>
      <c r="W170" s="42"/>
      <c r="X170" s="20"/>
      <c r="Y170" s="20"/>
      <c r="Z170" s="20"/>
      <c r="AA170" s="20"/>
      <c r="AB170" s="20"/>
      <c r="AC170" s="20"/>
      <c r="AD170" s="20"/>
      <c r="AE170" s="20"/>
      <c r="AF170" s="20"/>
      <c r="AG170" s="1411"/>
      <c r="AH170" s="1411"/>
      <c r="AI170" s="1411"/>
      <c r="AJ170" s="1411"/>
      <c r="OW170"/>
      <c r="OX170"/>
      <c r="OY170"/>
      <c r="OZ170" s="99"/>
      <c r="PA170" s="99"/>
      <c r="PB170" s="99"/>
      <c r="PC170" s="99"/>
      <c r="PD170" s="99"/>
      <c r="PE170" s="99"/>
      <c r="PF170" s="99"/>
      <c r="PG170" s="99"/>
      <c r="PH170" s="99"/>
      <c r="PI170" s="99"/>
      <c r="PJ170" s="99"/>
      <c r="PK170" s="99"/>
      <c r="PL170" s="99"/>
      <c r="PM170"/>
      <c r="PN170"/>
      <c r="PO170"/>
      <c r="PP170"/>
      <c r="QJ170" s="424"/>
      <c r="QK170" s="424"/>
      <c r="QL170" s="424"/>
      <c r="QM170" s="424"/>
      <c r="QN170" s="424"/>
      <c r="QO170" s="424"/>
      <c r="QP170" s="424"/>
      <c r="QQ170" s="424"/>
      <c r="QR170" s="424"/>
      <c r="QS170" s="424"/>
      <c r="QT170" s="424"/>
      <c r="QU170" s="424"/>
      <c r="QV170" s="424"/>
      <c r="QW170" s="424"/>
      <c r="QX170" s="424"/>
      <c r="QY170" s="424"/>
      <c r="QZ170" s="424"/>
      <c r="RA170" s="424"/>
      <c r="RT170" s="424"/>
      <c r="RU170" s="424"/>
      <c r="RV170" s="424"/>
      <c r="RW170" s="424"/>
      <c r="RX170" s="424"/>
      <c r="RY170" s="424"/>
      <c r="RZ170" s="424"/>
      <c r="SA170" s="424"/>
      <c r="SB170" s="424"/>
      <c r="SC170" s="424"/>
      <c r="SD170" s="424"/>
      <c r="SE170" s="424"/>
      <c r="SF170" s="424"/>
      <c r="SG170" s="424"/>
      <c r="SH170" s="424"/>
      <c r="SI170" s="424"/>
      <c r="SJ170" s="424"/>
      <c r="SK170" s="424"/>
      <c r="SZ170" s="1373"/>
      <c r="TA170" s="1373"/>
      <c r="TB170" s="1380">
        <v>194265.28000000096</v>
      </c>
      <c r="TC170" s="1373">
        <v>1385973.7400000009</v>
      </c>
      <c r="TD170" s="424"/>
      <c r="TE170" s="424"/>
      <c r="TF170" s="424"/>
      <c r="TG170" s="424"/>
      <c r="TH170" s="424"/>
      <c r="TI170" s="424"/>
      <c r="TJ170" s="424"/>
    </row>
    <row r="171" spans="2:530" x14ac:dyDescent="0.25">
      <c r="B171" s="99"/>
      <c r="C171" s="1388"/>
      <c r="D171" s="1387"/>
      <c r="E171" s="1174"/>
      <c r="F171" s="880"/>
      <c r="G171" s="641"/>
      <c r="H171" s="880"/>
      <c r="I171" s="619"/>
      <c r="J171" s="619"/>
      <c r="K171" s="619"/>
      <c r="L171" s="619"/>
      <c r="M171" s="619"/>
      <c r="N171" s="619"/>
      <c r="T171" s="1424"/>
      <c r="U171" s="1183"/>
      <c r="V171" s="20"/>
      <c r="W171" s="42"/>
      <c r="X171" s="20"/>
      <c r="Y171" s="20"/>
      <c r="Z171" s="20"/>
      <c r="AA171" s="20"/>
      <c r="AB171" s="20"/>
      <c r="AC171" s="20"/>
      <c r="AD171" s="20"/>
      <c r="AE171" s="20"/>
      <c r="AF171" s="20"/>
      <c r="AG171" s="1411"/>
      <c r="AH171" s="1411"/>
      <c r="AI171" s="1411"/>
      <c r="AJ171" s="1411"/>
      <c r="OW171"/>
      <c r="OX171"/>
      <c r="OY171"/>
      <c r="OZ171" s="99"/>
      <c r="PA171" s="99"/>
      <c r="PB171" s="99"/>
      <c r="PC171" s="99"/>
      <c r="PD171" s="99"/>
      <c r="PE171" s="99"/>
      <c r="PF171" s="99"/>
      <c r="PG171" s="99"/>
      <c r="PH171" s="99"/>
      <c r="PI171" s="99"/>
      <c r="PJ171" s="99"/>
      <c r="PK171" s="99"/>
      <c r="PL171" s="99"/>
      <c r="PM171"/>
      <c r="PN171"/>
      <c r="PO171"/>
      <c r="PP171"/>
      <c r="QJ171" s="424"/>
      <c r="QK171" s="424"/>
      <c r="QL171" s="424"/>
      <c r="QM171" s="424"/>
      <c r="QN171" s="424"/>
      <c r="QO171" s="424"/>
      <c r="QP171" s="424"/>
      <c r="QQ171" s="424"/>
      <c r="QR171" s="424"/>
      <c r="QS171" s="424"/>
      <c r="QT171" s="424"/>
      <c r="QU171" s="424"/>
      <c r="QV171" s="424"/>
      <c r="QW171" s="424"/>
      <c r="QX171" s="424"/>
      <c r="QY171" s="424"/>
      <c r="QZ171" s="424"/>
      <c r="RA171" s="424"/>
      <c r="RT171" s="424"/>
      <c r="RU171" s="424"/>
      <c r="RV171" s="424"/>
      <c r="RW171" s="424"/>
      <c r="RX171" s="424"/>
      <c r="RY171" s="424"/>
      <c r="RZ171" s="424"/>
      <c r="SA171" s="424"/>
      <c r="SB171" s="424"/>
      <c r="SC171" s="424"/>
      <c r="SD171" s="424"/>
      <c r="SE171" s="424"/>
      <c r="SF171" s="424"/>
      <c r="SG171" s="424"/>
      <c r="SH171" s="424"/>
      <c r="SI171" s="424"/>
      <c r="SJ171" s="424"/>
      <c r="SK171" s="424"/>
      <c r="SZ171" s="1372"/>
      <c r="TA171" s="1372"/>
      <c r="TB171" s="1379">
        <v>2351847.6628140043</v>
      </c>
      <c r="TC171" s="1372">
        <v>13696270.037294004</v>
      </c>
      <c r="TD171" s="424"/>
      <c r="TE171" s="424"/>
      <c r="TF171" s="424"/>
      <c r="TG171" s="424"/>
      <c r="TH171" s="424"/>
      <c r="TI171" s="424"/>
      <c r="TJ171" s="424"/>
    </row>
    <row r="172" spans="2:530" x14ac:dyDescent="0.25">
      <c r="B172" s="99"/>
      <c r="C172" s="547"/>
      <c r="D172" s="1387"/>
      <c r="E172" s="1174"/>
      <c r="F172" s="880"/>
      <c r="G172" s="641"/>
      <c r="H172" s="880"/>
      <c r="I172" s="619"/>
      <c r="J172" s="619"/>
      <c r="K172" s="619"/>
      <c r="L172" s="619"/>
      <c r="M172" s="619"/>
      <c r="N172" s="619"/>
      <c r="T172" s="679"/>
      <c r="U172" s="1415"/>
      <c r="V172" s="63"/>
      <c r="W172" s="42"/>
      <c r="X172" s="63"/>
      <c r="Y172" s="63"/>
      <c r="Z172" s="63"/>
      <c r="AA172" s="63"/>
      <c r="AB172" s="63"/>
      <c r="AC172" s="63"/>
      <c r="AD172" s="63"/>
      <c r="AE172" s="63"/>
      <c r="AF172" s="63"/>
      <c r="AG172" s="1411"/>
      <c r="AH172" s="1411"/>
      <c r="AI172" s="1411"/>
      <c r="AJ172" s="1411"/>
      <c r="OW172"/>
      <c r="OX172"/>
      <c r="OY172"/>
      <c r="OZ172" s="99"/>
      <c r="PA172" s="99"/>
      <c r="PB172" s="99"/>
      <c r="PC172" s="99"/>
      <c r="PD172" s="99"/>
      <c r="PE172" s="99"/>
      <c r="PF172" s="99"/>
      <c r="PG172" s="99"/>
      <c r="PH172" s="99"/>
      <c r="PI172" s="99"/>
      <c r="PJ172" s="99"/>
      <c r="PK172" s="99"/>
      <c r="PL172" s="99"/>
      <c r="PM172"/>
      <c r="PN172"/>
      <c r="PO172"/>
      <c r="PP172"/>
      <c r="QJ172" s="424"/>
      <c r="QK172" s="424"/>
      <c r="QL172" s="424"/>
      <c r="QM172" s="424"/>
      <c r="QN172" s="424"/>
      <c r="QO172" s="424"/>
      <c r="QP172" s="424"/>
      <c r="QQ172" s="424"/>
      <c r="QR172" s="424"/>
      <c r="QS172" s="424"/>
      <c r="QT172" s="424"/>
      <c r="QU172" s="424"/>
      <c r="QV172" s="424"/>
      <c r="QW172" s="424"/>
      <c r="QX172" s="424"/>
      <c r="QY172" s="424"/>
      <c r="QZ172" s="424"/>
      <c r="RA172" s="424"/>
      <c r="RT172" s="424"/>
      <c r="RU172" s="424"/>
      <c r="RV172" s="424"/>
      <c r="RW172" s="424"/>
      <c r="RX172" s="424"/>
      <c r="RY172" s="424"/>
      <c r="RZ172" s="424"/>
      <c r="SA172" s="424"/>
      <c r="SB172" s="424"/>
      <c r="SC172" s="424"/>
      <c r="SD172" s="424"/>
      <c r="SE172" s="424"/>
      <c r="SF172" s="424"/>
      <c r="SG172" s="424"/>
      <c r="SH172" s="424"/>
      <c r="SI172" s="424"/>
      <c r="SJ172" s="424"/>
      <c r="SK172" s="424"/>
      <c r="SZ172" s="1373"/>
      <c r="TA172" s="1373"/>
      <c r="TB172" s="1373">
        <v>3409692.696226005</v>
      </c>
      <c r="TC172" s="1373">
        <v>18382552.879730005</v>
      </c>
      <c r="TD172" s="424"/>
      <c r="TE172" s="424"/>
      <c r="TF172" s="424"/>
      <c r="TG172" s="424"/>
      <c r="TH172" s="424"/>
      <c r="TI172" s="424"/>
      <c r="TJ172" s="424"/>
    </row>
    <row r="173" spans="2:530" x14ac:dyDescent="0.25">
      <c r="B173" s="99"/>
      <c r="C173" s="547"/>
      <c r="D173" s="560"/>
      <c r="E173" s="902"/>
      <c r="F173" s="880"/>
      <c r="G173" s="641"/>
      <c r="H173" s="880"/>
      <c r="I173" s="619"/>
      <c r="J173" s="619"/>
      <c r="K173" s="619"/>
      <c r="L173" s="619"/>
      <c r="M173" s="619"/>
      <c r="N173" s="619"/>
      <c r="T173" s="679"/>
      <c r="U173" s="1415"/>
      <c r="V173" s="63"/>
      <c r="W173" s="42"/>
      <c r="X173" s="63"/>
      <c r="Y173" s="63"/>
      <c r="Z173" s="63"/>
      <c r="AA173" s="63"/>
      <c r="AB173" s="63"/>
      <c r="AC173" s="63"/>
      <c r="AD173" s="63"/>
      <c r="AE173" s="63"/>
      <c r="AF173" s="63"/>
      <c r="AG173" s="1411"/>
      <c r="AH173" s="1411"/>
      <c r="AI173" s="1411"/>
      <c r="AJ173" s="1411"/>
      <c r="OW173"/>
      <c r="OX173"/>
      <c r="OY173"/>
      <c r="OZ173" s="99"/>
      <c r="PA173" s="99"/>
      <c r="PB173" s="99"/>
      <c r="PC173" s="99"/>
      <c r="PD173" s="99"/>
      <c r="PE173" s="99"/>
      <c r="PF173" s="99"/>
      <c r="PG173" s="99"/>
      <c r="PH173" s="99"/>
      <c r="PI173" s="99"/>
      <c r="PJ173" s="99"/>
      <c r="PK173" s="99"/>
      <c r="PL173" s="99"/>
      <c r="PM173"/>
      <c r="PN173"/>
      <c r="PO173"/>
      <c r="PP173"/>
      <c r="QJ173" s="424"/>
      <c r="QK173" s="424"/>
      <c r="QL173" s="424"/>
      <c r="QM173" s="424"/>
      <c r="QN173" s="424"/>
      <c r="QO173" s="424"/>
      <c r="QP173" s="424"/>
      <c r="QQ173" s="424"/>
      <c r="QR173" s="424"/>
      <c r="QS173" s="424"/>
      <c r="QT173" s="424"/>
      <c r="QU173" s="424"/>
      <c r="QV173" s="424"/>
      <c r="QW173" s="424"/>
      <c r="QX173" s="424"/>
      <c r="QY173" s="424"/>
      <c r="QZ173" s="424"/>
      <c r="RA173" s="424"/>
      <c r="RT173" s="424"/>
      <c r="RU173" s="424"/>
      <c r="RV173" s="424"/>
      <c r="RW173" s="424"/>
      <c r="RX173" s="424"/>
      <c r="RY173" s="424"/>
      <c r="RZ173" s="424"/>
      <c r="SA173" s="424"/>
      <c r="SB173" s="424"/>
      <c r="SC173" s="424"/>
      <c r="SD173" s="424"/>
      <c r="SE173" s="424"/>
      <c r="SF173" s="424"/>
      <c r="SG173" s="424"/>
      <c r="SH173" s="424"/>
      <c r="SI173" s="424"/>
      <c r="SJ173" s="424"/>
      <c r="SK173" s="424"/>
      <c r="SZ173" s="1373"/>
      <c r="TA173" s="1373"/>
      <c r="TB173" s="1373"/>
      <c r="TC173" s="1373"/>
      <c r="TD173" s="424"/>
      <c r="TE173" s="424"/>
      <c r="TF173" s="424"/>
      <c r="TG173" s="424"/>
      <c r="TH173" s="424"/>
      <c r="TI173" s="424"/>
      <c r="TJ173" s="424"/>
    </row>
    <row r="174" spans="2:530" x14ac:dyDescent="0.25">
      <c r="B174" s="99"/>
      <c r="C174" s="1388"/>
      <c r="D174" s="1387"/>
      <c r="E174" s="1174"/>
      <c r="F174" s="880"/>
      <c r="G174" s="641"/>
      <c r="H174" s="880"/>
      <c r="I174" s="619"/>
      <c r="J174" s="619"/>
      <c r="K174" s="619"/>
      <c r="L174" s="619"/>
      <c r="M174" s="619"/>
      <c r="N174" s="619"/>
      <c r="T174" s="679"/>
      <c r="U174" s="1415"/>
      <c r="V174" s="63"/>
      <c r="W174" s="42"/>
      <c r="X174" s="63"/>
      <c r="Y174" s="63"/>
      <c r="Z174" s="63"/>
      <c r="AA174" s="63"/>
      <c r="AB174" s="63"/>
      <c r="AC174" s="63"/>
      <c r="AD174" s="63"/>
      <c r="AE174" s="63"/>
      <c r="AF174" s="63"/>
      <c r="AG174" s="1411"/>
      <c r="AH174" s="1411"/>
      <c r="AI174" s="1411"/>
      <c r="AJ174" s="1411"/>
      <c r="OW174"/>
      <c r="OX174"/>
      <c r="OY174"/>
      <c r="OZ174" s="99"/>
      <c r="PA174" s="99"/>
      <c r="PB174" s="99"/>
      <c r="PC174" s="99"/>
      <c r="PD174" s="99"/>
      <c r="PE174" s="99"/>
      <c r="PF174" s="99"/>
      <c r="PG174" s="99"/>
      <c r="PH174" s="99"/>
      <c r="PI174" s="99"/>
      <c r="PJ174" s="99"/>
      <c r="PK174" s="99"/>
      <c r="PL174" s="99"/>
      <c r="PM174"/>
      <c r="PN174"/>
      <c r="PO174"/>
      <c r="PP174"/>
      <c r="QJ174" s="424"/>
      <c r="QK174" s="424"/>
      <c r="QL174" s="424"/>
      <c r="QM174" s="424"/>
      <c r="QN174" s="424"/>
      <c r="QO174" s="424"/>
      <c r="QP174" s="424"/>
      <c r="QQ174" s="424"/>
      <c r="QR174" s="424"/>
      <c r="QS174" s="424"/>
      <c r="QT174" s="424"/>
      <c r="QU174" s="424"/>
      <c r="QV174" s="424"/>
      <c r="QW174" s="424"/>
      <c r="QX174" s="424"/>
      <c r="QY174" s="424"/>
      <c r="QZ174" s="424"/>
      <c r="RA174" s="424"/>
      <c r="RT174" s="424"/>
      <c r="RU174" s="424"/>
      <c r="RV174" s="424"/>
      <c r="RW174" s="424"/>
      <c r="RX174" s="424"/>
      <c r="RY174" s="424"/>
      <c r="RZ174" s="424"/>
      <c r="SA174" s="424"/>
      <c r="SB174" s="424"/>
      <c r="SC174" s="424"/>
      <c r="SD174" s="424"/>
      <c r="SE174" s="424"/>
      <c r="SF174" s="424"/>
      <c r="SG174" s="424"/>
      <c r="SH174" s="424"/>
      <c r="SI174" s="424"/>
      <c r="SJ174" s="424"/>
      <c r="SK174" s="424"/>
      <c r="SZ174" s="1373"/>
      <c r="TA174" s="1373"/>
      <c r="TB174" s="1373">
        <v>3409692.696226005</v>
      </c>
      <c r="TC174" s="1373">
        <v>18382552.879730005</v>
      </c>
      <c r="TD174" s="424"/>
      <c r="TE174" s="424"/>
      <c r="TF174" s="424"/>
      <c r="TG174" s="424"/>
      <c r="TH174" s="424"/>
      <c r="TI174" s="424"/>
      <c r="TJ174" s="424"/>
    </row>
    <row r="175" spans="2:530" x14ac:dyDescent="0.25">
      <c r="B175" s="1391"/>
      <c r="C175" s="547"/>
      <c r="D175" s="619"/>
      <c r="E175" s="1196"/>
      <c r="F175" s="619"/>
      <c r="G175" s="619"/>
      <c r="H175" s="619"/>
      <c r="I175" s="619"/>
      <c r="J175" s="619"/>
      <c r="K175" s="619"/>
      <c r="L175" s="619"/>
      <c r="M175" s="619"/>
      <c r="N175" s="619"/>
      <c r="T175" s="679"/>
      <c r="U175" s="1415"/>
      <c r="V175" s="63"/>
      <c r="W175" s="42"/>
      <c r="X175" s="63"/>
      <c r="Y175" s="63"/>
      <c r="Z175" s="63"/>
      <c r="AA175" s="63"/>
      <c r="AB175" s="63"/>
      <c r="AC175" s="63"/>
      <c r="AD175" s="63"/>
      <c r="AE175" s="63"/>
      <c r="AF175" s="63"/>
      <c r="AG175" s="1411"/>
      <c r="AH175" s="1411"/>
      <c r="AI175" s="1411"/>
      <c r="AJ175" s="1411"/>
      <c r="OW175"/>
      <c r="OX175"/>
      <c r="OY175"/>
      <c r="OZ175" s="99"/>
      <c r="PA175" s="99"/>
      <c r="PB175" s="99"/>
      <c r="PC175" s="99"/>
      <c r="PD175" s="99"/>
      <c r="PE175" s="99"/>
      <c r="PF175" s="99"/>
      <c r="PG175" s="99"/>
      <c r="PH175" s="99"/>
      <c r="PI175" s="99"/>
      <c r="PJ175" s="99"/>
      <c r="PK175" s="99"/>
      <c r="PL175" s="99"/>
      <c r="PM175"/>
      <c r="PN175"/>
      <c r="PO175"/>
      <c r="PP175"/>
      <c r="QJ175" s="424"/>
      <c r="QK175" s="424"/>
      <c r="QL175" s="424"/>
      <c r="QM175" s="424"/>
      <c r="QN175" s="424"/>
      <c r="QO175" s="424"/>
      <c r="QP175" s="424"/>
      <c r="QQ175" s="424"/>
      <c r="QR175" s="424"/>
      <c r="QS175" s="424"/>
      <c r="QT175" s="424"/>
      <c r="QU175" s="424"/>
      <c r="QV175" s="424"/>
      <c r="QW175" s="424"/>
      <c r="QX175" s="424"/>
      <c r="QY175" s="424"/>
      <c r="QZ175" s="424"/>
      <c r="RA175" s="424"/>
      <c r="RT175" s="424"/>
      <c r="RU175" s="424"/>
      <c r="RV175" s="424"/>
      <c r="RW175" s="424"/>
      <c r="RX175" s="424"/>
      <c r="RY175" s="424"/>
      <c r="RZ175" s="424"/>
      <c r="SA175" s="424"/>
      <c r="SB175" s="424"/>
      <c r="SC175" s="424"/>
      <c r="SD175" s="424"/>
      <c r="SE175" s="424"/>
      <c r="SF175" s="424"/>
      <c r="SG175" s="424"/>
      <c r="SH175" s="424"/>
      <c r="SI175" s="424"/>
      <c r="SJ175" s="424"/>
      <c r="SK175" s="424"/>
      <c r="SZ175" s="1378"/>
      <c r="TA175" s="1378"/>
      <c r="TB175" s="1378"/>
      <c r="TC175" s="1378"/>
      <c r="TD175" s="424"/>
      <c r="TE175" s="424"/>
      <c r="TF175" s="424"/>
      <c r="TG175" s="424"/>
      <c r="TH175" s="424"/>
      <c r="TI175" s="424"/>
      <c r="TJ175" s="424"/>
    </row>
    <row r="176" spans="2:530" x14ac:dyDescent="0.25">
      <c r="B176" s="1391"/>
      <c r="C176" s="547"/>
      <c r="D176" s="619"/>
      <c r="E176" s="619"/>
      <c r="F176" s="619"/>
      <c r="G176" s="619"/>
      <c r="H176" s="619"/>
      <c r="I176" s="619"/>
      <c r="J176" s="619"/>
      <c r="K176" s="619"/>
      <c r="L176" s="619"/>
      <c r="M176" s="619"/>
      <c r="N176" s="619"/>
      <c r="T176" s="679"/>
      <c r="U176" s="1415"/>
      <c r="V176" s="63"/>
      <c r="W176" s="42"/>
      <c r="X176" s="63"/>
      <c r="Y176" s="63"/>
      <c r="Z176" s="63"/>
      <c r="AA176" s="63"/>
      <c r="AB176" s="63"/>
      <c r="AC176" s="63"/>
      <c r="AD176" s="63"/>
      <c r="AE176" s="63"/>
      <c r="AF176" s="63"/>
      <c r="AG176" s="1411"/>
      <c r="AH176" s="1411"/>
      <c r="AI176" s="1411"/>
      <c r="AJ176" s="1411"/>
      <c r="OW176"/>
      <c r="OX176"/>
      <c r="OY176"/>
      <c r="OZ176" s="99"/>
      <c r="PA176" s="99"/>
      <c r="PB176" s="99"/>
      <c r="PC176" s="99"/>
      <c r="PD176" s="99"/>
      <c r="PE176" s="99"/>
      <c r="PF176" s="99"/>
      <c r="PG176" s="99"/>
      <c r="PH176" s="99"/>
      <c r="PI176" s="99"/>
      <c r="PJ176" s="99"/>
      <c r="PK176" s="99"/>
      <c r="PL176" s="99"/>
      <c r="PM176"/>
      <c r="PN176"/>
      <c r="PO176"/>
      <c r="PP176"/>
      <c r="QJ176" s="424"/>
      <c r="QK176" s="424"/>
      <c r="QL176" s="424"/>
      <c r="QM176" s="424"/>
      <c r="QN176" s="424"/>
      <c r="QO176" s="424"/>
      <c r="QP176" s="424"/>
      <c r="QQ176" s="424"/>
      <c r="QR176" s="424"/>
      <c r="QS176" s="424"/>
      <c r="QT176" s="424"/>
      <c r="QU176" s="424"/>
      <c r="QV176" s="424"/>
      <c r="QW176" s="424"/>
      <c r="QX176" s="424"/>
      <c r="QY176" s="424"/>
      <c r="QZ176" s="424"/>
      <c r="RA176" s="424"/>
      <c r="RT176" s="424"/>
      <c r="RU176" s="424"/>
      <c r="RV176" s="424"/>
      <c r="RW176" s="424"/>
      <c r="RX176" s="424"/>
      <c r="RY176" s="424"/>
      <c r="RZ176" s="424"/>
      <c r="SA176" s="424"/>
      <c r="SB176" s="424"/>
      <c r="SC176" s="424"/>
      <c r="SD176" s="424"/>
      <c r="SE176" s="424"/>
      <c r="SF176" s="424"/>
      <c r="SG176" s="424"/>
      <c r="SH176" s="424"/>
      <c r="SI176" s="424"/>
      <c r="SJ176" s="424"/>
      <c r="SK176" s="424"/>
      <c r="SZ176" s="1372"/>
      <c r="TA176" s="1372"/>
      <c r="TB176" s="1372">
        <v>-716035.46620746097</v>
      </c>
      <c r="TC176" s="1372">
        <v>-3860336.1047433009</v>
      </c>
      <c r="TD176" s="424"/>
      <c r="TE176" s="424"/>
      <c r="TF176" s="424"/>
      <c r="TG176" s="424"/>
      <c r="TH176" s="424"/>
      <c r="TI176" s="424"/>
      <c r="TJ176" s="424"/>
    </row>
    <row r="177" spans="2:530" x14ac:dyDescent="0.25">
      <c r="B177" s="1390"/>
      <c r="C177" s="515"/>
      <c r="D177" s="1196"/>
      <c r="E177" s="1196"/>
      <c r="F177" s="1196"/>
      <c r="G177" s="1196"/>
      <c r="H177" s="1196"/>
      <c r="I177" s="1196"/>
      <c r="J177" s="1196"/>
      <c r="K177" s="1196"/>
      <c r="L177" s="1196"/>
      <c r="M177" s="1196"/>
      <c r="N177" s="1196"/>
      <c r="T177" s="679"/>
      <c r="U177" s="1415"/>
      <c r="V177" s="63"/>
      <c r="W177" s="42"/>
      <c r="X177" s="63"/>
      <c r="Y177" s="63"/>
      <c r="Z177" s="63"/>
      <c r="AA177" s="63"/>
      <c r="AB177" s="63"/>
      <c r="AC177" s="63"/>
      <c r="AD177" s="63"/>
      <c r="AE177" s="63"/>
      <c r="AF177" s="63"/>
      <c r="AG177" s="1411"/>
      <c r="AH177" s="1411"/>
      <c r="AI177" s="1411"/>
      <c r="AJ177" s="1411"/>
      <c r="OW177"/>
      <c r="OX177"/>
      <c r="OY177"/>
      <c r="OZ177" s="99"/>
      <c r="PA177" s="99"/>
      <c r="PB177" s="99"/>
      <c r="PC177" s="99"/>
      <c r="PD177" s="99"/>
      <c r="PE177" s="99"/>
      <c r="PF177" s="99"/>
      <c r="PG177" s="99"/>
      <c r="PH177" s="99"/>
      <c r="PI177" s="99"/>
      <c r="PJ177" s="99"/>
      <c r="PK177" s="99"/>
      <c r="PL177" s="99"/>
      <c r="PM177"/>
      <c r="PN177"/>
      <c r="PO177"/>
      <c r="PP177"/>
      <c r="QJ177" s="424"/>
      <c r="QK177" s="424"/>
      <c r="QL177" s="424"/>
      <c r="QM177" s="424"/>
      <c r="QN177" s="424"/>
      <c r="QO177" s="424"/>
      <c r="QP177" s="424"/>
      <c r="QQ177" s="424"/>
      <c r="QR177" s="424"/>
      <c r="QS177" s="424"/>
      <c r="QT177" s="424"/>
      <c r="QU177" s="424"/>
      <c r="QV177" s="424"/>
      <c r="QW177" s="424"/>
      <c r="QX177" s="424"/>
      <c r="QY177" s="424"/>
      <c r="QZ177" s="424"/>
      <c r="RA177" s="424"/>
      <c r="RT177" s="424"/>
      <c r="RU177" s="424"/>
      <c r="RV177" s="424"/>
      <c r="RW177" s="424"/>
      <c r="RX177" s="424"/>
      <c r="RY177" s="424"/>
      <c r="RZ177" s="424"/>
      <c r="SA177" s="424"/>
      <c r="SB177" s="424"/>
      <c r="SC177" s="424"/>
      <c r="SD177" s="424"/>
      <c r="SE177" s="424"/>
      <c r="SF177" s="424"/>
      <c r="SG177" s="424"/>
      <c r="SH177" s="424"/>
      <c r="SI177" s="424"/>
      <c r="SJ177" s="424"/>
      <c r="SK177" s="424"/>
      <c r="SZ177" s="1377"/>
      <c r="TA177" s="1377"/>
      <c r="TB177" s="1377"/>
      <c r="TC177" s="1377"/>
      <c r="TD177" s="424"/>
      <c r="TE177" s="424"/>
      <c r="TF177" s="424"/>
      <c r="TG177" s="424"/>
      <c r="TH177" s="424"/>
      <c r="TI177" s="424"/>
      <c r="TJ177" s="424"/>
    </row>
    <row r="178" spans="2:530" ht="15.75" thickBot="1" x14ac:dyDescent="0.3">
      <c r="B178" s="20"/>
      <c r="C178" s="547"/>
      <c r="D178" s="800"/>
      <c r="E178" s="800"/>
      <c r="F178" s="800"/>
      <c r="G178" s="800"/>
      <c r="H178" s="63"/>
      <c r="I178" s="800"/>
      <c r="J178" s="800"/>
      <c r="K178" s="800"/>
      <c r="L178" s="800"/>
      <c r="M178" s="800"/>
      <c r="N178" s="800"/>
      <c r="T178" s="679"/>
      <c r="U178" s="1415"/>
      <c r="V178" s="63"/>
      <c r="W178" s="42"/>
      <c r="X178" s="63"/>
      <c r="Y178" s="63"/>
      <c r="Z178" s="63"/>
      <c r="AA178" s="63"/>
      <c r="AB178" s="63"/>
      <c r="AC178" s="63"/>
      <c r="AD178" s="63"/>
      <c r="AE178" s="63"/>
      <c r="AF178" s="63"/>
      <c r="AG178" s="1411"/>
      <c r="AH178" s="1411"/>
      <c r="AI178" s="1411"/>
      <c r="AJ178" s="1411"/>
      <c r="OW178"/>
      <c r="OX178"/>
      <c r="OY178"/>
      <c r="OZ178" s="99"/>
      <c r="PA178" s="99"/>
      <c r="PB178" s="99"/>
      <c r="PC178" s="99"/>
      <c r="PD178" s="99"/>
      <c r="PE178" s="99"/>
      <c r="PF178" s="99"/>
      <c r="PG178" s="99"/>
      <c r="PH178" s="99"/>
      <c r="PI178" s="99"/>
      <c r="PJ178" s="99"/>
      <c r="PK178" s="99"/>
      <c r="PL178" s="99"/>
      <c r="PM178"/>
      <c r="PN178"/>
      <c r="PO178"/>
      <c r="PP178"/>
      <c r="QJ178" s="424"/>
      <c r="QK178" s="424"/>
      <c r="QL178" s="424"/>
      <c r="QM178" s="424"/>
      <c r="QN178" s="424"/>
      <c r="QO178" s="424"/>
      <c r="QP178" s="424"/>
      <c r="QQ178" s="424"/>
      <c r="QR178" s="424"/>
      <c r="QS178" s="424"/>
      <c r="QT178" s="424"/>
      <c r="QU178" s="424"/>
      <c r="QV178" s="424"/>
      <c r="QW178" s="424"/>
      <c r="QX178" s="424"/>
      <c r="QY178" s="424"/>
      <c r="QZ178" s="424"/>
      <c r="RA178" s="424"/>
      <c r="RT178" s="424"/>
      <c r="RU178" s="424"/>
      <c r="RV178" s="424"/>
      <c r="RW178" s="424"/>
      <c r="RX178" s="424"/>
      <c r="RY178" s="424"/>
      <c r="RZ178" s="424"/>
      <c r="SA178" s="424"/>
      <c r="SB178" s="424"/>
      <c r="SC178" s="424"/>
      <c r="SD178" s="424"/>
      <c r="SE178" s="424"/>
      <c r="SF178" s="424"/>
      <c r="SG178" s="424"/>
      <c r="SH178" s="424"/>
      <c r="SI178" s="424"/>
      <c r="SJ178" s="424"/>
      <c r="SK178" s="424"/>
      <c r="SZ178" s="1376"/>
      <c r="TA178" s="1376"/>
      <c r="TB178" s="1376">
        <v>-2693657.230018544</v>
      </c>
      <c r="TC178" s="1376">
        <v>-14522216.774986703</v>
      </c>
      <c r="TD178" s="424"/>
      <c r="TE178" s="424"/>
      <c r="TF178" s="424"/>
      <c r="TG178" s="424"/>
      <c r="TH178" s="424"/>
      <c r="TI178" s="424"/>
      <c r="TJ178" s="424"/>
    </row>
    <row r="179" spans="2:530" ht="15.75" thickTop="1" x14ac:dyDescent="0.25">
      <c r="B179" s="1384"/>
      <c r="C179" s="20"/>
      <c r="D179" s="619"/>
      <c r="E179" s="619"/>
      <c r="F179" s="619"/>
      <c r="G179" s="619"/>
      <c r="H179" s="619"/>
      <c r="I179" s="619"/>
      <c r="J179" s="619"/>
      <c r="K179" s="619"/>
      <c r="L179" s="619"/>
      <c r="M179" s="619"/>
      <c r="N179" s="619"/>
      <c r="T179" s="679"/>
      <c r="U179" s="1415"/>
      <c r="V179" s="63"/>
      <c r="W179" s="42"/>
      <c r="X179" s="63"/>
      <c r="Y179" s="63"/>
      <c r="Z179" s="63"/>
      <c r="AA179" s="63"/>
      <c r="AB179" s="63"/>
      <c r="AC179" s="63"/>
      <c r="AD179" s="63"/>
      <c r="AE179" s="63"/>
      <c r="AF179" s="63"/>
      <c r="AG179" s="1411"/>
      <c r="AH179" s="1411"/>
      <c r="AI179" s="1411"/>
      <c r="AJ179" s="1411"/>
      <c r="OW179"/>
      <c r="OX179"/>
      <c r="OY179"/>
      <c r="OZ179" s="99"/>
      <c r="PA179" s="99"/>
      <c r="PB179" s="99"/>
      <c r="PC179" s="99"/>
      <c r="PD179" s="99"/>
      <c r="PE179" s="99"/>
      <c r="PF179" s="99"/>
      <c r="PG179" s="99"/>
      <c r="PH179" s="99"/>
      <c r="PI179" s="99"/>
      <c r="PJ179" s="99"/>
      <c r="PK179" s="99"/>
      <c r="PL179" s="99"/>
      <c r="PM179"/>
      <c r="PN179"/>
      <c r="PO179"/>
      <c r="PP179"/>
      <c r="QJ179" s="424"/>
      <c r="QK179" s="424"/>
      <c r="QL179" s="424"/>
      <c r="QM179" s="424"/>
      <c r="QN179" s="424"/>
      <c r="QO179" s="424"/>
      <c r="QP179" s="424"/>
      <c r="QQ179" s="424"/>
      <c r="QR179" s="424"/>
      <c r="QS179" s="424"/>
      <c r="QT179" s="424"/>
      <c r="QU179" s="424"/>
      <c r="QV179" s="424"/>
      <c r="QW179" s="424"/>
      <c r="QX179" s="424"/>
      <c r="QY179" s="424"/>
      <c r="QZ179" s="424"/>
      <c r="RA179" s="424"/>
      <c r="RT179" s="424"/>
      <c r="RU179" s="424"/>
      <c r="RV179" s="424"/>
      <c r="RW179" s="424"/>
      <c r="RX179" s="424"/>
      <c r="RY179" s="424"/>
      <c r="RZ179" s="424"/>
      <c r="SA179" s="424"/>
      <c r="SB179" s="424"/>
      <c r="SC179" s="424"/>
      <c r="SD179" s="424"/>
      <c r="SE179" s="424"/>
      <c r="SF179" s="424"/>
      <c r="SG179" s="424"/>
      <c r="SH179" s="424"/>
      <c r="SI179" s="424"/>
      <c r="SJ179" s="424"/>
      <c r="SK179" s="424"/>
      <c r="SZ179" s="1375"/>
      <c r="TA179" s="1375"/>
      <c r="TB179" s="1375"/>
      <c r="TC179" s="1375"/>
      <c r="TD179" s="424"/>
      <c r="TE179" s="424"/>
      <c r="TF179" s="424"/>
      <c r="TG179" s="424"/>
      <c r="TH179" s="424"/>
      <c r="TI179" s="424"/>
      <c r="TJ179" s="424"/>
    </row>
    <row r="180" spans="2:530" x14ac:dyDescent="0.25">
      <c r="B180" s="1390"/>
      <c r="C180" s="20"/>
      <c r="D180" s="619"/>
      <c r="E180" s="619"/>
      <c r="F180" s="619"/>
      <c r="G180" s="619"/>
      <c r="H180" s="619"/>
      <c r="I180" s="619"/>
      <c r="J180" s="619"/>
      <c r="K180" s="619"/>
      <c r="L180" s="619"/>
      <c r="M180" s="619"/>
      <c r="N180" s="619"/>
      <c r="T180" s="679"/>
      <c r="U180" s="1415"/>
      <c r="V180" s="63"/>
      <c r="W180" s="42"/>
      <c r="X180" s="63"/>
      <c r="Y180" s="63"/>
      <c r="Z180" s="63"/>
      <c r="AA180" s="63"/>
      <c r="AB180" s="63"/>
      <c r="AC180" s="63"/>
      <c r="AD180" s="63"/>
      <c r="AE180" s="63"/>
      <c r="AF180" s="63"/>
      <c r="AG180" s="1423"/>
      <c r="AH180" s="1423"/>
      <c r="AI180" s="1423"/>
      <c r="AJ180" s="1423"/>
      <c r="OW180"/>
      <c r="OX180"/>
      <c r="OY180"/>
      <c r="OZ180" s="99"/>
      <c r="PA180" s="99"/>
      <c r="PB180" s="99"/>
      <c r="PC180" s="99"/>
      <c r="PD180" s="99"/>
      <c r="PE180" s="99"/>
      <c r="PF180" s="99"/>
      <c r="PG180" s="99"/>
      <c r="PH180" s="99"/>
      <c r="PI180" s="99"/>
      <c r="PJ180" s="99"/>
      <c r="PK180" s="99"/>
      <c r="PL180" s="99"/>
      <c r="PM180"/>
      <c r="PN180"/>
      <c r="PO180"/>
      <c r="PP180"/>
      <c r="QJ180" s="424"/>
      <c r="QK180" s="424"/>
      <c r="QL180" s="424"/>
      <c r="QM180" s="424"/>
      <c r="QN180" s="424"/>
      <c r="QO180" s="424"/>
      <c r="QP180" s="424"/>
      <c r="QQ180" s="424"/>
      <c r="QR180" s="424"/>
      <c r="QS180" s="424"/>
      <c r="QT180" s="424"/>
      <c r="QU180" s="424"/>
      <c r="QV180" s="424"/>
      <c r="QW180" s="424"/>
      <c r="QX180" s="424"/>
      <c r="QY180" s="424"/>
      <c r="QZ180" s="424"/>
      <c r="RA180" s="424"/>
      <c r="RT180" s="424"/>
      <c r="RU180" s="424"/>
      <c r="RV180" s="424"/>
      <c r="RW180" s="424"/>
      <c r="RX180" s="424"/>
      <c r="RY180" s="424"/>
      <c r="RZ180" s="424"/>
      <c r="SA180" s="424"/>
      <c r="SB180" s="424"/>
      <c r="SC180" s="424"/>
      <c r="SD180" s="424"/>
      <c r="SE180" s="424"/>
      <c r="SF180" s="424"/>
      <c r="SG180" s="424"/>
      <c r="SH180" s="424"/>
      <c r="SI180" s="424"/>
      <c r="SJ180" s="424"/>
      <c r="SK180" s="424"/>
      <c r="SZ180" s="1374"/>
      <c r="TA180" s="1374"/>
      <c r="TB180" s="1374">
        <v>41843355.537180007</v>
      </c>
      <c r="TC180" s="1374">
        <v>165839928.06287801</v>
      </c>
      <c r="TD180" s="424"/>
      <c r="TE180" s="424"/>
      <c r="TF180" s="424"/>
      <c r="TG180" s="424"/>
      <c r="TH180" s="424"/>
      <c r="TI180" s="424"/>
      <c r="TJ180" s="424"/>
    </row>
    <row r="181" spans="2:530" x14ac:dyDescent="0.25">
      <c r="B181" s="1217"/>
      <c r="C181" s="1388"/>
      <c r="D181" s="1387"/>
      <c r="E181" s="1389"/>
      <c r="F181" s="560"/>
      <c r="G181" s="619"/>
      <c r="H181" s="560"/>
      <c r="I181" s="619"/>
      <c r="J181" s="619"/>
      <c r="K181" s="619"/>
      <c r="L181" s="619"/>
      <c r="M181" s="619"/>
      <c r="N181" s="619"/>
      <c r="T181" s="679"/>
      <c r="U181" s="1417"/>
      <c r="V181" s="63"/>
      <c r="W181" s="42"/>
      <c r="X181" s="63"/>
      <c r="Y181" s="63"/>
      <c r="Z181" s="63"/>
      <c r="AA181" s="63"/>
      <c r="AB181" s="63"/>
      <c r="AC181" s="63"/>
      <c r="AD181" s="63"/>
      <c r="AE181" s="63"/>
      <c r="AF181" s="63"/>
      <c r="AG181" s="1422"/>
      <c r="AH181" s="1422"/>
      <c r="AI181" s="1422"/>
      <c r="AJ181" s="1422"/>
      <c r="OW181"/>
      <c r="OX181"/>
      <c r="OY181"/>
      <c r="OZ181" s="99"/>
      <c r="PA181" s="99"/>
      <c r="PB181" s="99"/>
      <c r="PC181" s="99"/>
      <c r="PD181" s="99"/>
      <c r="PE181" s="99"/>
      <c r="PF181" s="99"/>
      <c r="PG181" s="99"/>
      <c r="PH181" s="99"/>
      <c r="PI181" s="99"/>
      <c r="PJ181" s="99"/>
      <c r="PK181" s="99"/>
      <c r="PL181" s="99"/>
      <c r="PM181"/>
      <c r="PN181"/>
      <c r="PO181"/>
      <c r="PP181"/>
      <c r="QJ181" s="424"/>
      <c r="QK181" s="424"/>
      <c r="QL181" s="424"/>
      <c r="QM181" s="424"/>
      <c r="QN181" s="424"/>
      <c r="QO181" s="424"/>
      <c r="QP181" s="424"/>
      <c r="QQ181" s="424"/>
      <c r="QR181" s="424"/>
      <c r="QS181" s="424"/>
      <c r="QT181" s="424"/>
      <c r="QU181" s="424"/>
      <c r="QV181" s="424"/>
      <c r="QW181" s="424"/>
      <c r="QX181" s="424"/>
      <c r="QY181" s="424"/>
      <c r="QZ181" s="424"/>
      <c r="RA181" s="424"/>
      <c r="RT181" s="424"/>
      <c r="RU181" s="424"/>
      <c r="RV181" s="424"/>
      <c r="RW181" s="424"/>
      <c r="RX181" s="424"/>
      <c r="RY181" s="424"/>
      <c r="RZ181" s="424"/>
      <c r="SA181" s="424"/>
      <c r="SB181" s="424"/>
      <c r="SC181" s="424"/>
      <c r="SD181" s="424"/>
      <c r="SE181" s="424"/>
      <c r="SF181" s="424"/>
      <c r="SG181" s="424"/>
      <c r="SH181" s="424"/>
      <c r="SI181" s="424"/>
      <c r="SJ181" s="424"/>
      <c r="SK181" s="424"/>
      <c r="SZ181" s="1373"/>
      <c r="TA181" s="1373"/>
      <c r="TB181" s="1373">
        <v>-16696738.413552009</v>
      </c>
      <c r="TC181" s="1373">
        <v>-37267733.144352004</v>
      </c>
      <c r="TD181" s="424"/>
      <c r="TE181" s="424"/>
      <c r="TF181" s="424"/>
      <c r="TG181" s="424"/>
      <c r="TH181" s="424"/>
      <c r="TI181" s="424"/>
      <c r="TJ181" s="424"/>
    </row>
    <row r="182" spans="2:530" x14ac:dyDescent="0.25">
      <c r="B182" s="1217"/>
      <c r="C182" s="1388"/>
      <c r="D182" s="1387"/>
      <c r="E182" s="1386"/>
      <c r="F182" s="560"/>
      <c r="G182" s="800"/>
      <c r="H182" s="560"/>
      <c r="I182" s="800"/>
      <c r="J182" s="800"/>
      <c r="K182" s="800"/>
      <c r="L182" s="800"/>
      <c r="M182" s="800"/>
      <c r="N182" s="800"/>
      <c r="T182" s="679"/>
      <c r="U182" s="1417"/>
      <c r="V182" s="63"/>
      <c r="W182" s="42"/>
      <c r="X182" s="63"/>
      <c r="Y182" s="63"/>
      <c r="Z182" s="63"/>
      <c r="AA182" s="63"/>
      <c r="AB182" s="63"/>
      <c r="AC182" s="63"/>
      <c r="AD182" s="63"/>
      <c r="AE182" s="63"/>
      <c r="AF182" s="63"/>
      <c r="AG182" s="1411"/>
      <c r="AH182" s="1411"/>
      <c r="AI182" s="1411"/>
      <c r="AJ182" s="1411"/>
      <c r="OW182"/>
      <c r="OX182"/>
      <c r="OY182"/>
      <c r="OZ182" s="99"/>
      <c r="PA182" s="99"/>
      <c r="PB182" s="99"/>
      <c r="PC182" s="99"/>
      <c r="PD182" s="99"/>
      <c r="PE182" s="99"/>
      <c r="PF182" s="99"/>
      <c r="PG182" s="99"/>
      <c r="PH182" s="99"/>
      <c r="PI182" s="99"/>
      <c r="PJ182" s="99"/>
      <c r="PK182" s="99"/>
      <c r="PL182" s="99"/>
      <c r="PM182"/>
      <c r="PN182"/>
      <c r="PO182"/>
      <c r="PP182"/>
      <c r="QJ182" s="424"/>
      <c r="QK182" s="424"/>
      <c r="QL182" s="424"/>
      <c r="QM182" s="424"/>
      <c r="QN182" s="424"/>
      <c r="QO182" s="424"/>
      <c r="QP182" s="424"/>
      <c r="QQ182" s="424"/>
      <c r="QR182" s="424"/>
      <c r="QS182" s="424"/>
      <c r="QT182" s="424"/>
      <c r="QU182" s="424"/>
      <c r="QV182" s="424"/>
      <c r="QW182" s="424"/>
      <c r="QX182" s="424"/>
      <c r="QY182" s="424"/>
      <c r="QZ182" s="424"/>
      <c r="RA182" s="424"/>
      <c r="RT182" s="424"/>
      <c r="RU182" s="424"/>
      <c r="RV182" s="424"/>
      <c r="RW182" s="424"/>
      <c r="RX182" s="424"/>
      <c r="RY182" s="424"/>
      <c r="RZ182" s="424"/>
      <c r="SA182" s="424"/>
      <c r="SB182" s="424"/>
      <c r="SC182" s="424"/>
      <c r="SD182" s="424"/>
      <c r="SE182" s="424"/>
      <c r="SF182" s="424"/>
      <c r="SG182" s="424"/>
      <c r="SH182" s="424"/>
      <c r="SI182" s="424"/>
      <c r="SJ182" s="424"/>
      <c r="SK182" s="424"/>
      <c r="SZ182" s="1372"/>
      <c r="TA182" s="1372"/>
      <c r="TB182" s="1372">
        <v>-2207900.3880740008</v>
      </c>
      <c r="TC182" s="1372">
        <v>-5348143.3624300007</v>
      </c>
      <c r="TD182" s="424"/>
      <c r="TE182" s="424"/>
      <c r="TF182" s="424"/>
      <c r="TG182" s="424"/>
      <c r="TH182" s="424"/>
      <c r="TI182" s="424"/>
      <c r="TJ182" s="424"/>
    </row>
    <row r="183" spans="2:530" ht="15.75" thickBot="1" x14ac:dyDescent="0.3">
      <c r="B183" s="1384"/>
      <c r="C183" s="1172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T183" s="679"/>
      <c r="U183" s="1417"/>
      <c r="V183" s="63"/>
      <c r="W183" s="42"/>
      <c r="X183" s="20"/>
      <c r="Y183" s="20"/>
      <c r="Z183" s="20"/>
      <c r="AA183" s="20"/>
      <c r="AB183" s="20"/>
      <c r="AC183" s="20"/>
      <c r="AD183" s="20"/>
      <c r="AE183" s="20"/>
      <c r="AF183" s="20"/>
      <c r="AG183" s="1421"/>
      <c r="AH183" s="1421"/>
      <c r="AI183" s="1421"/>
      <c r="AJ183" s="1421"/>
      <c r="OW183"/>
      <c r="OX183"/>
      <c r="OY183"/>
      <c r="OZ183" s="99"/>
      <c r="PA183" s="99"/>
      <c r="PB183" s="99"/>
      <c r="PC183" s="99"/>
      <c r="PD183" s="99"/>
      <c r="PE183" s="99"/>
      <c r="PF183" s="99"/>
      <c r="PG183" s="99"/>
      <c r="PH183" s="99"/>
      <c r="PI183" s="99"/>
      <c r="PJ183" s="99"/>
      <c r="PK183" s="99"/>
      <c r="PL183" s="99"/>
      <c r="PM183"/>
      <c r="PN183"/>
      <c r="PO183"/>
      <c r="PP183"/>
      <c r="QJ183" s="424"/>
      <c r="QK183" s="424"/>
      <c r="QL183" s="424"/>
      <c r="QM183" s="424"/>
      <c r="QN183" s="424"/>
      <c r="QO183" s="424"/>
      <c r="QP183" s="424"/>
      <c r="QQ183" s="424"/>
      <c r="QR183" s="424"/>
      <c r="QS183" s="424"/>
      <c r="QT183" s="424"/>
      <c r="QU183" s="424"/>
      <c r="QV183" s="424"/>
      <c r="QW183" s="424"/>
      <c r="QX183" s="424"/>
      <c r="QY183" s="424"/>
      <c r="QZ183" s="424"/>
      <c r="RA183" s="424"/>
      <c r="RT183" s="424"/>
      <c r="RU183" s="424"/>
      <c r="RV183" s="424"/>
      <c r="RW183" s="424"/>
      <c r="RX183" s="424"/>
      <c r="RY183" s="424"/>
      <c r="RZ183" s="424"/>
      <c r="SA183" s="424"/>
      <c r="SB183" s="424"/>
      <c r="SC183" s="424"/>
      <c r="SD183" s="424"/>
      <c r="SE183" s="424"/>
      <c r="SF183" s="424"/>
      <c r="SG183" s="424"/>
      <c r="SH183" s="424"/>
      <c r="SI183" s="424"/>
      <c r="SJ183" s="424"/>
      <c r="SK183" s="424"/>
      <c r="SZ183" s="1371"/>
      <c r="TA183" s="1371"/>
      <c r="TB183" s="1371">
        <v>22938716.735553999</v>
      </c>
      <c r="TC183" s="1371">
        <v>123224051.556096</v>
      </c>
      <c r="TD183" s="424"/>
      <c r="TE183" s="424"/>
      <c r="TF183" s="424"/>
      <c r="TG183" s="424"/>
      <c r="TH183" s="424"/>
      <c r="TI183" s="424"/>
      <c r="TJ183" s="424"/>
    </row>
    <row r="184" spans="2:530" ht="15.75" thickTop="1" x14ac:dyDescent="0.25">
      <c r="B184" s="1385"/>
      <c r="C184" s="547"/>
      <c r="D184" s="63"/>
      <c r="E184" s="63"/>
      <c r="F184" s="63"/>
      <c r="G184" s="63"/>
      <c r="H184" s="800"/>
      <c r="I184" s="63"/>
      <c r="J184" s="63"/>
      <c r="K184" s="63"/>
      <c r="L184" s="63"/>
      <c r="M184" s="63"/>
      <c r="N184" s="63"/>
      <c r="T184" s="679"/>
      <c r="U184" s="1417"/>
      <c r="V184" s="63"/>
      <c r="W184" s="42"/>
      <c r="X184" s="20"/>
      <c r="Y184" s="20"/>
      <c r="Z184" s="20"/>
      <c r="AA184" s="20"/>
      <c r="AB184" s="20"/>
      <c r="AC184" s="20"/>
      <c r="AD184" s="20"/>
      <c r="AE184" s="20"/>
      <c r="AF184" s="20"/>
      <c r="AG184" s="1416"/>
      <c r="AH184" s="1416"/>
      <c r="AI184" s="1416"/>
      <c r="AJ184" s="1416"/>
      <c r="OW184"/>
      <c r="OX184"/>
      <c r="OY184"/>
      <c r="OZ184" s="99"/>
      <c r="PA184" s="99"/>
      <c r="PB184" s="99"/>
      <c r="PC184" s="99"/>
      <c r="PD184" s="99"/>
      <c r="PE184" s="99"/>
      <c r="PF184" s="99"/>
      <c r="PG184" s="99"/>
      <c r="PH184" s="99"/>
      <c r="PI184" s="99"/>
      <c r="PJ184" s="99"/>
      <c r="PK184" s="99"/>
      <c r="PL184" s="99"/>
      <c r="PM184"/>
      <c r="PN184"/>
      <c r="PO184"/>
      <c r="PP184"/>
      <c r="QJ184" s="424"/>
      <c r="QK184" s="424"/>
      <c r="QL184" s="424"/>
      <c r="QM184" s="424"/>
      <c r="QN184" s="424"/>
      <c r="QO184" s="424"/>
      <c r="QP184" s="424"/>
      <c r="QQ184" s="424"/>
      <c r="QR184" s="424"/>
      <c r="QS184" s="424"/>
      <c r="QT184" s="424"/>
      <c r="QU184" s="424"/>
      <c r="QV184" s="424"/>
      <c r="QW184" s="424"/>
      <c r="QX184" s="424"/>
      <c r="QY184" s="424"/>
      <c r="QZ184" s="424"/>
      <c r="RA184" s="424"/>
      <c r="RT184" s="424"/>
      <c r="RU184" s="424"/>
      <c r="RV184" s="424"/>
      <c r="RW184" s="424"/>
      <c r="RX184" s="424"/>
      <c r="RY184" s="424"/>
      <c r="RZ184" s="424"/>
      <c r="SA184" s="424"/>
      <c r="SB184" s="424"/>
      <c r="SC184" s="424"/>
      <c r="SD184" s="424"/>
      <c r="SE184" s="424"/>
      <c r="SF184" s="424"/>
      <c r="SG184" s="424"/>
      <c r="SH184" s="424"/>
      <c r="SI184" s="424"/>
      <c r="SJ184" s="424"/>
      <c r="SK184" s="424"/>
      <c r="SZ184" s="1375"/>
      <c r="TA184" s="1375"/>
      <c r="TB184" s="1375"/>
      <c r="TC184" s="1375"/>
      <c r="TD184" s="424"/>
      <c r="TE184" s="424"/>
      <c r="TF184" s="424"/>
      <c r="TG184" s="424"/>
      <c r="TH184" s="424"/>
      <c r="TI184" s="424"/>
      <c r="TJ184" s="424"/>
    </row>
    <row r="185" spans="2:530" ht="15.75" thickBot="1" x14ac:dyDescent="0.3">
      <c r="B185" s="1384"/>
      <c r="C185" s="1175"/>
      <c r="D185" s="801"/>
      <c r="E185" s="801"/>
      <c r="F185" s="801"/>
      <c r="G185" s="801"/>
      <c r="H185" s="801"/>
      <c r="I185" s="801"/>
      <c r="J185" s="801"/>
      <c r="K185" s="801"/>
      <c r="L185" s="801"/>
      <c r="M185" s="801"/>
      <c r="N185" s="801"/>
      <c r="T185" s="679"/>
      <c r="U185" s="1415"/>
      <c r="V185" s="63"/>
      <c r="W185" s="42"/>
      <c r="X185" s="63"/>
      <c r="Y185" s="63"/>
      <c r="Z185" s="63"/>
      <c r="AA185" s="63"/>
      <c r="AB185" s="63"/>
      <c r="AC185" s="63"/>
      <c r="AD185" s="63"/>
      <c r="AE185" s="63"/>
      <c r="AF185" s="63"/>
      <c r="AG185" s="1420"/>
      <c r="AH185" s="1420"/>
      <c r="AI185" s="1420"/>
      <c r="AJ185" s="1420"/>
      <c r="OW185"/>
      <c r="OX185"/>
      <c r="OY185"/>
      <c r="OZ185" s="99"/>
      <c r="PA185" s="99"/>
      <c r="PB185" s="99"/>
      <c r="PC185" s="99"/>
      <c r="PD185" s="99"/>
      <c r="PE185" s="99"/>
      <c r="PF185" s="99"/>
      <c r="PG185" s="99"/>
      <c r="PH185" s="99"/>
      <c r="PI185" s="99"/>
      <c r="PJ185" s="99"/>
      <c r="PK185" s="99"/>
      <c r="PL185" s="99"/>
      <c r="PM185"/>
      <c r="PN185"/>
      <c r="PO185"/>
      <c r="PP185"/>
      <c r="QJ185" s="424"/>
      <c r="QK185" s="424"/>
      <c r="QL185" s="424"/>
      <c r="QM185" s="424"/>
      <c r="QN185" s="424"/>
      <c r="QO185" s="424"/>
      <c r="QP185" s="424"/>
      <c r="QQ185" s="424"/>
      <c r="QR185" s="424"/>
      <c r="QS185" s="424"/>
      <c r="QT185" s="424"/>
      <c r="QU185" s="424"/>
      <c r="QV185" s="424"/>
      <c r="QW185" s="424"/>
      <c r="QX185" s="424"/>
      <c r="QY185" s="424"/>
      <c r="QZ185" s="424"/>
      <c r="RA185" s="424"/>
      <c r="RT185" s="424"/>
      <c r="RU185" s="424"/>
      <c r="RV185" s="424"/>
      <c r="RW185" s="424"/>
      <c r="RX185" s="424"/>
      <c r="RY185" s="424"/>
      <c r="RZ185" s="424"/>
      <c r="SA185" s="424"/>
      <c r="SB185" s="424"/>
      <c r="SC185" s="424"/>
      <c r="SD185" s="424"/>
      <c r="SE185" s="424"/>
      <c r="SF185" s="424"/>
      <c r="SG185" s="424"/>
      <c r="SH185" s="424"/>
      <c r="SI185" s="424"/>
      <c r="SJ185" s="424"/>
      <c r="SK185" s="424"/>
      <c r="SZ185" s="1375"/>
      <c r="TA185" s="1375"/>
      <c r="TB185" s="1375"/>
      <c r="TC185" s="1375"/>
      <c r="TD185" s="424"/>
      <c r="TE185" s="424"/>
      <c r="TF185" s="424"/>
      <c r="TG185" s="424"/>
      <c r="TH185" s="424"/>
      <c r="TI185" s="424"/>
      <c r="TJ185" s="424"/>
    </row>
    <row r="186" spans="2:530" ht="15.75" thickTop="1" x14ac:dyDescent="0.25">
      <c r="B186" s="1384"/>
      <c r="C186" s="1175"/>
      <c r="D186" s="801"/>
      <c r="E186" s="801"/>
      <c r="F186" s="801"/>
      <c r="G186" s="801"/>
      <c r="H186" s="801"/>
      <c r="I186" s="801"/>
      <c r="J186" s="801"/>
      <c r="K186" s="801"/>
      <c r="L186" s="801"/>
      <c r="M186" s="801"/>
      <c r="N186" s="801"/>
      <c r="T186" s="679"/>
      <c r="U186" s="1417"/>
      <c r="V186" s="63"/>
      <c r="W186" s="42"/>
      <c r="X186" s="63"/>
      <c r="Y186" s="63"/>
      <c r="Z186" s="63"/>
      <c r="AA186" s="63"/>
      <c r="AB186" s="63"/>
      <c r="AC186" s="63"/>
      <c r="AD186" s="63"/>
      <c r="AE186" s="63"/>
      <c r="AF186" s="63"/>
      <c r="AG186" s="1411"/>
      <c r="AH186" s="1411"/>
      <c r="AI186" s="1411"/>
      <c r="AJ186" s="1411"/>
      <c r="OW186"/>
      <c r="OX186"/>
      <c r="OY186"/>
      <c r="OZ186" s="99"/>
      <c r="PA186" s="99"/>
      <c r="PB186" s="99"/>
      <c r="PC186" s="99"/>
      <c r="PD186" s="99"/>
      <c r="PE186" s="99"/>
      <c r="PF186" s="99"/>
      <c r="PG186" s="99"/>
      <c r="PH186" s="99"/>
      <c r="PI186" s="99"/>
      <c r="PJ186" s="99"/>
      <c r="PK186" s="99"/>
      <c r="PL186" s="99"/>
      <c r="PM186"/>
      <c r="PN186"/>
      <c r="PO186"/>
      <c r="PP186"/>
      <c r="QJ186" s="424"/>
      <c r="QK186" s="424"/>
      <c r="QL186" s="424"/>
      <c r="QM186" s="424"/>
      <c r="QN186" s="424"/>
      <c r="QO186" s="424"/>
      <c r="QP186" s="424"/>
      <c r="QQ186" s="424"/>
      <c r="QR186" s="424"/>
      <c r="QS186" s="424"/>
      <c r="QT186" s="424"/>
      <c r="QU186" s="424"/>
      <c r="QV186" s="424"/>
      <c r="QW186" s="424"/>
      <c r="QX186" s="424"/>
      <c r="QY186" s="424"/>
      <c r="QZ186" s="424"/>
      <c r="RA186" s="424"/>
      <c r="RT186" s="424"/>
      <c r="RU186" s="424"/>
      <c r="RV186" s="424"/>
      <c r="RW186" s="424"/>
      <c r="RX186" s="424"/>
      <c r="RY186" s="424"/>
      <c r="RZ186" s="424"/>
      <c r="SA186" s="424"/>
      <c r="SB186" s="424"/>
      <c r="SC186" s="424"/>
      <c r="SD186" s="424"/>
      <c r="SE186" s="424"/>
      <c r="SF186" s="424"/>
      <c r="SG186" s="424"/>
      <c r="SH186" s="424"/>
      <c r="SI186" s="424"/>
      <c r="SJ186" s="424"/>
      <c r="SK186" s="424"/>
      <c r="SZ186" s="1374"/>
      <c r="TA186" s="1374"/>
      <c r="TB186" s="1381">
        <v>8542731.5000000149</v>
      </c>
      <c r="TC186" s="1374">
        <v>41074648.280000031</v>
      </c>
      <c r="TD186" s="424"/>
      <c r="TE186" s="424"/>
      <c r="TF186" s="424"/>
      <c r="TG186" s="424"/>
      <c r="TH186" s="424"/>
      <c r="TI186" s="424"/>
      <c r="TJ186" s="424"/>
    </row>
    <row r="187" spans="2:530" x14ac:dyDescent="0.25">
      <c r="B187" s="1384"/>
      <c r="C187" s="1175"/>
      <c r="D187" s="801"/>
      <c r="E187" s="801"/>
      <c r="F187" s="801"/>
      <c r="G187" s="801"/>
      <c r="H187" s="801"/>
      <c r="I187" s="801"/>
      <c r="J187" s="801"/>
      <c r="K187" s="801"/>
      <c r="L187" s="801"/>
      <c r="M187" s="801"/>
      <c r="N187" s="801"/>
      <c r="T187" s="679"/>
      <c r="U187" s="1417"/>
      <c r="V187" s="63"/>
      <c r="W187" s="42"/>
      <c r="X187" s="63"/>
      <c r="Y187" s="63"/>
      <c r="Z187" s="63"/>
      <c r="AA187" s="63"/>
      <c r="AB187" s="63"/>
      <c r="AC187" s="63"/>
      <c r="AD187" s="63"/>
      <c r="AE187" s="63"/>
      <c r="AF187" s="63"/>
      <c r="AG187" s="1419"/>
      <c r="AH187" s="1419"/>
      <c r="AI187" s="1419"/>
      <c r="AJ187" s="1419"/>
      <c r="OW187"/>
      <c r="OX187"/>
      <c r="OY187"/>
      <c r="OZ187" s="99"/>
      <c r="PA187" s="99"/>
      <c r="PB187" s="99"/>
      <c r="PC187" s="99"/>
      <c r="PD187" s="99"/>
      <c r="PE187" s="99"/>
      <c r="PF187" s="99"/>
      <c r="PG187" s="99"/>
      <c r="PH187" s="99"/>
      <c r="PI187" s="99"/>
      <c r="PJ187" s="99"/>
      <c r="PK187" s="99"/>
      <c r="PL187" s="99"/>
      <c r="PM187"/>
      <c r="PN187"/>
      <c r="PO187"/>
      <c r="PP187"/>
      <c r="QJ187" s="424"/>
      <c r="QK187" s="424"/>
      <c r="QL187" s="424"/>
      <c r="QM187" s="424"/>
      <c r="QN187" s="424"/>
      <c r="QO187" s="424"/>
      <c r="QP187" s="424"/>
      <c r="QQ187" s="424"/>
      <c r="QR187" s="424"/>
      <c r="QS187" s="424"/>
      <c r="QT187" s="424"/>
      <c r="QU187" s="424"/>
      <c r="QV187" s="424"/>
      <c r="QW187" s="424"/>
      <c r="QX187" s="424"/>
      <c r="QY187" s="424"/>
      <c r="QZ187" s="424"/>
      <c r="RA187" s="424"/>
      <c r="RT187" s="424"/>
      <c r="RU187" s="424"/>
      <c r="RV187" s="424"/>
      <c r="RW187" s="424"/>
      <c r="RX187" s="424"/>
      <c r="RY187" s="424"/>
      <c r="RZ187" s="424"/>
      <c r="SA187" s="424"/>
      <c r="SB187" s="424"/>
      <c r="SC187" s="424"/>
      <c r="SD187" s="424"/>
      <c r="SE187" s="424"/>
      <c r="SF187" s="424"/>
      <c r="SG187" s="424"/>
      <c r="SH187" s="424"/>
      <c r="SI187" s="424"/>
      <c r="SJ187" s="424"/>
      <c r="SK187" s="424"/>
      <c r="SZ187" s="1373"/>
      <c r="TA187" s="1373"/>
      <c r="TB187" s="1380">
        <v>488186.452078</v>
      </c>
      <c r="TC187" s="1373">
        <v>3911898.3094360004</v>
      </c>
      <c r="TD187" s="424"/>
      <c r="TE187" s="424"/>
      <c r="TF187" s="424"/>
      <c r="TG187" s="424"/>
      <c r="TH187" s="424"/>
      <c r="TI187" s="424"/>
      <c r="TJ187" s="424"/>
    </row>
    <row r="188" spans="2:530" x14ac:dyDescent="0.25">
      <c r="B188" s="1383"/>
      <c r="C188" s="20"/>
      <c r="D188" s="800"/>
      <c r="E188" s="800"/>
      <c r="F188" s="800"/>
      <c r="G188" s="800"/>
      <c r="H188" s="800"/>
      <c r="I188" s="800"/>
      <c r="J188" s="800"/>
      <c r="K188" s="800"/>
      <c r="L188" s="800"/>
      <c r="M188" s="800"/>
      <c r="N188" s="800"/>
      <c r="T188" s="679"/>
      <c r="U188" s="1417"/>
      <c r="V188" s="63"/>
      <c r="W188" s="42"/>
      <c r="X188" s="20"/>
      <c r="Y188" s="20"/>
      <c r="Z188" s="20"/>
      <c r="AA188" s="20"/>
      <c r="AB188" s="20"/>
      <c r="AC188" s="20"/>
      <c r="AD188" s="20"/>
      <c r="AE188" s="20"/>
      <c r="AF188" s="20"/>
      <c r="AG188" s="1418"/>
      <c r="AH188" s="1418"/>
      <c r="AI188" s="1418"/>
      <c r="AJ188" s="1418"/>
      <c r="OW188"/>
      <c r="OX188"/>
      <c r="OY188"/>
      <c r="OZ188" s="99"/>
      <c r="PA188" s="99"/>
      <c r="PB188" s="99"/>
      <c r="PC188" s="99"/>
      <c r="PD188" s="99"/>
      <c r="PE188" s="99"/>
      <c r="PF188" s="99"/>
      <c r="PG188" s="99"/>
      <c r="PH188" s="99"/>
      <c r="PI188" s="99"/>
      <c r="PJ188" s="99"/>
      <c r="PK188" s="99"/>
      <c r="PL188" s="99"/>
      <c r="PM188"/>
      <c r="PN188"/>
      <c r="PO188"/>
      <c r="PP188"/>
      <c r="QJ188" s="424"/>
      <c r="QK188" s="424"/>
      <c r="QL188" s="424"/>
      <c r="QM188" s="424"/>
      <c r="QN188" s="424"/>
      <c r="QO188" s="424"/>
      <c r="QP188" s="424"/>
      <c r="QQ188" s="424"/>
      <c r="QR188" s="424"/>
      <c r="QS188" s="424"/>
      <c r="QT188" s="424"/>
      <c r="QU188" s="424"/>
      <c r="QV188" s="424"/>
      <c r="QW188" s="424"/>
      <c r="QX188" s="424"/>
      <c r="QY188" s="424"/>
      <c r="QZ188" s="424"/>
      <c r="RA188" s="424"/>
      <c r="RT188" s="424"/>
      <c r="RU188" s="424"/>
      <c r="RV188" s="424"/>
      <c r="RW188" s="424"/>
      <c r="RX188" s="424"/>
      <c r="RY188" s="424"/>
      <c r="RZ188" s="424"/>
      <c r="SA188" s="424"/>
      <c r="SB188" s="424"/>
      <c r="SC188" s="424"/>
      <c r="SD188" s="424"/>
      <c r="SE188" s="424"/>
      <c r="SF188" s="424"/>
      <c r="SG188" s="424"/>
      <c r="SH188" s="424"/>
      <c r="SI188" s="424"/>
      <c r="SJ188" s="424"/>
      <c r="SK188" s="424"/>
      <c r="SZ188" s="1373"/>
      <c r="TA188" s="1373"/>
      <c r="TB188" s="1380">
        <v>197051.68000000095</v>
      </c>
      <c r="TC188" s="1373">
        <v>1396014.800000001</v>
      </c>
      <c r="TD188" s="424"/>
      <c r="TE188" s="424"/>
      <c r="TF188" s="424"/>
      <c r="TG188" s="424"/>
      <c r="TH188" s="424"/>
      <c r="TI188" s="424"/>
      <c r="TJ188" s="424"/>
    </row>
    <row r="189" spans="2:530" x14ac:dyDescent="0.25">
      <c r="B189" s="1382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T189" s="679"/>
      <c r="U189" s="1417"/>
      <c r="V189" s="63"/>
      <c r="W189" s="42"/>
      <c r="X189" s="20"/>
      <c r="Y189" s="20"/>
      <c r="Z189" s="20"/>
      <c r="AA189" s="20"/>
      <c r="AB189" s="20"/>
      <c r="AC189" s="20"/>
      <c r="AD189" s="20"/>
      <c r="AE189" s="20"/>
      <c r="AF189" s="20"/>
      <c r="AG189" s="1416"/>
      <c r="AH189" s="1416"/>
      <c r="AI189" s="1416"/>
      <c r="AJ189" s="1416"/>
      <c r="OW189"/>
      <c r="OX189"/>
      <c r="OY189"/>
      <c r="OZ189" s="99"/>
      <c r="PA189" s="99"/>
      <c r="PB189" s="99"/>
      <c r="PC189" s="99"/>
      <c r="PD189" s="99"/>
      <c r="PE189" s="99"/>
      <c r="PF189" s="99"/>
      <c r="PG189" s="99"/>
      <c r="PH189" s="99"/>
      <c r="PI189" s="99"/>
      <c r="PJ189" s="99"/>
      <c r="PK189" s="99"/>
      <c r="PL189" s="99"/>
      <c r="PM189"/>
      <c r="PN189"/>
      <c r="PO189"/>
      <c r="PP189"/>
      <c r="QJ189" s="424"/>
      <c r="QK189" s="424"/>
      <c r="QL189" s="424"/>
      <c r="QM189" s="424"/>
      <c r="QN189" s="424"/>
      <c r="QO189" s="424"/>
      <c r="QP189" s="424"/>
      <c r="QQ189" s="424"/>
      <c r="QR189" s="424"/>
      <c r="QS189" s="424"/>
      <c r="QT189" s="424"/>
      <c r="QU189" s="424"/>
      <c r="QV189" s="424"/>
      <c r="QW189" s="424"/>
      <c r="QX189" s="424"/>
      <c r="QY189" s="424"/>
      <c r="QZ189" s="424"/>
      <c r="RA189" s="424"/>
      <c r="RT189" s="424"/>
      <c r="RU189" s="424"/>
      <c r="RV189" s="424"/>
      <c r="RW189" s="424"/>
      <c r="RX189" s="424"/>
      <c r="RY189" s="424"/>
      <c r="RZ189" s="424"/>
      <c r="SA189" s="424"/>
      <c r="SB189" s="424"/>
      <c r="SC189" s="424"/>
      <c r="SD189" s="424"/>
      <c r="SE189" s="424"/>
      <c r="SF189" s="424"/>
      <c r="SG189" s="424"/>
      <c r="SH189" s="424"/>
      <c r="SI189" s="424"/>
      <c r="SJ189" s="424"/>
      <c r="SK189" s="424"/>
      <c r="SZ189" s="1372"/>
      <c r="TA189" s="1372"/>
      <c r="TB189" s="1379">
        <v>5709093.0718640033</v>
      </c>
      <c r="TC189" s="1372">
        <v>23247485.050140008</v>
      </c>
      <c r="TD189" s="424"/>
      <c r="TE189" s="424"/>
      <c r="TF189" s="424"/>
      <c r="TG189" s="424"/>
      <c r="TH189" s="424"/>
      <c r="TI189" s="424"/>
      <c r="TJ189" s="424"/>
    </row>
    <row r="190" spans="2:530" ht="15.75" thickBot="1" x14ac:dyDescent="0.3">
      <c r="B190" s="1382"/>
      <c r="C190" s="1177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T190" s="679"/>
      <c r="U190" s="1415"/>
      <c r="V190" s="63"/>
      <c r="W190" s="42"/>
      <c r="X190" s="63"/>
      <c r="Y190" s="63"/>
      <c r="Z190" s="63"/>
      <c r="AA190" s="63"/>
      <c r="AB190" s="63"/>
      <c r="AC190" s="63"/>
      <c r="AD190" s="63"/>
      <c r="AE190" s="63"/>
      <c r="AF190" s="63"/>
      <c r="AG190" s="1410"/>
      <c r="AH190" s="1410"/>
      <c r="AI190" s="1410"/>
      <c r="AJ190" s="1410"/>
      <c r="OW190"/>
      <c r="OX190"/>
      <c r="OY190"/>
      <c r="OZ190" s="99"/>
      <c r="PA190" s="99"/>
      <c r="PB190" s="99"/>
      <c r="PC190" s="99"/>
      <c r="PD190" s="99"/>
      <c r="PE190" s="99"/>
      <c r="PF190" s="99"/>
      <c r="PG190" s="99"/>
      <c r="PH190" s="99"/>
      <c r="PI190" s="99"/>
      <c r="PJ190" s="99"/>
      <c r="PK190" s="99"/>
      <c r="PL190" s="99"/>
      <c r="PM190"/>
      <c r="PN190"/>
      <c r="PO190"/>
      <c r="PP190"/>
      <c r="QJ190" s="424"/>
      <c r="QK190" s="424"/>
      <c r="QL190" s="424"/>
      <c r="QM190" s="424"/>
      <c r="QN190" s="424"/>
      <c r="QO190" s="424"/>
      <c r="QP190" s="424"/>
      <c r="QQ190" s="424"/>
      <c r="QR190" s="424"/>
      <c r="QS190" s="424"/>
      <c r="QT190" s="424"/>
      <c r="QU190" s="424"/>
      <c r="QV190" s="424"/>
      <c r="QW190" s="424"/>
      <c r="QX190" s="424"/>
      <c r="QY190" s="424"/>
      <c r="QZ190" s="424"/>
      <c r="RA190" s="424"/>
      <c r="RT190" s="424"/>
      <c r="RU190" s="424"/>
      <c r="RV190" s="424"/>
      <c r="RW190" s="424"/>
      <c r="RX190" s="424"/>
      <c r="RY190" s="424"/>
      <c r="RZ190" s="424"/>
      <c r="SA190" s="424"/>
      <c r="SB190" s="424"/>
      <c r="SC190" s="424"/>
      <c r="SD190" s="424"/>
      <c r="SE190" s="424"/>
      <c r="SF190" s="424"/>
      <c r="SG190" s="424"/>
      <c r="SH190" s="424"/>
      <c r="SI190" s="424"/>
      <c r="SJ190" s="424"/>
      <c r="SK190" s="424"/>
      <c r="SZ190" s="1373"/>
      <c r="TA190" s="1373"/>
      <c r="TB190" s="1373">
        <v>14937062.703942019</v>
      </c>
      <c r="TC190" s="1373">
        <v>69630046.439576045</v>
      </c>
      <c r="TD190" s="424"/>
      <c r="TE190" s="424"/>
      <c r="TF190" s="424"/>
      <c r="TG190" s="424"/>
      <c r="TH190" s="424"/>
      <c r="TI190" s="424"/>
      <c r="TJ190" s="424"/>
    </row>
    <row r="191" spans="2:530" ht="15.75" thickTop="1" x14ac:dyDescent="0.25">
      <c r="B191" s="1382"/>
      <c r="C191" s="1198"/>
      <c r="D191" s="647"/>
      <c r="E191" s="647"/>
      <c r="F191" s="647"/>
      <c r="G191" s="647"/>
      <c r="H191" s="647"/>
      <c r="I191" s="647"/>
      <c r="J191" s="647"/>
      <c r="K191" s="647"/>
      <c r="L191" s="647"/>
      <c r="M191" s="647"/>
      <c r="N191" s="647"/>
      <c r="T191" s="1183"/>
      <c r="U191" s="1183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1414"/>
      <c r="AH191" s="1414"/>
      <c r="AI191" s="1414"/>
      <c r="AJ191" s="1414"/>
      <c r="OW191"/>
      <c r="OX191"/>
      <c r="OY191"/>
      <c r="OZ191" s="99"/>
      <c r="PA191" s="99"/>
      <c r="PB191" s="99"/>
      <c r="PC191" s="99"/>
      <c r="PD191" s="99"/>
      <c r="PE191" s="99"/>
      <c r="PF191" s="99"/>
      <c r="PG191" s="99"/>
      <c r="PH191" s="99"/>
      <c r="PI191" s="99"/>
      <c r="PJ191" s="99"/>
      <c r="PK191" s="99"/>
      <c r="PL191" s="99"/>
      <c r="PM191"/>
      <c r="PN191"/>
      <c r="PO191"/>
      <c r="PP191"/>
      <c r="QJ191" s="424"/>
      <c r="QK191" s="424"/>
      <c r="QL191" s="424"/>
      <c r="QM191" s="424"/>
      <c r="QN191" s="424"/>
      <c r="QO191" s="424"/>
      <c r="QP191" s="424"/>
      <c r="QQ191" s="424"/>
      <c r="QR191" s="424"/>
      <c r="QS191" s="424"/>
      <c r="QT191" s="424"/>
      <c r="QU191" s="424"/>
      <c r="QV191" s="424"/>
      <c r="QW191" s="424"/>
      <c r="QX191" s="424"/>
      <c r="QY191" s="424"/>
      <c r="QZ191" s="424"/>
      <c r="RA191" s="424"/>
      <c r="RT191" s="424"/>
      <c r="RU191" s="424"/>
      <c r="RV191" s="424"/>
      <c r="RW191" s="424"/>
      <c r="RX191" s="424"/>
      <c r="RY191" s="424"/>
      <c r="RZ191" s="424"/>
      <c r="SA191" s="424"/>
      <c r="SB191" s="424"/>
      <c r="SC191" s="424"/>
      <c r="SD191" s="424"/>
      <c r="SE191" s="424"/>
      <c r="SF191" s="424"/>
      <c r="SG191" s="424"/>
      <c r="SH191" s="424"/>
      <c r="SI191" s="424"/>
      <c r="SJ191" s="424"/>
      <c r="SK191" s="424"/>
      <c r="SZ191" s="1373"/>
      <c r="TA191" s="1373"/>
      <c r="TB191" s="1373"/>
      <c r="TC191" s="1373"/>
      <c r="TD191" s="424"/>
      <c r="TE191" s="424"/>
      <c r="TF191" s="424"/>
      <c r="TG191" s="424"/>
      <c r="TH191" s="424"/>
      <c r="TI191" s="424"/>
      <c r="TJ191" s="424"/>
    </row>
    <row r="192" spans="2:530" x14ac:dyDescent="0.25">
      <c r="B192" s="1382"/>
      <c r="C192" s="547"/>
      <c r="D192" s="980"/>
      <c r="E192" s="980"/>
      <c r="F192" s="980"/>
      <c r="G192" s="980"/>
      <c r="H192" s="980"/>
      <c r="I192" s="980"/>
      <c r="J192" s="980"/>
      <c r="K192" s="980"/>
      <c r="L192" s="980"/>
      <c r="M192" s="980"/>
      <c r="N192" s="980"/>
      <c r="T192" s="20"/>
      <c r="U192" s="20"/>
      <c r="V192" s="1413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1411"/>
      <c r="AH192" s="1411"/>
      <c r="AI192" s="1411"/>
      <c r="AJ192" s="1411"/>
      <c r="OW192"/>
      <c r="OX192"/>
      <c r="OY192"/>
      <c r="OZ192" s="99"/>
      <c r="PA192" s="99"/>
      <c r="PB192" s="99"/>
      <c r="PC192" s="99"/>
      <c r="PD192" s="99"/>
      <c r="PE192" s="99"/>
      <c r="PF192" s="99"/>
      <c r="PG192" s="99"/>
      <c r="PH192" s="99"/>
      <c r="PI192" s="99"/>
      <c r="PJ192" s="99"/>
      <c r="PK192" s="99"/>
      <c r="PL192" s="99"/>
      <c r="PM192"/>
      <c r="PN192"/>
      <c r="PO192"/>
      <c r="PP192"/>
      <c r="QJ192" s="424"/>
      <c r="QK192" s="424"/>
      <c r="QL192" s="424"/>
      <c r="QM192" s="424"/>
      <c r="QN192" s="424"/>
      <c r="QO192" s="424"/>
      <c r="QP192" s="424"/>
      <c r="QQ192" s="424"/>
      <c r="QR192" s="424"/>
      <c r="QS192" s="424"/>
      <c r="QT192" s="424"/>
      <c r="QU192" s="424"/>
      <c r="QV192" s="424"/>
      <c r="QW192" s="424"/>
      <c r="QX192" s="424"/>
      <c r="QY192" s="424"/>
      <c r="QZ192" s="424"/>
      <c r="RA192" s="424"/>
      <c r="RT192" s="424"/>
      <c r="RU192" s="424"/>
      <c r="RV192" s="424"/>
      <c r="RW192" s="424"/>
      <c r="RX192" s="424"/>
      <c r="RY192" s="424"/>
      <c r="RZ192" s="424"/>
      <c r="SA192" s="424"/>
      <c r="SB192" s="424"/>
      <c r="SC192" s="424"/>
      <c r="SD192" s="424"/>
      <c r="SE192" s="424"/>
      <c r="SF192" s="424"/>
      <c r="SG192" s="424"/>
      <c r="SH192" s="424"/>
      <c r="SI192" s="424"/>
      <c r="SJ192" s="424"/>
      <c r="SK192" s="424"/>
      <c r="SZ192" s="1373"/>
      <c r="TA192" s="1373"/>
      <c r="TB192" s="1373">
        <v>14937062.703942019</v>
      </c>
      <c r="TC192" s="1373">
        <v>69630046.439576045</v>
      </c>
      <c r="TD192" s="424"/>
      <c r="TE192" s="424"/>
      <c r="TF192" s="424"/>
      <c r="TG192" s="424"/>
      <c r="TH192" s="424"/>
      <c r="TI192" s="424"/>
      <c r="TJ192" s="424"/>
    </row>
    <row r="193" spans="2:530" x14ac:dyDescent="0.25">
      <c r="B193" s="523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T193" s="41"/>
      <c r="U193" s="41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1411"/>
      <c r="AH193" s="1411"/>
      <c r="AI193" s="1411"/>
      <c r="AJ193" s="1411"/>
      <c r="OW193"/>
      <c r="OX193"/>
      <c r="OY193"/>
      <c r="OZ193" s="99"/>
      <c r="PA193" s="99"/>
      <c r="PB193" s="99"/>
      <c r="PC193" s="99"/>
      <c r="PD193" s="99"/>
      <c r="PE193" s="99"/>
      <c r="PF193" s="99"/>
      <c r="PG193" s="99"/>
      <c r="PH193" s="99"/>
      <c r="PI193" s="99"/>
      <c r="PJ193" s="99"/>
      <c r="PK193" s="99"/>
      <c r="PL193" s="99"/>
      <c r="PM193"/>
      <c r="PN193"/>
      <c r="PO193"/>
      <c r="PP193"/>
      <c r="QJ193" s="424"/>
      <c r="QK193" s="424"/>
      <c r="QL193" s="424"/>
      <c r="QM193" s="424"/>
      <c r="QN193" s="424"/>
      <c r="QO193" s="424"/>
      <c r="QP193" s="424"/>
      <c r="QQ193" s="424"/>
      <c r="QR193" s="424"/>
      <c r="QS193" s="424"/>
      <c r="QT193" s="424"/>
      <c r="QU193" s="424"/>
      <c r="QV193" s="424"/>
      <c r="QW193" s="424"/>
      <c r="QX193" s="424"/>
      <c r="QY193" s="424"/>
      <c r="QZ193" s="424"/>
      <c r="RA193" s="424"/>
      <c r="RT193" s="424"/>
      <c r="RU193" s="424"/>
      <c r="RV193" s="424"/>
      <c r="RW193" s="424"/>
      <c r="RX193" s="424"/>
      <c r="RY193" s="424"/>
      <c r="RZ193" s="424"/>
      <c r="SA193" s="424"/>
      <c r="SB193" s="424"/>
      <c r="SC193" s="424"/>
      <c r="SD193" s="424"/>
      <c r="SE193" s="424"/>
      <c r="SF193" s="424"/>
      <c r="SG193" s="424"/>
      <c r="SH193" s="424"/>
      <c r="SI193" s="424"/>
      <c r="SJ193" s="424"/>
      <c r="SK193" s="424"/>
      <c r="SZ193" s="1378"/>
      <c r="TA193" s="1378"/>
      <c r="TB193" s="1378"/>
      <c r="TC193" s="1378"/>
      <c r="TD193" s="424"/>
      <c r="TE193" s="424"/>
      <c r="TF193" s="424"/>
      <c r="TG193" s="424"/>
      <c r="TH193" s="424"/>
      <c r="TI193" s="424"/>
      <c r="TJ193" s="424"/>
    </row>
    <row r="194" spans="2:530" x14ac:dyDescent="0.25">
      <c r="B194" s="139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T194" s="41"/>
      <c r="U194" s="893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1411"/>
      <c r="AH194" s="1411"/>
      <c r="AI194" s="1411"/>
      <c r="AJ194" s="1411"/>
      <c r="OW194"/>
      <c r="OX194"/>
      <c r="OY194"/>
      <c r="OZ194" s="99"/>
      <c r="PA194" s="99"/>
      <c r="PB194" s="99"/>
      <c r="PC194" s="99"/>
      <c r="PD194" s="99"/>
      <c r="PE194" s="99"/>
      <c r="PF194" s="99"/>
      <c r="PG194" s="99"/>
      <c r="PH194" s="99"/>
      <c r="PI194" s="99"/>
      <c r="PJ194" s="99"/>
      <c r="PK194" s="99"/>
      <c r="PL194" s="99"/>
      <c r="PM194"/>
      <c r="PN194"/>
      <c r="PO194"/>
      <c r="PP194"/>
      <c r="QJ194" s="424"/>
      <c r="QK194" s="424"/>
      <c r="QL194" s="424"/>
      <c r="QM194" s="424"/>
      <c r="QN194" s="424"/>
      <c r="QO194" s="424"/>
      <c r="QP194" s="424"/>
      <c r="QQ194" s="424"/>
      <c r="QR194" s="424"/>
      <c r="QS194" s="424"/>
      <c r="QT194" s="424"/>
      <c r="QU194" s="424"/>
      <c r="QV194" s="424"/>
      <c r="QW194" s="424"/>
      <c r="QX194" s="424"/>
      <c r="QY194" s="424"/>
      <c r="QZ194" s="424"/>
      <c r="RA194" s="424"/>
      <c r="RT194" s="424"/>
      <c r="RU194" s="424"/>
      <c r="RV194" s="424"/>
      <c r="RW194" s="424"/>
      <c r="RX194" s="424"/>
      <c r="RY194" s="424"/>
      <c r="RZ194" s="424"/>
      <c r="SA194" s="424"/>
      <c r="SB194" s="424"/>
      <c r="SC194" s="424"/>
      <c r="SD194" s="424"/>
      <c r="SE194" s="424"/>
      <c r="SF194" s="424"/>
      <c r="SG194" s="424"/>
      <c r="SH194" s="424"/>
      <c r="SI194" s="424"/>
      <c r="SJ194" s="424"/>
      <c r="SK194" s="424"/>
      <c r="SZ194" s="1372"/>
      <c r="TA194" s="1372"/>
      <c r="TB194" s="1372">
        <v>-3136783.1678278241</v>
      </c>
      <c r="TC194" s="1372">
        <v>-14622309.752310969</v>
      </c>
      <c r="TD194" s="424"/>
      <c r="TE194" s="424"/>
      <c r="TF194" s="424"/>
      <c r="TG194" s="424"/>
      <c r="TH194" s="424"/>
      <c r="TI194" s="424"/>
      <c r="TJ194" s="424"/>
    </row>
    <row r="195" spans="2:530" x14ac:dyDescent="0.25">
      <c r="B195" s="1217"/>
      <c r="C195" s="547"/>
      <c r="D195" s="880"/>
      <c r="E195" s="980"/>
      <c r="F195" s="880"/>
      <c r="G195" s="980"/>
      <c r="H195" s="880"/>
      <c r="I195" s="1412"/>
      <c r="J195" s="1412"/>
      <c r="K195" s="1412"/>
      <c r="L195" s="1412"/>
      <c r="M195" s="1412"/>
      <c r="N195" s="526"/>
      <c r="T195" s="41"/>
      <c r="U195" s="41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1411"/>
      <c r="AH195" s="1411"/>
      <c r="AI195" s="1411"/>
      <c r="AJ195" s="1411"/>
      <c r="OW195"/>
      <c r="OX195"/>
      <c r="OY195"/>
      <c r="OZ195" s="99"/>
      <c r="PA195" s="99"/>
      <c r="PB195" s="99"/>
      <c r="PC195" s="99"/>
      <c r="PD195" s="99"/>
      <c r="PE195" s="99"/>
      <c r="PF195" s="99"/>
      <c r="PG195" s="99"/>
      <c r="PH195" s="99"/>
      <c r="PI195" s="99"/>
      <c r="PJ195" s="99"/>
      <c r="PK195" s="99"/>
      <c r="PL195" s="99"/>
      <c r="PM195"/>
      <c r="PN195"/>
      <c r="PO195"/>
      <c r="PP195"/>
      <c r="QJ195" s="424"/>
      <c r="QK195" s="424"/>
      <c r="QL195" s="424"/>
      <c r="QM195" s="424"/>
      <c r="QN195" s="424"/>
      <c r="QO195" s="424"/>
      <c r="QP195" s="424"/>
      <c r="QQ195" s="424"/>
      <c r="QR195" s="424"/>
      <c r="QS195" s="424"/>
      <c r="QT195" s="424"/>
      <c r="QU195" s="424"/>
      <c r="QV195" s="424"/>
      <c r="QW195" s="424"/>
      <c r="QX195" s="424"/>
      <c r="QY195" s="424"/>
      <c r="QZ195" s="424"/>
      <c r="RA195" s="424"/>
      <c r="RT195" s="424"/>
      <c r="RU195" s="424"/>
      <c r="RV195" s="424"/>
      <c r="RW195" s="424"/>
      <c r="RX195" s="424"/>
      <c r="RY195" s="424"/>
      <c r="RZ195" s="424"/>
      <c r="SA195" s="424"/>
      <c r="SB195" s="424"/>
      <c r="SC195" s="424"/>
      <c r="SD195" s="424"/>
      <c r="SE195" s="424"/>
      <c r="SF195" s="424"/>
      <c r="SG195" s="424"/>
      <c r="SH195" s="424"/>
      <c r="SI195" s="424"/>
      <c r="SJ195" s="424"/>
      <c r="SK195" s="424"/>
      <c r="SZ195" s="1377"/>
      <c r="TA195" s="1377"/>
      <c r="TB195" s="1377"/>
      <c r="TC195" s="1377"/>
      <c r="TD195" s="424"/>
      <c r="TE195" s="424"/>
      <c r="TF195" s="424"/>
      <c r="TG195" s="424"/>
      <c r="TH195" s="424"/>
      <c r="TI195" s="424"/>
      <c r="TJ195" s="424"/>
    </row>
    <row r="196" spans="2:530" ht="15.75" thickBot="1" x14ac:dyDescent="0.3">
      <c r="B196" s="99"/>
      <c r="C196" s="1388"/>
      <c r="D196" s="880"/>
      <c r="E196" s="880"/>
      <c r="F196" s="880"/>
      <c r="G196" s="1052"/>
      <c r="H196" s="880"/>
      <c r="I196" s="1052"/>
      <c r="J196" s="1052"/>
      <c r="K196" s="1052"/>
      <c r="L196" s="1052"/>
      <c r="M196" s="1052"/>
      <c r="N196" s="984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1411"/>
      <c r="AH196" s="1411"/>
      <c r="AI196" s="1411"/>
      <c r="AJ196" s="1411"/>
      <c r="OW196"/>
      <c r="OX196"/>
      <c r="OY196"/>
      <c r="OZ196" s="99"/>
      <c r="PA196" s="99"/>
      <c r="PB196" s="99"/>
      <c r="PC196" s="99"/>
      <c r="PD196" s="99"/>
      <c r="PE196" s="99"/>
      <c r="PF196" s="99"/>
      <c r="PG196" s="99"/>
      <c r="PH196" s="99"/>
      <c r="PI196" s="99"/>
      <c r="PJ196" s="99"/>
      <c r="PK196" s="99"/>
      <c r="PL196" s="99"/>
      <c r="PM196"/>
      <c r="PN196"/>
      <c r="PO196"/>
      <c r="PP196"/>
      <c r="QJ196" s="424"/>
      <c r="QK196" s="424"/>
      <c r="QL196" s="424"/>
      <c r="QM196" s="424"/>
      <c r="QN196" s="424"/>
      <c r="QO196" s="424"/>
      <c r="QP196" s="424"/>
      <c r="QQ196" s="424"/>
      <c r="QR196" s="424"/>
      <c r="QS196" s="424"/>
      <c r="QT196" s="424"/>
      <c r="QU196" s="424"/>
      <c r="QV196" s="424"/>
      <c r="QW196" s="424"/>
      <c r="QX196" s="424"/>
      <c r="QY196" s="424"/>
      <c r="QZ196" s="424"/>
      <c r="RA196" s="424"/>
      <c r="RT196" s="424"/>
      <c r="RU196" s="424"/>
      <c r="RV196" s="424"/>
      <c r="RW196" s="424"/>
      <c r="RX196" s="424"/>
      <c r="RY196" s="424"/>
      <c r="RZ196" s="424"/>
      <c r="SA196" s="424"/>
      <c r="SB196" s="424"/>
      <c r="SC196" s="424"/>
      <c r="SD196" s="424"/>
      <c r="SE196" s="424"/>
      <c r="SF196" s="424"/>
      <c r="SG196" s="424"/>
      <c r="SH196" s="424"/>
      <c r="SI196" s="424"/>
      <c r="SJ196" s="424"/>
      <c r="SK196" s="424"/>
      <c r="SZ196" s="1376"/>
      <c r="TA196" s="1376"/>
      <c r="TB196" s="1376">
        <v>-11800279.536114195</v>
      </c>
      <c r="TC196" s="1376">
        <v>-55007736.687265076</v>
      </c>
      <c r="TD196" s="424"/>
      <c r="TE196" s="424"/>
      <c r="TF196" s="424"/>
      <c r="TG196" s="424"/>
      <c r="TH196" s="424"/>
      <c r="TI196" s="424"/>
      <c r="TJ196" s="424"/>
    </row>
    <row r="197" spans="2:530" ht="15.75" thickTop="1" x14ac:dyDescent="0.25">
      <c r="B197" s="99"/>
      <c r="C197" s="1388"/>
      <c r="D197" s="1392"/>
      <c r="E197" s="1392"/>
      <c r="F197" s="880"/>
      <c r="G197" s="641"/>
      <c r="H197" s="880"/>
      <c r="I197" s="641"/>
      <c r="J197" s="1052"/>
      <c r="K197" s="641"/>
      <c r="L197" s="641"/>
      <c r="M197" s="641"/>
      <c r="N197" s="619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1411"/>
      <c r="AH197" s="1411"/>
      <c r="AI197" s="1411"/>
      <c r="AJ197" s="1411"/>
      <c r="OW197"/>
      <c r="OX197"/>
      <c r="OY197"/>
      <c r="OZ197" s="99"/>
      <c r="PA197" s="99"/>
      <c r="PB197" s="99"/>
      <c r="PC197" s="99"/>
      <c r="PD197" s="99"/>
      <c r="PE197" s="99"/>
      <c r="PF197" s="99"/>
      <c r="PG197" s="99"/>
      <c r="PH197" s="99"/>
      <c r="PI197" s="99"/>
      <c r="PJ197" s="99"/>
      <c r="PK197" s="99"/>
      <c r="PL197" s="99"/>
      <c r="PM197"/>
      <c r="PN197"/>
      <c r="PO197"/>
      <c r="PP197"/>
      <c r="QJ197" s="424"/>
      <c r="QK197" s="424"/>
      <c r="QL197" s="424"/>
      <c r="QM197" s="424"/>
      <c r="QN197" s="424"/>
      <c r="QO197" s="424"/>
      <c r="QP197" s="424"/>
      <c r="QQ197" s="424"/>
      <c r="QR197" s="424"/>
      <c r="QS197" s="424"/>
      <c r="QT197" s="424"/>
      <c r="QU197" s="424"/>
      <c r="QV197" s="424"/>
      <c r="QW197" s="424"/>
      <c r="QX197" s="424"/>
      <c r="QY197" s="424"/>
      <c r="QZ197" s="424"/>
      <c r="RA197" s="424"/>
      <c r="RT197" s="424"/>
      <c r="RU197" s="424"/>
      <c r="RV197" s="424"/>
      <c r="RW197" s="424"/>
      <c r="RX197" s="424"/>
      <c r="RY197" s="424"/>
      <c r="RZ197" s="424"/>
      <c r="SA197" s="424"/>
      <c r="SB197" s="424"/>
      <c r="SC197" s="424"/>
      <c r="SD197" s="424"/>
      <c r="SE197" s="424"/>
      <c r="SF197" s="424"/>
      <c r="SG197" s="424"/>
      <c r="SH197" s="424"/>
      <c r="SI197" s="424"/>
      <c r="SJ197" s="424"/>
      <c r="SK197" s="424"/>
      <c r="SZ197" s="1375"/>
      <c r="TA197" s="1375"/>
      <c r="TB197" s="1375"/>
      <c r="TC197" s="1375"/>
      <c r="TD197" s="424"/>
      <c r="TE197" s="424"/>
      <c r="TF197" s="424"/>
      <c r="TG197" s="424"/>
      <c r="TH197" s="424"/>
      <c r="TI197" s="424"/>
      <c r="TJ197" s="424"/>
    </row>
    <row r="198" spans="2:530" x14ac:dyDescent="0.25">
      <c r="B198" s="99"/>
      <c r="C198" s="1388"/>
      <c r="D198" s="880"/>
      <c r="E198" s="880"/>
      <c r="F198" s="880"/>
      <c r="G198" s="1052"/>
      <c r="H198" s="880"/>
      <c r="I198" s="641"/>
      <c r="J198" s="1052"/>
      <c r="K198" s="641"/>
      <c r="L198" s="641"/>
      <c r="M198" s="641"/>
      <c r="N198" s="619"/>
      <c r="T198" s="72"/>
      <c r="U198" s="72"/>
      <c r="V198" s="1178"/>
      <c r="W198" s="1178"/>
      <c r="X198" s="1178"/>
      <c r="Y198" s="1178"/>
      <c r="Z198" s="1178"/>
      <c r="AA198" s="1178"/>
      <c r="AB198" s="1178"/>
      <c r="AC198" s="1178"/>
      <c r="AD198" s="1178"/>
      <c r="AE198" s="1178"/>
      <c r="AF198" s="1178"/>
      <c r="AG198" s="1411"/>
      <c r="AH198" s="1411"/>
      <c r="AI198" s="1411"/>
      <c r="AJ198" s="1411"/>
      <c r="OW198"/>
      <c r="OX198"/>
      <c r="OY198"/>
      <c r="OZ198" s="99"/>
      <c r="PA198" s="99"/>
      <c r="PB198" s="99"/>
      <c r="PC198" s="99"/>
      <c r="PD198" s="99"/>
      <c r="PE198" s="99"/>
      <c r="PF198" s="99"/>
      <c r="PG198" s="99"/>
      <c r="PH198" s="99"/>
      <c r="PI198" s="99"/>
      <c r="PJ198" s="99"/>
      <c r="PK198" s="99"/>
      <c r="PL198" s="99"/>
      <c r="PM198"/>
      <c r="PN198"/>
      <c r="PO198"/>
      <c r="PP198"/>
      <c r="QJ198" s="424"/>
      <c r="QK198" s="424"/>
      <c r="QL198" s="424"/>
      <c r="QM198" s="424"/>
      <c r="QN198" s="424"/>
      <c r="QO198" s="424"/>
      <c r="QP198" s="424"/>
      <c r="QQ198" s="424"/>
      <c r="QR198" s="424"/>
      <c r="QS198" s="424"/>
      <c r="QT198" s="424"/>
      <c r="QU198" s="424"/>
      <c r="QV198" s="424"/>
      <c r="QW198" s="424"/>
      <c r="QX198" s="424"/>
      <c r="QY198" s="424"/>
      <c r="QZ198" s="424"/>
      <c r="RA198" s="424"/>
      <c r="RT198" s="424"/>
      <c r="RU198" s="424"/>
      <c r="RV198" s="424"/>
      <c r="RW198" s="424"/>
      <c r="RX198" s="424"/>
      <c r="RY198" s="424"/>
      <c r="RZ198" s="424"/>
      <c r="SA198" s="424"/>
      <c r="SB198" s="424"/>
      <c r="SC198" s="424"/>
      <c r="SD198" s="424"/>
      <c r="SE198" s="424"/>
      <c r="SF198" s="424"/>
      <c r="SG198" s="424"/>
      <c r="SH198" s="424"/>
      <c r="SI198" s="424"/>
      <c r="SJ198" s="424"/>
      <c r="SK198" s="424"/>
      <c r="SZ198" s="1374"/>
      <c r="TA198" s="1374"/>
      <c r="TB198" s="1374">
        <v>318588808.81419563</v>
      </c>
      <c r="TC198" s="1374">
        <v>1499337030.4361038</v>
      </c>
      <c r="TD198" s="424"/>
      <c r="TE198" s="424"/>
      <c r="TF198" s="424"/>
      <c r="TG198" s="424"/>
      <c r="TH198" s="424"/>
      <c r="TI198" s="424"/>
      <c r="TJ198" s="424"/>
    </row>
    <row r="199" spans="2:530" ht="15.75" thickBot="1" x14ac:dyDescent="0.3">
      <c r="B199" s="99"/>
      <c r="C199" s="1388"/>
      <c r="D199" s="1392"/>
      <c r="E199" s="1392"/>
      <c r="F199" s="880"/>
      <c r="G199" s="641"/>
      <c r="H199" s="880"/>
      <c r="I199" s="641"/>
      <c r="J199" s="1052"/>
      <c r="K199" s="641"/>
      <c r="L199" s="641"/>
      <c r="M199" s="641"/>
      <c r="N199" s="747"/>
      <c r="T199" s="72"/>
      <c r="U199" s="72"/>
      <c r="V199" s="1232"/>
      <c r="W199" s="1232"/>
      <c r="X199" s="1232"/>
      <c r="Y199" s="1232"/>
      <c r="Z199" s="1232"/>
      <c r="AA199" s="1232"/>
      <c r="AB199" s="1232"/>
      <c r="AC199" s="1232"/>
      <c r="AD199" s="1232"/>
      <c r="AE199" s="1232"/>
      <c r="AF199" s="1232"/>
      <c r="AG199" s="1410"/>
      <c r="AH199" s="1410"/>
      <c r="AI199" s="1410"/>
      <c r="AJ199" s="1410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QJ199" s="424"/>
      <c r="QK199" s="424"/>
      <c r="QL199" s="424"/>
      <c r="QM199" s="424"/>
      <c r="QN199" s="424"/>
      <c r="QO199" s="424"/>
      <c r="QP199" s="424"/>
      <c r="QQ199" s="424"/>
      <c r="QR199" s="424"/>
      <c r="QS199" s="424"/>
      <c r="QT199" s="424"/>
      <c r="QU199" s="424"/>
      <c r="QV199" s="424"/>
      <c r="QW199" s="424"/>
      <c r="QX199" s="424"/>
      <c r="QY199" s="424"/>
      <c r="QZ199" s="424"/>
      <c r="RA199" s="424"/>
      <c r="RT199" s="424"/>
      <c r="RU199" s="424"/>
      <c r="RV199" s="424"/>
      <c r="RW199" s="424"/>
      <c r="RX199" s="424"/>
      <c r="RY199" s="424"/>
      <c r="RZ199" s="424"/>
      <c r="SA199" s="424"/>
      <c r="SB199" s="424"/>
      <c r="SC199" s="424"/>
      <c r="SD199" s="424"/>
      <c r="SE199" s="424"/>
      <c r="SF199" s="424"/>
      <c r="SG199" s="424"/>
      <c r="SH199" s="424"/>
      <c r="SI199" s="424"/>
      <c r="SJ199" s="424"/>
      <c r="SK199" s="424"/>
      <c r="SZ199" s="1373"/>
      <c r="TA199" s="1373"/>
      <c r="TB199" s="1373">
        <v>-62121152.836156011</v>
      </c>
      <c r="TC199" s="1373">
        <v>-140996610.36604401</v>
      </c>
      <c r="TD199" s="424"/>
      <c r="TE199" s="424"/>
      <c r="TF199" s="424"/>
      <c r="TG199" s="424"/>
      <c r="TH199" s="424"/>
      <c r="TI199" s="424"/>
      <c r="TJ199" s="424"/>
    </row>
    <row r="200" spans="2:530" ht="15.75" thickTop="1" x14ac:dyDescent="0.25">
      <c r="B200" s="99"/>
      <c r="C200" s="1388"/>
      <c r="D200" s="880"/>
      <c r="E200" s="880"/>
      <c r="F200" s="880"/>
      <c r="G200" s="641"/>
      <c r="H200" s="880"/>
      <c r="I200" s="641"/>
      <c r="J200" s="1052"/>
      <c r="K200" s="641"/>
      <c r="L200" s="641"/>
      <c r="M200" s="641"/>
      <c r="N200" s="619"/>
      <c r="T200" s="72"/>
      <c r="U200" s="72"/>
      <c r="V200" s="1178"/>
      <c r="W200" s="1178"/>
      <c r="X200" s="72"/>
      <c r="Y200" s="72"/>
      <c r="Z200" s="72"/>
      <c r="AA200" s="72"/>
      <c r="AB200" s="72"/>
      <c r="AC200" s="72"/>
      <c r="AD200" s="72"/>
      <c r="AE200" s="72"/>
      <c r="AF200" s="72"/>
      <c r="AG200" s="1409"/>
      <c r="AH200" s="1409"/>
      <c r="AI200" s="1409"/>
      <c r="AJ200" s="1409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QJ200" s="424"/>
      <c r="QK200" s="424"/>
      <c r="QL200" s="424"/>
      <c r="QM200" s="424"/>
      <c r="QN200" s="424"/>
      <c r="QO200" s="424"/>
      <c r="QP200" s="424"/>
      <c r="QQ200" s="424"/>
      <c r="QR200" s="424"/>
      <c r="QS200" s="424"/>
      <c r="QT200" s="424"/>
      <c r="QU200" s="424"/>
      <c r="QV200" s="424"/>
      <c r="QW200" s="424"/>
      <c r="QX200" s="424"/>
      <c r="QY200" s="424"/>
      <c r="QZ200" s="424"/>
      <c r="RA200" s="424"/>
      <c r="RT200" s="424"/>
      <c r="RU200" s="424"/>
      <c r="RV200" s="424"/>
      <c r="RW200" s="424"/>
      <c r="RX200" s="424"/>
      <c r="RY200" s="424"/>
      <c r="RZ200" s="424"/>
      <c r="SA200" s="424"/>
      <c r="SB200" s="424"/>
      <c r="SC200" s="424"/>
      <c r="SD200" s="424"/>
      <c r="SE200" s="424"/>
      <c r="SF200" s="424"/>
      <c r="SG200" s="424"/>
      <c r="SH200" s="424"/>
      <c r="SI200" s="424"/>
      <c r="SJ200" s="424"/>
      <c r="SK200" s="424"/>
      <c r="SZ200" s="1372"/>
      <c r="TA200" s="1372"/>
      <c r="TB200" s="1372">
        <v>-14627586.319661997</v>
      </c>
      <c r="TC200" s="1372">
        <v>-35198836.125189997</v>
      </c>
      <c r="TD200" s="424"/>
      <c r="TE200" s="424"/>
      <c r="TF200" s="424"/>
      <c r="TG200" s="424"/>
      <c r="TH200" s="424"/>
      <c r="TI200" s="424"/>
      <c r="TJ200" s="424"/>
    </row>
    <row r="201" spans="2:530" ht="15.75" thickBot="1" x14ac:dyDescent="0.3">
      <c r="B201" s="99"/>
      <c r="C201" s="1388"/>
      <c r="D201" s="1392"/>
      <c r="E201" s="1392"/>
      <c r="F201" s="880"/>
      <c r="G201" s="641"/>
      <c r="H201" s="880"/>
      <c r="I201" s="641"/>
      <c r="J201" s="1052"/>
      <c r="K201" s="641"/>
      <c r="L201" s="641"/>
      <c r="M201" s="641"/>
      <c r="N201" s="619"/>
      <c r="T201" s="72"/>
      <c r="U201" s="72"/>
      <c r="V201" s="899"/>
      <c r="W201" s="899"/>
      <c r="X201" s="1399"/>
      <c r="Y201" s="1399"/>
      <c r="Z201" s="1399"/>
      <c r="AA201" s="1399"/>
      <c r="AB201" s="1399"/>
      <c r="AC201" s="1399"/>
      <c r="AD201" s="1399"/>
      <c r="AE201" s="1399"/>
      <c r="AF201" s="1399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QJ201" s="424"/>
      <c r="QK201" s="424"/>
      <c r="QL201" s="424"/>
      <c r="QM201" s="424"/>
      <c r="QN201" s="424"/>
      <c r="QO201" s="424"/>
      <c r="QP201" s="424"/>
      <c r="QQ201" s="424"/>
      <c r="QR201" s="424"/>
      <c r="QS201" s="424"/>
      <c r="QT201" s="424"/>
      <c r="QU201" s="424"/>
      <c r="QV201" s="424"/>
      <c r="QW201" s="424"/>
      <c r="QX201" s="424"/>
      <c r="QY201" s="424"/>
      <c r="QZ201" s="424"/>
      <c r="RA201" s="424"/>
      <c r="RT201" s="424"/>
      <c r="RU201" s="424"/>
      <c r="RV201" s="424"/>
      <c r="RW201" s="424"/>
      <c r="RX201" s="424"/>
      <c r="RY201" s="424"/>
      <c r="RZ201" s="424"/>
      <c r="SA201" s="424"/>
      <c r="SB201" s="424"/>
      <c r="SC201" s="424"/>
      <c r="SD201" s="424"/>
      <c r="SE201" s="424"/>
      <c r="SF201" s="424"/>
      <c r="SG201" s="424"/>
      <c r="SH201" s="424"/>
      <c r="SI201" s="424"/>
      <c r="SJ201" s="424"/>
      <c r="SK201" s="424"/>
      <c r="SZ201" s="1371"/>
      <c r="TA201" s="1371"/>
      <c r="TB201" s="1371">
        <v>241840069.65837762</v>
      </c>
      <c r="TC201" s="1371">
        <v>1323141583.9448698</v>
      </c>
      <c r="TD201" s="424"/>
      <c r="TE201" s="424"/>
      <c r="TF201" s="424"/>
      <c r="TG201" s="424"/>
      <c r="TH201" s="424"/>
      <c r="TI201" s="424"/>
      <c r="TJ201" s="424"/>
    </row>
    <row r="202" spans="2:530" ht="15.75" thickTop="1" x14ac:dyDescent="0.25">
      <c r="B202" s="99"/>
      <c r="C202" s="1388"/>
      <c r="D202" s="72"/>
      <c r="E202" s="1392"/>
      <c r="F202" s="72"/>
      <c r="G202" s="72"/>
      <c r="H202" s="880"/>
      <c r="I202" s="641"/>
      <c r="J202" s="1052"/>
      <c r="K202" s="641"/>
      <c r="L202" s="641"/>
      <c r="M202" s="641"/>
      <c r="N202" s="619"/>
      <c r="T202" s="72"/>
      <c r="U202" s="72"/>
      <c r="V202" s="1178"/>
      <c r="W202" s="1178"/>
      <c r="X202" s="72"/>
      <c r="Y202" s="72"/>
      <c r="Z202" s="72"/>
      <c r="AA202" s="72"/>
      <c r="AB202" s="72"/>
      <c r="AC202" s="72"/>
      <c r="AD202" s="72"/>
      <c r="AE202" s="72"/>
      <c r="AF202" s="7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QJ202" s="424"/>
      <c r="QK202" s="424"/>
      <c r="QL202" s="424"/>
      <c r="QM202" s="424"/>
      <c r="QN202" s="424"/>
      <c r="QO202" s="424"/>
      <c r="QP202" s="424"/>
      <c r="QQ202" s="424"/>
      <c r="QR202" s="424"/>
      <c r="QS202" s="424"/>
      <c r="QT202" s="424"/>
      <c r="QU202" s="424"/>
      <c r="QV202" s="424"/>
      <c r="QW202" s="424"/>
      <c r="QX202" s="424"/>
      <c r="QY202" s="424"/>
      <c r="QZ202" s="424"/>
      <c r="RA202" s="424"/>
      <c r="RT202" s="424"/>
      <c r="RU202" s="424"/>
      <c r="RV202" s="424"/>
      <c r="RW202" s="424"/>
      <c r="RX202" s="424"/>
      <c r="RY202" s="424"/>
      <c r="RZ202" s="424"/>
      <c r="SA202" s="424"/>
      <c r="SB202" s="424"/>
      <c r="SC202" s="424"/>
      <c r="SD202" s="424"/>
      <c r="SE202" s="424"/>
      <c r="SF202" s="424"/>
      <c r="SG202" s="424"/>
      <c r="SH202" s="424"/>
      <c r="SI202" s="424"/>
      <c r="SJ202" s="424"/>
      <c r="SK202" s="424"/>
      <c r="SZ202" s="424"/>
      <c r="TA202" s="424"/>
      <c r="TB202" s="424"/>
      <c r="TC202" s="424"/>
      <c r="TD202" s="424"/>
      <c r="TE202" s="424"/>
      <c r="TF202" s="424"/>
      <c r="TG202" s="424"/>
      <c r="TH202" s="424"/>
      <c r="TI202" s="424"/>
      <c r="TJ202" s="424"/>
    </row>
    <row r="203" spans="2:530" x14ac:dyDescent="0.25">
      <c r="B203" s="99"/>
      <c r="C203" s="1388"/>
      <c r="D203" s="880"/>
      <c r="E203" s="880"/>
      <c r="F203" s="880"/>
      <c r="G203" s="641"/>
      <c r="H203" s="880"/>
      <c r="I203" s="641"/>
      <c r="J203" s="1052"/>
      <c r="K203" s="641"/>
      <c r="L203" s="641"/>
      <c r="M203" s="641"/>
      <c r="N203" s="619"/>
      <c r="T203" s="72"/>
      <c r="U203" s="72"/>
      <c r="V203" s="1232"/>
      <c r="W203" s="1232"/>
      <c r="X203" s="72"/>
      <c r="Y203" s="72"/>
      <c r="Z203" s="72"/>
      <c r="AA203" s="72"/>
      <c r="AB203" s="72"/>
      <c r="AC203" s="72"/>
      <c r="AD203" s="72"/>
      <c r="AE203" s="72"/>
      <c r="AF203" s="72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QJ203" s="424"/>
      <c r="QK203" s="424"/>
      <c r="QL203" s="424"/>
      <c r="QM203" s="424"/>
      <c r="QN203" s="424"/>
      <c r="QO203" s="424"/>
      <c r="QP203" s="424"/>
      <c r="QQ203" s="424"/>
      <c r="QR203" s="424"/>
      <c r="QS203" s="424"/>
      <c r="QT203" s="424"/>
      <c r="QU203" s="424"/>
      <c r="QV203" s="424"/>
      <c r="QW203" s="424"/>
      <c r="QX203" s="424"/>
      <c r="QY203" s="424"/>
      <c r="QZ203" s="424"/>
      <c r="RA203" s="424"/>
      <c r="RT203" s="424"/>
      <c r="RU203" s="424"/>
      <c r="RV203" s="424"/>
      <c r="RW203" s="424"/>
      <c r="RX203" s="424"/>
      <c r="RY203" s="424"/>
      <c r="RZ203" s="424"/>
      <c r="SA203" s="424"/>
      <c r="SB203" s="424"/>
      <c r="SC203" s="424"/>
      <c r="SD203" s="424"/>
      <c r="SE203" s="424"/>
      <c r="SF203" s="424"/>
      <c r="SG203" s="424"/>
      <c r="SH203" s="424"/>
      <c r="SI203" s="424"/>
      <c r="SJ203" s="424"/>
      <c r="SK203" s="424"/>
      <c r="SZ203" s="424"/>
      <c r="TA203" s="424"/>
      <c r="TB203" s="424"/>
      <c r="TC203" s="424"/>
      <c r="TD203" s="424"/>
      <c r="TE203" s="424"/>
      <c r="TF203" s="424"/>
      <c r="TG203" s="424"/>
      <c r="TH203" s="424"/>
      <c r="TI203" s="424"/>
      <c r="TJ203" s="424"/>
    </row>
    <row r="204" spans="2:530" x14ac:dyDescent="0.25">
      <c r="B204" s="99"/>
      <c r="C204" s="1388"/>
      <c r="D204" s="880"/>
      <c r="E204" s="880"/>
      <c r="F204" s="880"/>
      <c r="G204" s="641"/>
      <c r="H204" s="880"/>
      <c r="I204" s="641"/>
      <c r="J204" s="1052"/>
      <c r="K204" s="641"/>
      <c r="L204" s="641"/>
      <c r="M204" s="641"/>
      <c r="N204" s="619"/>
      <c r="T204" s="72"/>
      <c r="U204" s="72"/>
      <c r="V204" s="1232"/>
      <c r="W204" s="1232"/>
      <c r="X204" s="72"/>
      <c r="Y204" s="72"/>
      <c r="Z204" s="72"/>
      <c r="AA204" s="72"/>
      <c r="AB204" s="72"/>
      <c r="AC204" s="72"/>
      <c r="AD204" s="72"/>
      <c r="AE204" s="72"/>
      <c r="AF204" s="72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QJ204" s="424"/>
      <c r="QK204" s="424"/>
      <c r="QL204" s="424"/>
      <c r="QM204" s="424"/>
      <c r="QN204" s="424"/>
      <c r="QO204" s="424"/>
      <c r="QP204" s="424"/>
      <c r="QQ204" s="424"/>
      <c r="QR204" s="424"/>
      <c r="QS204" s="424"/>
      <c r="QT204" s="424"/>
      <c r="QU204" s="424"/>
      <c r="QV204" s="424"/>
      <c r="QW204" s="424"/>
      <c r="QX204" s="424"/>
      <c r="QY204" s="424"/>
      <c r="QZ204" s="424"/>
      <c r="RA204" s="424"/>
      <c r="RT204" s="424"/>
      <c r="RU204" s="424"/>
      <c r="RV204" s="424"/>
      <c r="RW204" s="424"/>
      <c r="RX204" s="424"/>
      <c r="RY204" s="424"/>
      <c r="RZ204" s="424"/>
      <c r="SA204" s="424"/>
      <c r="SB204" s="424"/>
      <c r="SC204" s="424"/>
      <c r="SD204" s="424"/>
      <c r="SE204" s="424"/>
      <c r="SF204" s="424"/>
      <c r="SG204" s="424"/>
      <c r="SH204" s="424"/>
      <c r="SI204" s="424"/>
      <c r="SJ204" s="424"/>
      <c r="SK204" s="424"/>
      <c r="SZ204" s="424"/>
      <c r="TA204" s="424"/>
      <c r="TB204" s="424"/>
      <c r="TC204" s="424"/>
      <c r="TD204" s="424"/>
      <c r="TE204" s="424"/>
      <c r="TF204" s="424"/>
      <c r="TG204" s="424"/>
      <c r="TH204" s="424"/>
      <c r="TI204" s="424"/>
      <c r="TJ204" s="424"/>
    </row>
    <row r="205" spans="2:530" x14ac:dyDescent="0.25">
      <c r="B205" s="99"/>
      <c r="C205" s="1388"/>
      <c r="D205" s="880"/>
      <c r="E205" s="880"/>
      <c r="F205" s="880"/>
      <c r="G205" s="641"/>
      <c r="H205" s="880"/>
      <c r="I205" s="641"/>
      <c r="J205" s="1052"/>
      <c r="K205" s="641"/>
      <c r="L205" s="641"/>
      <c r="M205" s="641"/>
      <c r="N205" s="619"/>
      <c r="T205" s="72"/>
      <c r="U205" s="72"/>
      <c r="V205" s="1232"/>
      <c r="W205" s="1232"/>
      <c r="X205" s="72"/>
      <c r="Y205" s="72"/>
      <c r="Z205" s="72"/>
      <c r="AA205" s="72"/>
      <c r="AB205" s="72"/>
      <c r="AC205" s="72"/>
      <c r="AD205" s="72"/>
      <c r="AE205" s="72"/>
      <c r="AF205" s="72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QJ205" s="424"/>
      <c r="QK205" s="424"/>
      <c r="QL205" s="424"/>
      <c r="QM205" s="424"/>
      <c r="QN205" s="424"/>
      <c r="QO205" s="424"/>
      <c r="QP205" s="424"/>
      <c r="QQ205" s="424"/>
      <c r="QR205" s="424"/>
      <c r="QS205" s="424"/>
      <c r="QT205" s="424"/>
      <c r="QU205" s="424"/>
      <c r="QV205" s="424"/>
      <c r="QW205" s="424"/>
      <c r="QX205" s="424"/>
      <c r="QY205" s="424"/>
      <c r="QZ205" s="424"/>
      <c r="RA205" s="424"/>
      <c r="RT205" s="424"/>
      <c r="RU205" s="424"/>
      <c r="RV205" s="424"/>
      <c r="RW205" s="424"/>
      <c r="RX205" s="424"/>
      <c r="RY205" s="424"/>
      <c r="RZ205" s="424"/>
      <c r="SA205" s="424"/>
      <c r="SB205" s="424"/>
      <c r="SC205" s="424"/>
      <c r="SD205" s="424"/>
      <c r="SE205" s="424"/>
      <c r="SF205" s="424"/>
      <c r="SG205" s="424"/>
      <c r="SH205" s="424"/>
      <c r="SI205" s="424"/>
      <c r="SJ205" s="424"/>
      <c r="SK205" s="424"/>
      <c r="SZ205" s="1408"/>
      <c r="TA205" s="1408"/>
      <c r="TB205" s="1408" t="s">
        <v>57</v>
      </c>
      <c r="TC205" s="1408" t="s">
        <v>58</v>
      </c>
      <c r="TD205" s="424"/>
      <c r="TE205" s="424"/>
      <c r="TF205" s="424"/>
      <c r="TG205" s="424"/>
      <c r="TH205" s="424"/>
      <c r="TI205" s="424"/>
      <c r="TJ205" s="424"/>
    </row>
    <row r="206" spans="2:530" x14ac:dyDescent="0.25">
      <c r="B206" s="99"/>
      <c r="C206" s="1388"/>
      <c r="D206" s="1392"/>
      <c r="E206" s="1392"/>
      <c r="F206" s="880"/>
      <c r="G206" s="1392"/>
      <c r="H206" s="880"/>
      <c r="I206" s="641"/>
      <c r="J206" s="1052"/>
      <c r="K206" s="641"/>
      <c r="L206" s="641"/>
      <c r="M206" s="641"/>
      <c r="N206" s="619"/>
      <c r="T206" s="72"/>
      <c r="U206" s="72"/>
      <c r="V206" s="1232"/>
      <c r="W206" s="1232"/>
      <c r="X206" s="72"/>
      <c r="Y206" s="72"/>
      <c r="Z206" s="72"/>
      <c r="AA206" s="72"/>
      <c r="AB206" s="72"/>
      <c r="AC206" s="72"/>
      <c r="AD206" s="72"/>
      <c r="AE206" s="72"/>
      <c r="AF206" s="72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QJ206" s="424"/>
      <c r="QK206" s="424"/>
      <c r="QL206" s="424"/>
      <c r="QM206" s="424"/>
      <c r="QN206" s="424"/>
      <c r="QO206" s="424"/>
      <c r="QP206" s="424"/>
      <c r="QQ206" s="424"/>
      <c r="QR206" s="424"/>
      <c r="QS206" s="424"/>
      <c r="QT206" s="424"/>
      <c r="QU206" s="424"/>
      <c r="QV206" s="424"/>
      <c r="QW206" s="424"/>
      <c r="QX206" s="424"/>
      <c r="QY206" s="424"/>
      <c r="QZ206" s="424"/>
      <c r="RA206" s="424"/>
      <c r="RT206" s="424"/>
      <c r="RU206" s="424"/>
      <c r="RV206" s="424"/>
      <c r="RW206" s="424"/>
      <c r="RX206" s="424"/>
      <c r="RY206" s="424"/>
      <c r="RZ206" s="424"/>
      <c r="SA206" s="424"/>
      <c r="SB206" s="424"/>
      <c r="SC206" s="424"/>
      <c r="SD206" s="424"/>
      <c r="SE206" s="424"/>
      <c r="SF206" s="424"/>
      <c r="SG206" s="424"/>
      <c r="SH206" s="424"/>
      <c r="SI206" s="424"/>
      <c r="SJ206" s="424"/>
      <c r="SK206" s="424"/>
      <c r="SZ206" s="1407"/>
      <c r="TA206" s="1407"/>
      <c r="TB206" s="1407">
        <v>2025</v>
      </c>
      <c r="TC206" s="1406" t="s">
        <v>62</v>
      </c>
      <c r="TD206" s="424"/>
      <c r="TE206" s="424"/>
      <c r="TF206" s="424"/>
      <c r="TG206" s="424"/>
      <c r="TH206" s="424"/>
      <c r="TI206" s="424"/>
      <c r="TJ206" s="424"/>
    </row>
    <row r="207" spans="2:530" x14ac:dyDescent="0.25">
      <c r="B207" s="99"/>
      <c r="C207" s="1388"/>
      <c r="D207" s="1392"/>
      <c r="E207" s="1392"/>
      <c r="F207" s="880"/>
      <c r="G207" s="641"/>
      <c r="H207" s="880"/>
      <c r="I207" s="641"/>
      <c r="J207" s="1052"/>
      <c r="K207" s="641"/>
      <c r="L207" s="641"/>
      <c r="M207" s="641"/>
      <c r="N207" s="1394"/>
      <c r="T207" s="72"/>
      <c r="U207" s="72"/>
      <c r="V207" s="1232"/>
      <c r="W207" s="1232"/>
      <c r="X207" s="72"/>
      <c r="Y207" s="72"/>
      <c r="Z207" s="72"/>
      <c r="AA207" s="72"/>
      <c r="AB207" s="72"/>
      <c r="AC207" s="72"/>
      <c r="AD207" s="72"/>
      <c r="AE207" s="72"/>
      <c r="AF207" s="72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QJ207" s="424"/>
      <c r="QK207" s="424"/>
      <c r="QL207" s="424"/>
      <c r="QM207" s="424"/>
      <c r="QN207" s="424"/>
      <c r="QO207" s="424"/>
      <c r="QP207" s="424"/>
      <c r="QQ207" s="424"/>
      <c r="QR207" s="424"/>
      <c r="QS207" s="424"/>
      <c r="QT207" s="424"/>
      <c r="QU207" s="424"/>
      <c r="QV207" s="424"/>
      <c r="QW207" s="424"/>
      <c r="QX207" s="424"/>
      <c r="QY207" s="424"/>
      <c r="QZ207" s="424"/>
      <c r="RA207" s="424"/>
      <c r="RT207" s="424"/>
      <c r="RU207" s="424"/>
      <c r="RV207" s="424"/>
      <c r="RW207" s="424"/>
      <c r="RX207" s="424"/>
      <c r="RY207" s="424"/>
      <c r="RZ207" s="424"/>
      <c r="SA207" s="424"/>
      <c r="SB207" s="424"/>
      <c r="SC207" s="424"/>
      <c r="SD207" s="424"/>
      <c r="SE207" s="424"/>
      <c r="SF207" s="424"/>
      <c r="SG207" s="424"/>
      <c r="SH207" s="424"/>
      <c r="SI207" s="424"/>
      <c r="SJ207" s="424"/>
      <c r="SK207" s="424"/>
      <c r="SZ207" s="1405"/>
      <c r="TA207" s="1405"/>
      <c r="TB207" s="1405" t="s">
        <v>11</v>
      </c>
      <c r="TC207" s="1404" t="s">
        <v>66</v>
      </c>
      <c r="TD207" s="424"/>
      <c r="TE207" s="424"/>
      <c r="TF207" s="424"/>
      <c r="TG207" s="424"/>
      <c r="TH207" s="424"/>
      <c r="TI207" s="424"/>
      <c r="TJ207" s="424"/>
    </row>
    <row r="208" spans="2:530" x14ac:dyDescent="0.25">
      <c r="B208" s="99"/>
      <c r="C208" s="1388"/>
      <c r="D208" s="1392"/>
      <c r="E208" s="1392"/>
      <c r="F208" s="880"/>
      <c r="G208" s="641"/>
      <c r="H208" s="880"/>
      <c r="I208" s="641"/>
      <c r="J208" s="1052"/>
      <c r="K208" s="641"/>
      <c r="L208" s="641"/>
      <c r="M208" s="641"/>
      <c r="N208" s="1394"/>
      <c r="T208" s="72"/>
      <c r="U208" s="72"/>
      <c r="V208" s="1232"/>
      <c r="W208" s="1232"/>
      <c r="X208" s="72"/>
      <c r="Y208" s="72"/>
      <c r="Z208" s="72"/>
      <c r="AA208" s="72"/>
      <c r="AB208" s="72"/>
      <c r="AC208" s="72"/>
      <c r="AD208" s="72"/>
      <c r="AE208" s="72"/>
      <c r="AF208" s="72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QJ208" s="424"/>
      <c r="QK208" s="424"/>
      <c r="QL208" s="424"/>
      <c r="QM208" s="424"/>
      <c r="QN208" s="424"/>
      <c r="QO208" s="424"/>
      <c r="QP208" s="424"/>
      <c r="QQ208" s="424"/>
      <c r="QR208" s="424"/>
      <c r="QS208" s="424"/>
      <c r="QT208" s="424"/>
      <c r="QU208" s="424"/>
      <c r="QV208" s="424"/>
      <c r="QW208" s="424"/>
      <c r="QX208" s="424"/>
      <c r="QY208" s="424"/>
      <c r="QZ208" s="424"/>
      <c r="RA208" s="424"/>
      <c r="RT208" s="424"/>
      <c r="RU208" s="424"/>
      <c r="RV208" s="424"/>
      <c r="RW208" s="424"/>
      <c r="RX208" s="424"/>
      <c r="RY208" s="424"/>
      <c r="RZ208" s="424"/>
      <c r="SA208" s="424"/>
      <c r="SB208" s="424"/>
      <c r="SC208" s="424"/>
      <c r="SD208" s="424"/>
      <c r="SE208" s="424"/>
      <c r="SF208" s="424"/>
      <c r="SG208" s="424"/>
      <c r="SH208" s="424"/>
      <c r="SI208" s="424"/>
      <c r="SJ208" s="424"/>
      <c r="SK208" s="424"/>
      <c r="SZ208" s="1405"/>
      <c r="TA208" s="1405"/>
      <c r="TB208" s="1405" t="s">
        <v>183</v>
      </c>
      <c r="TC208" s="1404" t="s">
        <v>73</v>
      </c>
      <c r="TD208" s="424"/>
      <c r="TE208" s="424"/>
      <c r="TF208" s="424"/>
      <c r="TG208" s="424"/>
      <c r="TH208" s="424"/>
      <c r="TI208" s="424"/>
      <c r="TJ208" s="424"/>
    </row>
    <row r="209" spans="2:530" x14ac:dyDescent="0.25">
      <c r="B209" s="99"/>
      <c r="C209" s="1388"/>
      <c r="D209" s="1392"/>
      <c r="E209" s="1392"/>
      <c r="F209" s="880"/>
      <c r="G209" s="641"/>
      <c r="H209" s="880"/>
      <c r="I209" s="641"/>
      <c r="J209" s="1052"/>
      <c r="K209" s="641"/>
      <c r="L209" s="641"/>
      <c r="M209" s="641"/>
      <c r="N209" s="1394"/>
      <c r="T209" s="72"/>
      <c r="U209" s="72"/>
      <c r="V209" s="1178"/>
      <c r="W209" s="1178"/>
      <c r="X209" s="72"/>
      <c r="Y209" s="72"/>
      <c r="Z209" s="72"/>
      <c r="AA209" s="72"/>
      <c r="AB209" s="72"/>
      <c r="AC209" s="72"/>
      <c r="AD209" s="72"/>
      <c r="AE209" s="72"/>
      <c r="AF209" s="72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QJ209" s="424"/>
      <c r="QK209" s="424"/>
      <c r="QL209" s="424"/>
      <c r="QM209" s="424"/>
      <c r="QN209" s="424"/>
      <c r="QO209" s="424"/>
      <c r="QP209" s="424"/>
      <c r="QQ209" s="424"/>
      <c r="QR209" s="424"/>
      <c r="QS209" s="424"/>
      <c r="QT209" s="424"/>
      <c r="QU209" s="424"/>
      <c r="QV209" s="424"/>
      <c r="QW209" s="424"/>
      <c r="QX209" s="424"/>
      <c r="QY209" s="424"/>
      <c r="QZ209" s="424"/>
      <c r="RA209" s="424"/>
      <c r="RT209" s="424"/>
      <c r="RU209" s="424"/>
      <c r="RV209" s="424"/>
      <c r="RW209" s="424"/>
      <c r="RX209" s="424"/>
      <c r="RY209" s="424"/>
      <c r="RZ209" s="424"/>
      <c r="SA209" s="424"/>
      <c r="SB209" s="424"/>
      <c r="SC209" s="424"/>
      <c r="SD209" s="424"/>
      <c r="SE209" s="424"/>
      <c r="SF209" s="424"/>
      <c r="SG209" s="424"/>
      <c r="SH209" s="424"/>
      <c r="SI209" s="424"/>
      <c r="SJ209" s="424"/>
      <c r="SK209" s="424"/>
      <c r="SZ209" s="1403"/>
      <c r="TA209" s="1403"/>
      <c r="TB209" s="1403" t="s">
        <v>75</v>
      </c>
      <c r="TC209" s="1402" t="s">
        <v>11</v>
      </c>
      <c r="TD209" s="424"/>
      <c r="TE209" s="424"/>
      <c r="TF209" s="424"/>
      <c r="TG209" s="424"/>
      <c r="TH209" s="424"/>
      <c r="TI209" s="424"/>
      <c r="TJ209" s="424"/>
    </row>
    <row r="210" spans="2:530" x14ac:dyDescent="0.25">
      <c r="B210" s="99"/>
      <c r="C210" s="1388"/>
      <c r="D210" s="1392"/>
      <c r="E210" s="1392"/>
      <c r="F210" s="880"/>
      <c r="G210" s="641"/>
      <c r="H210" s="880"/>
      <c r="I210" s="641"/>
      <c r="J210" s="1052"/>
      <c r="K210" s="641"/>
      <c r="L210" s="641"/>
      <c r="M210" s="641"/>
      <c r="N210" s="1394"/>
      <c r="T210" s="72"/>
      <c r="U210" s="72"/>
      <c r="V210" s="1399"/>
      <c r="W210" s="1399"/>
      <c r="X210" s="1399"/>
      <c r="Y210" s="1399"/>
      <c r="Z210" s="1399"/>
      <c r="AA210" s="1398"/>
      <c r="AB210" s="1398"/>
      <c r="AC210" s="1398"/>
      <c r="AD210" s="1398"/>
      <c r="AE210" s="1398"/>
      <c r="AF210" s="1398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QJ210" s="424"/>
      <c r="QK210" s="424"/>
      <c r="QL210" s="424"/>
      <c r="QM210" s="424"/>
      <c r="QN210" s="424"/>
      <c r="QO210" s="424"/>
      <c r="QP210" s="424"/>
      <c r="QQ210" s="424"/>
      <c r="QR210" s="424"/>
      <c r="QS210" s="424"/>
      <c r="QT210" s="424"/>
      <c r="QU210" s="424"/>
      <c r="QV210" s="424"/>
      <c r="QW210" s="424"/>
      <c r="QX210" s="424"/>
      <c r="QY210" s="424"/>
      <c r="QZ210" s="424"/>
      <c r="RA210" s="424"/>
      <c r="RT210" s="424"/>
      <c r="RU210" s="424"/>
      <c r="RV210" s="424"/>
      <c r="RW210" s="424"/>
      <c r="RX210" s="424"/>
      <c r="RY210" s="424"/>
      <c r="RZ210" s="424"/>
      <c r="SA210" s="424"/>
      <c r="SB210" s="424"/>
      <c r="SC210" s="424"/>
      <c r="SD210" s="424"/>
      <c r="SE210" s="424"/>
      <c r="SF210" s="424"/>
      <c r="SG210" s="424"/>
      <c r="SH210" s="424"/>
      <c r="SI210" s="424"/>
      <c r="SJ210" s="424"/>
      <c r="SK210" s="424"/>
      <c r="SZ210" s="1401"/>
      <c r="TA210" s="1401"/>
      <c r="TB210" s="1401" t="s">
        <v>77</v>
      </c>
      <c r="TC210" s="1401" t="s">
        <v>78</v>
      </c>
      <c r="TD210" s="424"/>
      <c r="TE210" s="424"/>
      <c r="TF210" s="424"/>
      <c r="TG210" s="424"/>
      <c r="TH210" s="424"/>
      <c r="TI210" s="424"/>
      <c r="TJ210" s="424"/>
    </row>
    <row r="211" spans="2:530" x14ac:dyDescent="0.25">
      <c r="B211" s="99"/>
      <c r="C211" s="1388"/>
      <c r="D211" s="1392"/>
      <c r="E211" s="1392"/>
      <c r="F211" s="880"/>
      <c r="G211" s="641"/>
      <c r="H211" s="880"/>
      <c r="I211" s="641"/>
      <c r="J211" s="1052"/>
      <c r="K211" s="641"/>
      <c r="L211" s="641"/>
      <c r="M211" s="641"/>
      <c r="N211" s="1394"/>
      <c r="T211" s="72"/>
      <c r="U211" s="72"/>
      <c r="V211" s="1399"/>
      <c r="W211" s="1399"/>
      <c r="X211" s="1399"/>
      <c r="Y211" s="1399"/>
      <c r="Z211" s="1399"/>
      <c r="AA211" s="1398"/>
      <c r="AB211" s="1398"/>
      <c r="AC211" s="1398"/>
      <c r="AD211" s="1398"/>
      <c r="AE211" s="1398"/>
      <c r="AF211" s="1398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QJ211" s="424"/>
      <c r="QK211" s="424"/>
      <c r="QL211" s="424"/>
      <c r="QM211" s="424"/>
      <c r="QN211" s="424"/>
      <c r="QO211" s="424"/>
      <c r="QP211" s="424"/>
      <c r="QQ211" s="424"/>
      <c r="QR211" s="424"/>
      <c r="QS211" s="424"/>
      <c r="QT211" s="424"/>
      <c r="QU211" s="424"/>
      <c r="QV211" s="424"/>
      <c r="QW211" s="424"/>
      <c r="QX211" s="424"/>
      <c r="QY211" s="424"/>
      <c r="QZ211" s="424"/>
      <c r="RA211" s="424"/>
      <c r="RT211" s="424"/>
      <c r="RU211" s="424"/>
      <c r="RV211" s="424"/>
      <c r="RW211" s="424"/>
      <c r="RX211" s="424"/>
      <c r="RY211" s="424"/>
      <c r="RZ211" s="424"/>
      <c r="SA211" s="424"/>
      <c r="SB211" s="424"/>
      <c r="SC211" s="424"/>
      <c r="SD211" s="424"/>
      <c r="SE211" s="424"/>
      <c r="SF211" s="424"/>
      <c r="SG211" s="424"/>
      <c r="SH211" s="424"/>
      <c r="SI211" s="424"/>
      <c r="SJ211" s="424"/>
      <c r="SK211" s="424"/>
      <c r="SZ211" s="1400"/>
      <c r="TA211" s="1400"/>
      <c r="TB211" s="1400"/>
      <c r="TC211" s="1400"/>
      <c r="TD211" s="424"/>
      <c r="TE211" s="424"/>
      <c r="TF211" s="424"/>
      <c r="TG211" s="424"/>
      <c r="TH211" s="424"/>
      <c r="TI211" s="424"/>
      <c r="TJ211" s="424"/>
    </row>
    <row r="212" spans="2:530" x14ac:dyDescent="0.25">
      <c r="B212" s="99"/>
      <c r="C212" s="1388"/>
      <c r="D212" s="1392"/>
      <c r="E212" s="1392"/>
      <c r="F212" s="880"/>
      <c r="G212" s="641"/>
      <c r="H212" s="880"/>
      <c r="I212" s="641"/>
      <c r="J212" s="1052"/>
      <c r="K212" s="641"/>
      <c r="L212" s="641"/>
      <c r="M212" s="641"/>
      <c r="N212" s="1394"/>
      <c r="T212" s="72"/>
      <c r="U212" s="72"/>
      <c r="V212" s="1399"/>
      <c r="W212" s="1399"/>
      <c r="X212" s="1399"/>
      <c r="Y212" s="1399"/>
      <c r="Z212" s="1399"/>
      <c r="AA212" s="1398"/>
      <c r="AB212" s="1398"/>
      <c r="AC212" s="1398"/>
      <c r="AD212" s="1398"/>
      <c r="AE212" s="1398"/>
      <c r="AF212" s="1398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QJ212" s="424"/>
      <c r="QK212" s="424"/>
      <c r="QL212" s="424"/>
      <c r="QM212" s="424"/>
      <c r="QN212" s="424"/>
      <c r="QO212" s="424"/>
      <c r="QP212" s="424"/>
      <c r="QQ212" s="424"/>
      <c r="QR212" s="424"/>
      <c r="QS212" s="424"/>
      <c r="QT212" s="424"/>
      <c r="QU212" s="424"/>
      <c r="QV212" s="424"/>
      <c r="QW212" s="424"/>
      <c r="QX212" s="424"/>
      <c r="QY212" s="424"/>
      <c r="QZ212" s="424"/>
      <c r="RA212" s="424"/>
      <c r="RT212" s="424"/>
      <c r="RU212" s="424"/>
      <c r="RV212" s="424"/>
      <c r="RW212" s="424"/>
      <c r="RX212" s="424"/>
      <c r="RY212" s="424"/>
      <c r="RZ212" s="424"/>
      <c r="SA212" s="424"/>
      <c r="SB212" s="424"/>
      <c r="SC212" s="424"/>
      <c r="SD212" s="424"/>
      <c r="SE212" s="424"/>
      <c r="SF212" s="424"/>
      <c r="SG212" s="424"/>
      <c r="SH212" s="424"/>
      <c r="SI212" s="424"/>
      <c r="SJ212" s="424"/>
      <c r="SK212" s="424"/>
      <c r="SZ212" s="1374"/>
      <c r="TA212" s="1374"/>
      <c r="TB212" s="1381">
        <f t="shared" ref="TB212:TC216" si="162">TB16-TB114</f>
        <v>-5579374.4999999907</v>
      </c>
      <c r="TC212" s="1374">
        <f t="shared" si="162"/>
        <v>-22166325.399999987</v>
      </c>
      <c r="TD212" s="424"/>
      <c r="TE212" s="424"/>
      <c r="TF212" s="424"/>
      <c r="TG212" s="424"/>
      <c r="TH212" s="424"/>
      <c r="TI212" s="424"/>
      <c r="TJ212" s="424"/>
    </row>
    <row r="213" spans="2:530" x14ac:dyDescent="0.25">
      <c r="B213" s="99"/>
      <c r="C213" s="917"/>
      <c r="D213" s="1392"/>
      <c r="E213" s="1392"/>
      <c r="F213" s="880"/>
      <c r="G213" s="641"/>
      <c r="H213" s="880"/>
      <c r="I213" s="641"/>
      <c r="J213" s="1052"/>
      <c r="K213" s="641"/>
      <c r="L213" s="1393"/>
      <c r="M213" s="641"/>
      <c r="N213" s="1394"/>
      <c r="T213" s="72"/>
      <c r="U213" s="72"/>
      <c r="V213" s="1399"/>
      <c r="W213" s="1399"/>
      <c r="X213" s="1399"/>
      <c r="Y213" s="1399"/>
      <c r="Z213" s="1399"/>
      <c r="AA213" s="1398"/>
      <c r="AB213" s="1398"/>
      <c r="AC213" s="1398"/>
      <c r="AD213" s="1398"/>
      <c r="AE213" s="1398"/>
      <c r="AF213" s="1398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QJ213" s="424"/>
      <c r="QK213" s="424"/>
      <c r="QL213" s="424"/>
      <c r="QM213" s="424"/>
      <c r="QN213" s="424"/>
      <c r="QO213" s="424"/>
      <c r="QP213" s="424"/>
      <c r="QQ213" s="424"/>
      <c r="QR213" s="424"/>
      <c r="QS213" s="424"/>
      <c r="QT213" s="424"/>
      <c r="QU213" s="424"/>
      <c r="QV213" s="424"/>
      <c r="QW213" s="424"/>
      <c r="QX213" s="424"/>
      <c r="QY213" s="424"/>
      <c r="QZ213" s="424"/>
      <c r="RA213" s="424"/>
      <c r="RT213" s="424"/>
      <c r="RU213" s="424"/>
      <c r="RV213" s="424"/>
      <c r="RW213" s="424"/>
      <c r="RX213" s="424"/>
      <c r="RY213" s="424"/>
      <c r="RZ213" s="424"/>
      <c r="SA213" s="424"/>
      <c r="SB213" s="424"/>
      <c r="SC213" s="424"/>
      <c r="SD213" s="424"/>
      <c r="SE213" s="424"/>
      <c r="SF213" s="424"/>
      <c r="SG213" s="424"/>
      <c r="SH213" s="424"/>
      <c r="SI213" s="424"/>
      <c r="SJ213" s="424"/>
      <c r="SK213" s="424"/>
      <c r="SZ213" s="1373"/>
      <c r="TA213" s="1373"/>
      <c r="TB213" s="1380">
        <f t="shared" si="162"/>
        <v>0</v>
      </c>
      <c r="TC213" s="1373">
        <f t="shared" si="162"/>
        <v>-2605590.9400559999</v>
      </c>
      <c r="TD213" s="424"/>
      <c r="TE213" s="424"/>
      <c r="TF213" s="424"/>
      <c r="TG213" s="424"/>
      <c r="TH213" s="424"/>
      <c r="TI213" s="424"/>
      <c r="TJ213" s="424"/>
    </row>
    <row r="214" spans="2:530" x14ac:dyDescent="0.25">
      <c r="B214" s="99"/>
      <c r="C214" s="917"/>
      <c r="D214" s="1392"/>
      <c r="E214" s="1392"/>
      <c r="F214" s="1396"/>
      <c r="G214" s="1397"/>
      <c r="H214" s="1396"/>
      <c r="I214" s="641"/>
      <c r="J214" s="1052"/>
      <c r="K214" s="641"/>
      <c r="L214" s="1395"/>
      <c r="M214" s="641"/>
      <c r="N214" s="1394"/>
      <c r="T214" s="43"/>
      <c r="U214" s="43"/>
      <c r="V214" s="1291"/>
      <c r="W214" s="1291"/>
      <c r="X214" s="1291"/>
      <c r="Y214" s="1291"/>
      <c r="Z214" s="1291"/>
      <c r="AA214" s="411"/>
      <c r="AB214" s="411"/>
      <c r="AC214" s="411"/>
      <c r="AD214" s="411"/>
      <c r="AE214" s="411"/>
      <c r="AF214" s="411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QJ214" s="424"/>
      <c r="QK214" s="424"/>
      <c r="QL214" s="424"/>
      <c r="QM214" s="424"/>
      <c r="QN214" s="424"/>
      <c r="QO214" s="424"/>
      <c r="QP214" s="424"/>
      <c r="QQ214" s="424"/>
      <c r="QR214" s="424"/>
      <c r="QS214" s="424"/>
      <c r="QT214" s="424"/>
      <c r="QU214" s="424"/>
      <c r="QV214" s="424"/>
      <c r="QW214" s="424"/>
      <c r="QX214" s="424"/>
      <c r="QY214" s="424"/>
      <c r="QZ214" s="424"/>
      <c r="RA214" s="424"/>
      <c r="RT214" s="424"/>
      <c r="RU214" s="424"/>
      <c r="RV214" s="424"/>
      <c r="RW214" s="424"/>
      <c r="RX214" s="424"/>
      <c r="RY214" s="424"/>
      <c r="RZ214" s="424"/>
      <c r="SA214" s="424"/>
      <c r="SB214" s="424"/>
      <c r="SC214" s="424"/>
      <c r="SD214" s="424"/>
      <c r="SE214" s="424"/>
      <c r="SF214" s="424"/>
      <c r="SG214" s="424"/>
      <c r="SH214" s="424"/>
      <c r="SI214" s="424"/>
      <c r="SJ214" s="424"/>
      <c r="SK214" s="424"/>
      <c r="SZ214" s="1373"/>
      <c r="TA214" s="1373"/>
      <c r="TB214" s="1380">
        <f t="shared" si="162"/>
        <v>-2786.3999999999996</v>
      </c>
      <c r="TC214" s="1373">
        <f t="shared" si="162"/>
        <v>-10041.06</v>
      </c>
      <c r="TD214" s="424"/>
      <c r="TE214" s="424"/>
      <c r="TF214" s="424"/>
      <c r="TG214" s="424"/>
      <c r="TH214" s="424"/>
      <c r="TI214" s="424"/>
      <c r="TJ214" s="424"/>
    </row>
    <row r="215" spans="2:530" x14ac:dyDescent="0.25">
      <c r="B215" s="20"/>
      <c r="C215" s="20"/>
      <c r="D215" s="72"/>
      <c r="E215" s="72"/>
      <c r="F215" s="72"/>
      <c r="G215" s="72"/>
      <c r="H215" s="880"/>
      <c r="I215" s="1024"/>
      <c r="J215" s="1052"/>
      <c r="K215" s="1024"/>
      <c r="L215" s="1393"/>
      <c r="M215" s="1024"/>
      <c r="N215" s="547"/>
      <c r="T215" s="43"/>
      <c r="U215" s="43"/>
      <c r="V215" s="1291"/>
      <c r="W215" s="1291"/>
      <c r="X215" s="1291"/>
      <c r="Y215" s="1291"/>
      <c r="Z215" s="1291"/>
      <c r="AA215" s="411"/>
      <c r="AB215" s="411"/>
      <c r="AC215" s="411"/>
      <c r="AD215" s="411"/>
      <c r="AE215" s="411"/>
      <c r="AF215" s="411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QJ215" s="424"/>
      <c r="QK215" s="424"/>
      <c r="QL215" s="424"/>
      <c r="QM215" s="424"/>
      <c r="QN215" s="424"/>
      <c r="QO215" s="424"/>
      <c r="QP215" s="424"/>
      <c r="QQ215" s="424"/>
      <c r="QR215" s="424"/>
      <c r="QS215" s="424"/>
      <c r="QT215" s="424"/>
      <c r="QU215" s="424"/>
      <c r="QV215" s="424"/>
      <c r="QW215" s="424"/>
      <c r="QX215" s="424"/>
      <c r="QY215" s="424"/>
      <c r="QZ215" s="424"/>
      <c r="RA215" s="424"/>
      <c r="RT215" s="424"/>
      <c r="RU215" s="424"/>
      <c r="RV215" s="424"/>
      <c r="RW215" s="424"/>
      <c r="RX215" s="424"/>
      <c r="RY215" s="424"/>
      <c r="RZ215" s="424"/>
      <c r="SA215" s="424"/>
      <c r="SB215" s="424"/>
      <c r="SC215" s="424"/>
      <c r="SD215" s="424"/>
      <c r="SE215" s="424"/>
      <c r="SF215" s="424"/>
      <c r="SG215" s="424"/>
      <c r="SH215" s="424"/>
      <c r="SI215" s="424"/>
      <c r="SJ215" s="424"/>
      <c r="SK215" s="424"/>
      <c r="SZ215" s="1372"/>
      <c r="TA215" s="1372"/>
      <c r="TB215" s="1379">
        <f t="shared" si="162"/>
        <v>-2288608.3824759992</v>
      </c>
      <c r="TC215" s="1372">
        <f t="shared" si="162"/>
        <v>-8283744.0271300003</v>
      </c>
      <c r="TD215" s="424"/>
      <c r="TE215" s="424"/>
      <c r="TF215" s="424"/>
      <c r="TG215" s="424"/>
      <c r="TH215" s="424"/>
      <c r="TI215" s="424"/>
      <c r="TJ215" s="424"/>
    </row>
    <row r="216" spans="2:530" x14ac:dyDescent="0.25">
      <c r="B216" s="1158"/>
      <c r="C216" s="547"/>
      <c r="D216" s="619"/>
      <c r="E216" s="1196"/>
      <c r="F216" s="619"/>
      <c r="G216" s="1196"/>
      <c r="H216" s="619"/>
      <c r="I216" s="1196"/>
      <c r="J216" s="619"/>
      <c r="K216" s="1196"/>
      <c r="L216" s="619"/>
      <c r="M216" s="1196"/>
      <c r="N216" s="619"/>
      <c r="T216" s="43"/>
      <c r="U216" s="43"/>
      <c r="V216" s="1291"/>
      <c r="W216" s="1291"/>
      <c r="X216" s="1291"/>
      <c r="Y216" s="1291"/>
      <c r="Z216" s="1291"/>
      <c r="AA216" s="411"/>
      <c r="AB216" s="411"/>
      <c r="AC216" s="411"/>
      <c r="AD216" s="411"/>
      <c r="AE216" s="411"/>
      <c r="AF216" s="411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QJ216" s="424"/>
      <c r="QK216" s="424"/>
      <c r="QL216" s="424"/>
      <c r="QM216" s="424"/>
      <c r="QN216" s="424"/>
      <c r="QO216" s="424"/>
      <c r="QP216" s="424"/>
      <c r="QQ216" s="424"/>
      <c r="QR216" s="424"/>
      <c r="QS216" s="424"/>
      <c r="QT216" s="424"/>
      <c r="QU216" s="424"/>
      <c r="QV216" s="424"/>
      <c r="QW216" s="424"/>
      <c r="QX216" s="424"/>
      <c r="QY216" s="424"/>
      <c r="QZ216" s="424"/>
      <c r="RA216" s="424"/>
      <c r="RT216" s="424"/>
      <c r="RU216" s="424"/>
      <c r="RV216" s="424"/>
      <c r="RW216" s="424"/>
      <c r="RX216" s="424"/>
      <c r="RY216" s="424"/>
      <c r="RZ216" s="424"/>
      <c r="SA216" s="424"/>
      <c r="SB216" s="424"/>
      <c r="SC216" s="424"/>
      <c r="SD216" s="424"/>
      <c r="SE216" s="424"/>
      <c r="SF216" s="424"/>
      <c r="SG216" s="424"/>
      <c r="SH216" s="424"/>
      <c r="SI216" s="424"/>
      <c r="SJ216" s="424"/>
      <c r="SK216" s="424"/>
      <c r="SZ216" s="1373"/>
      <c r="TA216" s="1373"/>
      <c r="TB216" s="1373">
        <f t="shared" si="162"/>
        <v>-7870769.2824759902</v>
      </c>
      <c r="TC216" s="1373">
        <f t="shared" si="162"/>
        <v>-33065701.427185986</v>
      </c>
      <c r="TD216" s="424"/>
      <c r="TE216" s="424"/>
      <c r="TF216" s="424"/>
      <c r="TG216" s="424"/>
      <c r="TH216" s="424"/>
      <c r="TI216" s="424"/>
      <c r="TJ216" s="424"/>
    </row>
    <row r="217" spans="2:530" x14ac:dyDescent="0.25">
      <c r="B217" s="1158"/>
      <c r="C217" s="547"/>
      <c r="D217" s="619"/>
      <c r="E217" s="619"/>
      <c r="F217" s="619"/>
      <c r="G217" s="619"/>
      <c r="H217" s="619"/>
      <c r="I217" s="619"/>
      <c r="J217" s="20"/>
      <c r="K217" s="619"/>
      <c r="L217" s="924"/>
      <c r="M217" s="619"/>
      <c r="N217" s="619"/>
      <c r="T217" s="43"/>
      <c r="U217" s="43"/>
      <c r="V217" s="1291"/>
      <c r="W217" s="1291"/>
      <c r="X217" s="1291"/>
      <c r="Y217" s="1291"/>
      <c r="Z217" s="1291"/>
      <c r="AA217" s="411"/>
      <c r="AB217" s="411"/>
      <c r="AC217" s="411"/>
      <c r="AD217" s="411"/>
      <c r="AE217" s="411"/>
      <c r="AF217" s="411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QJ217" s="424"/>
      <c r="QK217" s="424"/>
      <c r="QL217" s="424"/>
      <c r="QM217" s="424"/>
      <c r="QN217" s="424"/>
      <c r="QO217" s="424"/>
      <c r="QP217" s="424"/>
      <c r="QQ217" s="424"/>
      <c r="QR217" s="424"/>
      <c r="QS217" s="424"/>
      <c r="QT217" s="424"/>
      <c r="QU217" s="424"/>
      <c r="QV217" s="424"/>
      <c r="QW217" s="424"/>
      <c r="QX217" s="424"/>
      <c r="QY217" s="424"/>
      <c r="QZ217" s="424"/>
      <c r="RA217" s="424"/>
      <c r="RT217" s="424"/>
      <c r="RU217" s="424"/>
      <c r="RV217" s="424"/>
      <c r="RW217" s="424"/>
      <c r="RX217" s="424"/>
      <c r="RY217" s="424"/>
      <c r="RZ217" s="424"/>
      <c r="SA217" s="424"/>
      <c r="SB217" s="424"/>
      <c r="SC217" s="424"/>
      <c r="SD217" s="424"/>
      <c r="SE217" s="424"/>
      <c r="SF217" s="424"/>
      <c r="SG217" s="424"/>
      <c r="SH217" s="424"/>
      <c r="SI217" s="424"/>
      <c r="SJ217" s="424"/>
      <c r="SK217" s="424"/>
      <c r="SZ217" s="1373"/>
      <c r="TA217" s="1373"/>
      <c r="TB217" s="1373"/>
      <c r="TC217" s="1373"/>
      <c r="TD217" s="424"/>
      <c r="TE217" s="424"/>
      <c r="TF217" s="424"/>
      <c r="TG217" s="424"/>
      <c r="TH217" s="424"/>
      <c r="TI217" s="424"/>
      <c r="TJ217" s="424"/>
    </row>
    <row r="218" spans="2:530" x14ac:dyDescent="0.25">
      <c r="B218" s="1390"/>
      <c r="C218" s="20"/>
      <c r="D218" s="619"/>
      <c r="E218" s="641"/>
      <c r="F218" s="641"/>
      <c r="G218" s="641"/>
      <c r="H218" s="1024"/>
      <c r="I218" s="619"/>
      <c r="J218" s="984"/>
      <c r="K218" s="619"/>
      <c r="L218" s="924"/>
      <c r="M218" s="619"/>
      <c r="N218" s="619"/>
      <c r="T218" s="43"/>
      <c r="U218" s="43"/>
      <c r="V218" s="1291"/>
      <c r="W218" s="1291"/>
      <c r="X218" s="1291"/>
      <c r="Y218" s="1291"/>
      <c r="Z218" s="1291"/>
      <c r="AA218" s="411"/>
      <c r="AB218" s="411"/>
      <c r="AC218" s="411"/>
      <c r="AD218" s="411"/>
      <c r="AE218" s="411"/>
      <c r="AF218" s="411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QJ218" s="424"/>
      <c r="QK218" s="424"/>
      <c r="QL218" s="424"/>
      <c r="QM218" s="424"/>
      <c r="QN218" s="424"/>
      <c r="QO218" s="424"/>
      <c r="QP218" s="424"/>
      <c r="QQ218" s="424"/>
      <c r="QR218" s="424"/>
      <c r="QS218" s="424"/>
      <c r="QT218" s="424"/>
      <c r="QU218" s="424"/>
      <c r="QV218" s="424"/>
      <c r="QW218" s="424"/>
      <c r="QX218" s="424"/>
      <c r="QY218" s="424"/>
      <c r="QZ218" s="424"/>
      <c r="RA218" s="424"/>
      <c r="RT218" s="424"/>
      <c r="RU218" s="424"/>
      <c r="RV218" s="424"/>
      <c r="RW218" s="424"/>
      <c r="RX218" s="424"/>
      <c r="RY218" s="424"/>
      <c r="RZ218" s="424"/>
      <c r="SA218" s="424"/>
      <c r="SB218" s="424"/>
      <c r="SC218" s="424"/>
      <c r="SD218" s="424"/>
      <c r="SE218" s="424"/>
      <c r="SF218" s="424"/>
      <c r="SG218" s="424"/>
      <c r="SH218" s="424"/>
      <c r="SI218" s="424"/>
      <c r="SJ218" s="424"/>
      <c r="SK218" s="424"/>
      <c r="SZ218" s="1373"/>
      <c r="TA218" s="1373"/>
      <c r="TB218" s="1373">
        <f>TB22-TB120</f>
        <v>-7870769.2824759902</v>
      </c>
      <c r="TC218" s="1373">
        <f>TC22-TC120</f>
        <v>-33065701.427185986</v>
      </c>
      <c r="TD218" s="424"/>
      <c r="TE218" s="424"/>
      <c r="TF218" s="424"/>
      <c r="TG218" s="424"/>
      <c r="TH218" s="424"/>
      <c r="TI218" s="424"/>
      <c r="TJ218" s="424"/>
    </row>
    <row r="219" spans="2:530" x14ac:dyDescent="0.25">
      <c r="B219" s="1382"/>
      <c r="C219" s="547"/>
      <c r="D219" s="560"/>
      <c r="E219" s="980"/>
      <c r="F219" s="880"/>
      <c r="G219" s="980"/>
      <c r="H219" s="880"/>
      <c r="I219" s="619"/>
      <c r="J219" s="984"/>
      <c r="K219" s="619"/>
      <c r="L219" s="924"/>
      <c r="M219" s="619"/>
      <c r="N219" s="619"/>
      <c r="T219" s="43"/>
      <c r="U219" s="43"/>
      <c r="V219" s="1291"/>
      <c r="W219" s="1291"/>
      <c r="X219" s="1291"/>
      <c r="Y219" s="1291"/>
      <c r="Z219" s="1291"/>
      <c r="AA219" s="411"/>
      <c r="AB219" s="411"/>
      <c r="AC219" s="411"/>
      <c r="AD219" s="411"/>
      <c r="AE219" s="411"/>
      <c r="AF219" s="411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QJ219" s="424"/>
      <c r="QK219" s="424"/>
      <c r="QL219" s="424"/>
      <c r="QM219" s="424"/>
      <c r="QN219" s="424"/>
      <c r="QO219" s="424"/>
      <c r="QP219" s="424"/>
      <c r="QQ219" s="424"/>
      <c r="QR219" s="424"/>
      <c r="QS219" s="424"/>
      <c r="QT219" s="424"/>
      <c r="QU219" s="424"/>
      <c r="QV219" s="424"/>
      <c r="QW219" s="424"/>
      <c r="QX219" s="424"/>
      <c r="QY219" s="424"/>
      <c r="QZ219" s="424"/>
      <c r="RA219" s="424"/>
      <c r="RT219" s="424"/>
      <c r="RU219" s="424"/>
      <c r="RV219" s="424"/>
      <c r="RW219" s="424"/>
      <c r="RX219" s="424"/>
      <c r="RY219" s="424"/>
      <c r="RZ219" s="424"/>
      <c r="SA219" s="424"/>
      <c r="SB219" s="424"/>
      <c r="SC219" s="424"/>
      <c r="SD219" s="424"/>
      <c r="SE219" s="424"/>
      <c r="SF219" s="424"/>
      <c r="SG219" s="424"/>
      <c r="SH219" s="424"/>
      <c r="SI219" s="424"/>
      <c r="SJ219" s="424"/>
      <c r="SK219" s="424"/>
      <c r="SZ219" s="1378"/>
      <c r="TA219" s="1378"/>
      <c r="TB219" s="1378"/>
      <c r="TC219" s="1378"/>
      <c r="TD219" s="424"/>
      <c r="TE219" s="424"/>
      <c r="TF219" s="424"/>
      <c r="TG219" s="424"/>
      <c r="TH219" s="424"/>
      <c r="TI219" s="424"/>
      <c r="TJ219" s="424"/>
    </row>
    <row r="220" spans="2:530" x14ac:dyDescent="0.25">
      <c r="B220" s="99"/>
      <c r="C220" s="1388"/>
      <c r="D220" s="560"/>
      <c r="E220" s="1392"/>
      <c r="F220" s="1162"/>
      <c r="G220" s="647"/>
      <c r="H220" s="880"/>
      <c r="I220" s="619"/>
      <c r="J220" s="984"/>
      <c r="K220" s="619"/>
      <c r="L220" s="924"/>
      <c r="M220" s="619"/>
      <c r="N220" s="619"/>
      <c r="T220" s="43"/>
      <c r="U220" s="43"/>
      <c r="V220" s="1291"/>
      <c r="W220" s="1291"/>
      <c r="X220" s="1291"/>
      <c r="Y220" s="1291"/>
      <c r="Z220" s="1291"/>
      <c r="AA220" s="411"/>
      <c r="AB220" s="411"/>
      <c r="AC220" s="411"/>
      <c r="AD220" s="411"/>
      <c r="AE220" s="411"/>
      <c r="AF220" s="411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QJ220" s="424"/>
      <c r="QK220" s="424"/>
      <c r="QL220" s="424"/>
      <c r="QM220" s="424"/>
      <c r="QN220" s="424"/>
      <c r="QO220" s="424"/>
      <c r="QP220" s="424"/>
      <c r="QQ220" s="424"/>
      <c r="QR220" s="424"/>
      <c r="QS220" s="424"/>
      <c r="QT220" s="424"/>
      <c r="QU220" s="424"/>
      <c r="QV220" s="424"/>
      <c r="QW220" s="424"/>
      <c r="QX220" s="424"/>
      <c r="QY220" s="424"/>
      <c r="QZ220" s="424"/>
      <c r="RA220" s="424"/>
      <c r="RT220" s="424"/>
      <c r="RU220" s="424"/>
      <c r="RV220" s="424"/>
      <c r="RW220" s="424"/>
      <c r="RX220" s="424"/>
      <c r="RY220" s="424"/>
      <c r="RZ220" s="424"/>
      <c r="SA220" s="424"/>
      <c r="SB220" s="424"/>
      <c r="SC220" s="424"/>
      <c r="SD220" s="424"/>
      <c r="SE220" s="424"/>
      <c r="SF220" s="424"/>
      <c r="SG220" s="424"/>
      <c r="SH220" s="424"/>
      <c r="SI220" s="424"/>
      <c r="SJ220" s="424"/>
      <c r="SK220" s="424"/>
      <c r="SZ220" s="1372"/>
      <c r="TA220" s="1372"/>
      <c r="TB220" s="1372">
        <f>TB24-TB122</f>
        <v>1652861.5493199578</v>
      </c>
      <c r="TC220" s="1372">
        <f>TC24-TC122</f>
        <v>6943797.2997090565</v>
      </c>
      <c r="TD220" s="424"/>
      <c r="TE220" s="424"/>
      <c r="TF220" s="424"/>
      <c r="TG220" s="424"/>
      <c r="TH220" s="424"/>
      <c r="TI220" s="424"/>
      <c r="TJ220" s="424"/>
    </row>
    <row r="221" spans="2:530" x14ac:dyDescent="0.25">
      <c r="B221" s="99"/>
      <c r="C221" s="547"/>
      <c r="D221" s="1387"/>
      <c r="E221" s="1392"/>
      <c r="F221" s="1162"/>
      <c r="G221" s="647"/>
      <c r="H221" s="880"/>
      <c r="I221" s="619"/>
      <c r="J221" s="984"/>
      <c r="K221" s="619"/>
      <c r="L221" s="924"/>
      <c r="M221" s="619"/>
      <c r="N221" s="619"/>
      <c r="T221" s="43"/>
      <c r="U221" s="43"/>
      <c r="V221" s="1291"/>
      <c r="W221" s="1291"/>
      <c r="X221" s="1291"/>
      <c r="Y221" s="1291"/>
      <c r="Z221" s="1291"/>
      <c r="AA221" s="411"/>
      <c r="AB221" s="411"/>
      <c r="AC221" s="411"/>
      <c r="AD221" s="411"/>
      <c r="AE221" s="411"/>
      <c r="AF221" s="41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QJ221" s="424"/>
      <c r="QK221" s="424"/>
      <c r="QL221" s="424"/>
      <c r="QM221" s="424"/>
      <c r="QN221" s="424"/>
      <c r="QO221" s="424"/>
      <c r="QP221" s="424"/>
      <c r="QQ221" s="424"/>
      <c r="QR221" s="424"/>
      <c r="QS221" s="424"/>
      <c r="QT221" s="424"/>
      <c r="QU221" s="424"/>
      <c r="QV221" s="424"/>
      <c r="QW221" s="424"/>
      <c r="QX221" s="424"/>
      <c r="QY221" s="424"/>
      <c r="QZ221" s="424"/>
      <c r="RA221" s="424"/>
      <c r="RT221" s="424"/>
      <c r="RU221" s="424"/>
      <c r="RV221" s="424"/>
      <c r="RW221" s="424"/>
      <c r="RX221" s="424"/>
      <c r="RY221" s="424"/>
      <c r="RZ221" s="424"/>
      <c r="SA221" s="424"/>
      <c r="SB221" s="424"/>
      <c r="SC221" s="424"/>
      <c r="SD221" s="424"/>
      <c r="SE221" s="424"/>
      <c r="SF221" s="424"/>
      <c r="SG221" s="424"/>
      <c r="SH221" s="424"/>
      <c r="SI221" s="424"/>
      <c r="SJ221" s="424"/>
      <c r="SK221" s="424"/>
      <c r="SZ221" s="1377"/>
      <c r="TA221" s="1377"/>
      <c r="TB221" s="1377"/>
      <c r="TC221" s="1377"/>
      <c r="TD221" s="424"/>
      <c r="TE221" s="424"/>
      <c r="TF221" s="424"/>
      <c r="TG221" s="424"/>
      <c r="TH221" s="424"/>
      <c r="TI221" s="424"/>
      <c r="TJ221" s="424"/>
    </row>
    <row r="222" spans="2:530" ht="15.75" thickBot="1" x14ac:dyDescent="0.3">
      <c r="B222" s="99"/>
      <c r="C222" s="547"/>
      <c r="D222" s="1387"/>
      <c r="E222" s="1392"/>
      <c r="F222" s="1162"/>
      <c r="G222" s="647"/>
      <c r="H222" s="880"/>
      <c r="I222" s="619"/>
      <c r="J222" s="984"/>
      <c r="K222" s="619"/>
      <c r="L222" s="924"/>
      <c r="M222" s="619"/>
      <c r="N222" s="619"/>
      <c r="T222" s="43"/>
      <c r="U222" s="43"/>
      <c r="V222" s="1291"/>
      <c r="W222" s="1291"/>
      <c r="X222" s="1291"/>
      <c r="Y222" s="1291"/>
      <c r="Z222" s="1291"/>
      <c r="AA222" s="411"/>
      <c r="AB222" s="411"/>
      <c r="AC222" s="411"/>
      <c r="AD222" s="411"/>
      <c r="AE222" s="411"/>
      <c r="AF222" s="411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QJ222" s="424"/>
      <c r="QK222" s="424"/>
      <c r="QL222" s="424"/>
      <c r="QM222" s="424"/>
      <c r="QN222" s="424"/>
      <c r="QO222" s="424"/>
      <c r="QP222" s="424"/>
      <c r="QQ222" s="424"/>
      <c r="QR222" s="424"/>
      <c r="QS222" s="424"/>
      <c r="QT222" s="424"/>
      <c r="QU222" s="424"/>
      <c r="QV222" s="424"/>
      <c r="QW222" s="424"/>
      <c r="QX222" s="424"/>
      <c r="QY222" s="424"/>
      <c r="QZ222" s="424"/>
      <c r="RA222" s="424"/>
      <c r="RT222" s="424"/>
      <c r="RU222" s="424"/>
      <c r="RV222" s="424"/>
      <c r="RW222" s="424"/>
      <c r="RX222" s="424"/>
      <c r="RY222" s="424"/>
      <c r="RZ222" s="424"/>
      <c r="SA222" s="424"/>
      <c r="SB222" s="424"/>
      <c r="SC222" s="424"/>
      <c r="SD222" s="424"/>
      <c r="SE222" s="424"/>
      <c r="SF222" s="424"/>
      <c r="SG222" s="424"/>
      <c r="SH222" s="424"/>
      <c r="SI222" s="424"/>
      <c r="SJ222" s="424"/>
      <c r="SK222" s="424"/>
      <c r="SZ222" s="1376"/>
      <c r="TA222" s="1376"/>
      <c r="TB222" s="1376">
        <f>TB26-TB124</f>
        <v>6217907.7331560329</v>
      </c>
      <c r="TC222" s="1376">
        <f>TC26-TC124</f>
        <v>26121904.127476931</v>
      </c>
      <c r="TD222" s="424"/>
      <c r="TE222" s="424"/>
      <c r="TF222" s="424"/>
      <c r="TG222" s="424"/>
      <c r="TH222" s="424"/>
      <c r="TI222" s="424"/>
      <c r="TJ222" s="424"/>
    </row>
    <row r="223" spans="2:530" ht="15.75" thickTop="1" x14ac:dyDescent="0.25">
      <c r="B223" s="99"/>
      <c r="C223" s="547"/>
      <c r="D223" s="1387"/>
      <c r="E223" s="1174"/>
      <c r="F223" s="1162"/>
      <c r="G223" s="647"/>
      <c r="H223" s="880"/>
      <c r="I223" s="619"/>
      <c r="J223" s="984"/>
      <c r="K223" s="619"/>
      <c r="L223" s="924"/>
      <c r="M223" s="619"/>
      <c r="N223" s="619"/>
      <c r="T223" s="43"/>
      <c r="U223" s="43"/>
      <c r="V223" s="1291"/>
      <c r="W223" s="1291"/>
      <c r="X223" s="1291"/>
      <c r="Y223" s="1291"/>
      <c r="Z223" s="1291"/>
      <c r="AA223" s="411"/>
      <c r="AB223" s="411"/>
      <c r="AC223" s="411"/>
      <c r="AD223" s="411"/>
      <c r="AE223" s="411"/>
      <c r="AF223" s="411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QJ223" s="424"/>
      <c r="QK223" s="424"/>
      <c r="QL223" s="424"/>
      <c r="QM223" s="424"/>
      <c r="QN223" s="424"/>
      <c r="QO223" s="424"/>
      <c r="QP223" s="424"/>
      <c r="QQ223" s="424"/>
      <c r="QR223" s="424"/>
      <c r="QS223" s="424"/>
      <c r="QT223" s="424"/>
      <c r="QU223" s="424"/>
      <c r="QV223" s="424"/>
      <c r="QW223" s="424"/>
      <c r="QX223" s="424"/>
      <c r="QY223" s="424"/>
      <c r="QZ223" s="424"/>
      <c r="RA223" s="424"/>
      <c r="RT223" s="424"/>
      <c r="RU223" s="424"/>
      <c r="RV223" s="424"/>
      <c r="RW223" s="424"/>
      <c r="RX223" s="424"/>
      <c r="RY223" s="424"/>
      <c r="RZ223" s="424"/>
      <c r="SA223" s="424"/>
      <c r="SB223" s="424"/>
      <c r="SC223" s="424"/>
      <c r="SD223" s="424"/>
      <c r="SE223" s="424"/>
      <c r="SF223" s="424"/>
      <c r="SG223" s="424"/>
      <c r="SH223" s="424"/>
      <c r="SI223" s="424"/>
      <c r="SJ223" s="424"/>
      <c r="SK223" s="424"/>
      <c r="SZ223" s="1375"/>
      <c r="TA223" s="1375"/>
      <c r="TB223" s="1375"/>
      <c r="TC223" s="1375"/>
      <c r="TD223" s="424"/>
      <c r="TE223" s="424"/>
      <c r="TF223" s="424"/>
      <c r="TG223" s="424"/>
      <c r="TH223" s="424"/>
      <c r="TI223" s="424"/>
      <c r="TJ223" s="424"/>
    </row>
    <row r="224" spans="2:530" x14ac:dyDescent="0.25">
      <c r="B224" s="99"/>
      <c r="C224" s="1388"/>
      <c r="D224" s="1387"/>
      <c r="E224" s="1174"/>
      <c r="F224" s="880"/>
      <c r="G224" s="641"/>
      <c r="H224" s="880"/>
      <c r="I224" s="619"/>
      <c r="J224" s="619"/>
      <c r="K224" s="619"/>
      <c r="L224" s="619"/>
      <c r="M224" s="619"/>
      <c r="N224" s="619"/>
      <c r="T224" s="43"/>
      <c r="U224" s="43"/>
      <c r="V224" s="1291"/>
      <c r="W224" s="1291"/>
      <c r="X224" s="1291"/>
      <c r="Y224" s="1291"/>
      <c r="Z224" s="1291"/>
      <c r="AA224" s="411"/>
      <c r="AB224" s="411"/>
      <c r="AC224" s="411"/>
      <c r="AD224" s="411"/>
      <c r="AE224" s="411"/>
      <c r="AF224" s="411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QJ224" s="424"/>
      <c r="QK224" s="424"/>
      <c r="QL224" s="424"/>
      <c r="QM224" s="424"/>
      <c r="QN224" s="424"/>
      <c r="QO224" s="424"/>
      <c r="QP224" s="424"/>
      <c r="QQ224" s="424"/>
      <c r="QR224" s="424"/>
      <c r="QS224" s="424"/>
      <c r="QT224" s="424"/>
      <c r="QU224" s="424"/>
      <c r="QV224" s="424"/>
      <c r="QW224" s="424"/>
      <c r="QX224" s="424"/>
      <c r="QY224" s="424"/>
      <c r="QZ224" s="424"/>
      <c r="RA224" s="424"/>
      <c r="RT224" s="424"/>
      <c r="RU224" s="424"/>
      <c r="RV224" s="424"/>
      <c r="RW224" s="424"/>
      <c r="RX224" s="424"/>
      <c r="RY224" s="424"/>
      <c r="RZ224" s="424"/>
      <c r="SA224" s="424"/>
      <c r="SB224" s="424"/>
      <c r="SC224" s="424"/>
      <c r="SD224" s="424"/>
      <c r="SE224" s="424"/>
      <c r="SF224" s="424"/>
      <c r="SG224" s="424"/>
      <c r="SH224" s="424"/>
      <c r="SI224" s="424"/>
      <c r="SJ224" s="424"/>
      <c r="SK224" s="424"/>
      <c r="SZ224" s="1374"/>
      <c r="TA224" s="1374"/>
      <c r="TB224" s="1374">
        <f t="shared" ref="TB224:TC227" si="163">TB28-TB126</f>
        <v>-173511166.51301789</v>
      </c>
      <c r="TC224" s="1374">
        <f t="shared" si="163"/>
        <v>-665059066.61902595</v>
      </c>
      <c r="TD224" s="424"/>
      <c r="TE224" s="424"/>
      <c r="TF224" s="424"/>
      <c r="TG224" s="424"/>
      <c r="TH224" s="424"/>
      <c r="TI224" s="424"/>
      <c r="TJ224" s="424"/>
    </row>
    <row r="225" spans="2:530" x14ac:dyDescent="0.25">
      <c r="B225" s="99"/>
      <c r="C225" s="1388"/>
      <c r="D225" s="1387"/>
      <c r="E225" s="633"/>
      <c r="F225" s="880"/>
      <c r="G225" s="641"/>
      <c r="H225" s="880"/>
      <c r="I225" s="619"/>
      <c r="J225" s="619"/>
      <c r="K225" s="619"/>
      <c r="L225" s="619"/>
      <c r="M225" s="619"/>
      <c r="N225" s="619"/>
      <c r="T225" s="43"/>
      <c r="U225" s="43"/>
      <c r="V225" s="1291"/>
      <c r="W225" s="1291"/>
      <c r="X225" s="1291"/>
      <c r="Y225" s="1291"/>
      <c r="Z225" s="1291"/>
      <c r="AA225" s="411"/>
      <c r="AB225" s="411"/>
      <c r="AC225" s="411"/>
      <c r="AD225" s="411"/>
      <c r="AE225" s="411"/>
      <c r="AF225" s="411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QJ225" s="424"/>
      <c r="QK225" s="424"/>
      <c r="QL225" s="424"/>
      <c r="QM225" s="424"/>
      <c r="QN225" s="424"/>
      <c r="QO225" s="424"/>
      <c r="QP225" s="424"/>
      <c r="QQ225" s="424"/>
      <c r="QR225" s="424"/>
      <c r="QS225" s="424"/>
      <c r="QT225" s="424"/>
      <c r="QU225" s="424"/>
      <c r="QV225" s="424"/>
      <c r="QW225" s="424"/>
      <c r="QX225" s="424"/>
      <c r="QY225" s="424"/>
      <c r="QZ225" s="424"/>
      <c r="RA225" s="424"/>
      <c r="RT225" s="424"/>
      <c r="RU225" s="424"/>
      <c r="RV225" s="424"/>
      <c r="RW225" s="424"/>
      <c r="RX225" s="424"/>
      <c r="RY225" s="424"/>
      <c r="RZ225" s="424"/>
      <c r="SA225" s="424"/>
      <c r="SB225" s="424"/>
      <c r="SC225" s="424"/>
      <c r="SD225" s="424"/>
      <c r="SE225" s="424"/>
      <c r="SF225" s="424"/>
      <c r="SG225" s="424"/>
      <c r="SH225" s="424"/>
      <c r="SI225" s="424"/>
      <c r="SJ225" s="424"/>
      <c r="SK225" s="424"/>
      <c r="SZ225" s="1373"/>
      <c r="TA225" s="1373"/>
      <c r="TB225" s="1373">
        <f t="shared" si="163"/>
        <v>29109479.608439997</v>
      </c>
      <c r="TC225" s="1373">
        <f t="shared" si="163"/>
        <v>59460001.115079999</v>
      </c>
      <c r="TD225" s="424"/>
      <c r="TE225" s="424"/>
      <c r="TF225" s="424"/>
      <c r="TG225" s="424"/>
      <c r="TH225" s="424"/>
      <c r="TI225" s="424"/>
      <c r="TJ225" s="424"/>
    </row>
    <row r="226" spans="2:530" x14ac:dyDescent="0.25">
      <c r="B226" s="99"/>
      <c r="C226" s="1388"/>
      <c r="D226" s="1387"/>
      <c r="E226" s="1174"/>
      <c r="F226" s="880"/>
      <c r="G226" s="1174"/>
      <c r="H226" s="880"/>
      <c r="I226" s="619"/>
      <c r="J226" s="619"/>
      <c r="K226" s="619"/>
      <c r="L226" s="619"/>
      <c r="M226" s="619"/>
      <c r="N226" s="619"/>
      <c r="T226" s="43"/>
      <c r="U226" s="43"/>
      <c r="V226" s="1291"/>
      <c r="W226" s="1291"/>
      <c r="X226" s="1291"/>
      <c r="Y226" s="1291"/>
      <c r="Z226" s="1291"/>
      <c r="AA226" s="411"/>
      <c r="AB226" s="411"/>
      <c r="AC226" s="411"/>
      <c r="AD226" s="411"/>
      <c r="AE226" s="411"/>
      <c r="AF226" s="411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QJ226" s="424"/>
      <c r="QK226" s="424"/>
      <c r="QL226" s="424"/>
      <c r="QM226" s="424"/>
      <c r="QN226" s="424"/>
      <c r="QO226" s="424"/>
      <c r="QP226" s="424"/>
      <c r="QQ226" s="424"/>
      <c r="QR226" s="424"/>
      <c r="QS226" s="424"/>
      <c r="QT226" s="424"/>
      <c r="QU226" s="424"/>
      <c r="QV226" s="424"/>
      <c r="QW226" s="424"/>
      <c r="QX226" s="424"/>
      <c r="QY226" s="424"/>
      <c r="QZ226" s="424"/>
      <c r="RA226" s="424"/>
      <c r="RT226" s="424"/>
      <c r="RU226" s="424"/>
      <c r="RV226" s="424"/>
      <c r="RW226" s="424"/>
      <c r="RX226" s="424"/>
      <c r="RY226" s="424"/>
      <c r="RZ226" s="424"/>
      <c r="SA226" s="424"/>
      <c r="SB226" s="424"/>
      <c r="SC226" s="424"/>
      <c r="SD226" s="424"/>
      <c r="SE226" s="424"/>
      <c r="SF226" s="424"/>
      <c r="SG226" s="424"/>
      <c r="SH226" s="424"/>
      <c r="SI226" s="424"/>
      <c r="SJ226" s="424"/>
      <c r="SK226" s="424"/>
      <c r="SZ226" s="1372"/>
      <c r="TA226" s="1372"/>
      <c r="TB226" s="1372">
        <f t="shared" si="163"/>
        <v>8926753.4646099992</v>
      </c>
      <c r="TC226" s="1372">
        <f t="shared" si="163"/>
        <v>21634996.429591998</v>
      </c>
      <c r="TD226" s="424"/>
      <c r="TE226" s="424"/>
      <c r="TF226" s="424"/>
      <c r="TG226" s="424"/>
      <c r="TH226" s="424"/>
      <c r="TI226" s="424"/>
      <c r="TJ226" s="424"/>
    </row>
    <row r="227" spans="2:530" ht="15.75" thickBot="1" x14ac:dyDescent="0.3">
      <c r="B227" s="99"/>
      <c r="C227" s="1388"/>
      <c r="D227" s="1387"/>
      <c r="E227" s="1174"/>
      <c r="F227" s="880"/>
      <c r="G227" s="641"/>
      <c r="H227" s="880"/>
      <c r="I227" s="619"/>
      <c r="J227" s="619"/>
      <c r="K227" s="619"/>
      <c r="L227" s="619"/>
      <c r="M227" s="619"/>
      <c r="N227" s="619"/>
      <c r="T227" s="43"/>
      <c r="U227" s="43"/>
      <c r="V227" s="1291"/>
      <c r="W227" s="1291"/>
      <c r="X227" s="1291"/>
      <c r="Y227" s="1291"/>
      <c r="Z227" s="1291"/>
      <c r="AA227" s="411"/>
      <c r="AB227" s="411"/>
      <c r="AC227" s="411"/>
      <c r="AD227" s="411"/>
      <c r="AE227" s="411"/>
      <c r="AF227" s="411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QJ227" s="424"/>
      <c r="QK227" s="424"/>
      <c r="QL227" s="424"/>
      <c r="QM227" s="424"/>
      <c r="QN227" s="424"/>
      <c r="QO227" s="424"/>
      <c r="QP227" s="424"/>
      <c r="QQ227" s="424"/>
      <c r="QR227" s="424"/>
      <c r="QS227" s="424"/>
      <c r="QT227" s="424"/>
      <c r="QU227" s="424"/>
      <c r="QV227" s="424"/>
      <c r="QW227" s="424"/>
      <c r="QX227" s="424"/>
      <c r="QY227" s="424"/>
      <c r="QZ227" s="424"/>
      <c r="RA227" s="424"/>
      <c r="RT227" s="424"/>
      <c r="RU227" s="424"/>
      <c r="RV227" s="424"/>
      <c r="RW227" s="424"/>
      <c r="RX227" s="424"/>
      <c r="RY227" s="424"/>
      <c r="RZ227" s="424"/>
      <c r="SA227" s="424"/>
      <c r="SB227" s="424"/>
      <c r="SC227" s="424"/>
      <c r="SD227" s="424"/>
      <c r="SE227" s="424"/>
      <c r="SF227" s="424"/>
      <c r="SG227" s="424"/>
      <c r="SH227" s="424"/>
      <c r="SI227" s="424"/>
      <c r="SJ227" s="424"/>
      <c r="SK227" s="424"/>
      <c r="SZ227" s="1371"/>
      <c r="TA227" s="1371"/>
      <c r="TB227" s="1371">
        <f t="shared" si="163"/>
        <v>-135474933.4399679</v>
      </c>
      <c r="TC227" s="1371">
        <f t="shared" si="163"/>
        <v>-583964069.07435393</v>
      </c>
      <c r="TD227" s="424"/>
      <c r="TE227" s="424"/>
      <c r="TF227" s="424"/>
      <c r="TG227" s="424"/>
      <c r="TH227" s="424"/>
      <c r="TI227" s="424"/>
      <c r="TJ227" s="424"/>
    </row>
    <row r="228" spans="2:530" ht="15.75" thickTop="1" x14ac:dyDescent="0.25">
      <c r="B228" s="99"/>
      <c r="C228" s="1388"/>
      <c r="D228" s="1387"/>
      <c r="E228" s="1174"/>
      <c r="F228" s="880"/>
      <c r="G228" s="1174"/>
      <c r="H228" s="880"/>
      <c r="I228" s="619"/>
      <c r="J228" s="619"/>
      <c r="K228" s="619"/>
      <c r="L228" s="619"/>
      <c r="M228" s="619"/>
      <c r="N228" s="619"/>
      <c r="T228" s="43"/>
      <c r="U228" s="43"/>
      <c r="V228" s="1291"/>
      <c r="W228" s="1291"/>
      <c r="X228" s="1291"/>
      <c r="Y228" s="1291"/>
      <c r="Z228" s="1291"/>
      <c r="AA228" s="411"/>
      <c r="AB228" s="411"/>
      <c r="AC228" s="411"/>
      <c r="AD228" s="411"/>
      <c r="AE228" s="411"/>
      <c r="AF228" s="411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QJ228" s="424"/>
      <c r="QK228" s="424"/>
      <c r="QL228" s="424"/>
      <c r="QM228" s="424"/>
      <c r="QN228" s="424"/>
      <c r="QO228" s="424"/>
      <c r="QP228" s="424"/>
      <c r="QQ228" s="424"/>
      <c r="QR228" s="424"/>
      <c r="QS228" s="424"/>
      <c r="QT228" s="424"/>
      <c r="QU228" s="424"/>
      <c r="QV228" s="424"/>
      <c r="QW228" s="424"/>
      <c r="QX228" s="424"/>
      <c r="QY228" s="424"/>
      <c r="QZ228" s="424"/>
      <c r="RA228" s="424"/>
      <c r="RT228" s="424"/>
      <c r="RU228" s="424"/>
      <c r="RV228" s="424"/>
      <c r="RW228" s="424"/>
      <c r="RX228" s="424"/>
      <c r="RY228" s="424"/>
      <c r="RZ228" s="424"/>
      <c r="SA228" s="424"/>
      <c r="SB228" s="424"/>
      <c r="SC228" s="424"/>
      <c r="SD228" s="424"/>
      <c r="SE228" s="424"/>
      <c r="SF228" s="424"/>
      <c r="SG228" s="424"/>
      <c r="SH228" s="424"/>
      <c r="SI228" s="424"/>
      <c r="SJ228" s="424"/>
      <c r="SK228" s="424"/>
      <c r="SZ228" s="1375"/>
      <c r="TA228" s="1375"/>
      <c r="TB228" s="1375"/>
      <c r="TC228" s="1375"/>
      <c r="TD228" s="424"/>
      <c r="TE228" s="424"/>
      <c r="TF228" s="424"/>
      <c r="TG228" s="424"/>
      <c r="TH228" s="424"/>
      <c r="TI228" s="424"/>
      <c r="TJ228" s="424"/>
    </row>
    <row r="229" spans="2:530" x14ac:dyDescent="0.25">
      <c r="B229" s="99"/>
      <c r="C229" s="1388"/>
      <c r="D229" s="1387"/>
      <c r="E229" s="1174"/>
      <c r="F229" s="880"/>
      <c r="G229" s="641"/>
      <c r="H229" s="880"/>
      <c r="I229" s="619"/>
      <c r="J229" s="619"/>
      <c r="K229" s="619"/>
      <c r="L229" s="619"/>
      <c r="M229" s="619"/>
      <c r="N229" s="619"/>
      <c r="T229" s="43"/>
      <c r="U229" s="43"/>
      <c r="V229" s="1291"/>
      <c r="W229" s="1291"/>
      <c r="X229" s="1291"/>
      <c r="Y229" s="1291"/>
      <c r="Z229" s="1291"/>
      <c r="AA229" s="411"/>
      <c r="AB229" s="411"/>
      <c r="AC229" s="411"/>
      <c r="AD229" s="411"/>
      <c r="AE229" s="411"/>
      <c r="AF229" s="411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QJ229" s="424"/>
      <c r="QK229" s="424"/>
      <c r="QL229" s="424"/>
      <c r="QM229" s="424"/>
      <c r="QN229" s="424"/>
      <c r="QO229" s="424"/>
      <c r="QP229" s="424"/>
      <c r="QQ229" s="424"/>
      <c r="QR229" s="424"/>
      <c r="QS229" s="424"/>
      <c r="QT229" s="424"/>
      <c r="QU229" s="424"/>
      <c r="QV229" s="424"/>
      <c r="QW229" s="424"/>
      <c r="QX229" s="424"/>
      <c r="QY229" s="424"/>
      <c r="QZ229" s="424"/>
      <c r="RA229" s="424"/>
      <c r="RT229" s="424"/>
      <c r="RU229" s="424"/>
      <c r="RV229" s="424"/>
      <c r="RW229" s="424"/>
      <c r="RX229" s="424"/>
      <c r="RY229" s="424"/>
      <c r="RZ229" s="424"/>
      <c r="SA229" s="424"/>
      <c r="SB229" s="424"/>
      <c r="SC229" s="424"/>
      <c r="SD229" s="424"/>
      <c r="SE229" s="424"/>
      <c r="SF229" s="424"/>
      <c r="SG229" s="424"/>
      <c r="SH229" s="424"/>
      <c r="SI229" s="424"/>
      <c r="SJ229" s="424"/>
      <c r="SK229" s="424"/>
      <c r="SZ229" s="1375"/>
      <c r="TA229" s="1375"/>
      <c r="TB229" s="1375"/>
      <c r="TC229" s="1375"/>
      <c r="TD229" s="424"/>
      <c r="TE229" s="424"/>
      <c r="TF229" s="424"/>
      <c r="TG229" s="424"/>
      <c r="TH229" s="424"/>
      <c r="TI229" s="424"/>
      <c r="TJ229" s="424"/>
    </row>
    <row r="230" spans="2:530" x14ac:dyDescent="0.25">
      <c r="B230" s="99"/>
      <c r="C230" s="547"/>
      <c r="D230" s="1387"/>
      <c r="E230" s="1174"/>
      <c r="F230" s="880"/>
      <c r="G230" s="641"/>
      <c r="H230" s="880"/>
      <c r="I230" s="619"/>
      <c r="J230" s="619"/>
      <c r="K230" s="619"/>
      <c r="L230" s="619"/>
      <c r="M230" s="619"/>
      <c r="N230" s="619"/>
      <c r="T230" s="43"/>
      <c r="U230" s="43"/>
      <c r="V230" s="1291"/>
      <c r="W230" s="1291"/>
      <c r="X230" s="1291"/>
      <c r="Y230" s="1291"/>
      <c r="Z230" s="1291"/>
      <c r="AA230" s="411"/>
      <c r="AB230" s="411"/>
      <c r="AC230" s="411"/>
      <c r="AD230" s="411"/>
      <c r="AE230" s="411"/>
      <c r="AF230" s="411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QJ230" s="424"/>
      <c r="QK230" s="424"/>
      <c r="QL230" s="424"/>
      <c r="QM230" s="424"/>
      <c r="QN230" s="424"/>
      <c r="QO230" s="424"/>
      <c r="QP230" s="424"/>
      <c r="QQ230" s="424"/>
      <c r="QR230" s="424"/>
      <c r="QS230" s="424"/>
      <c r="QT230" s="424"/>
      <c r="QU230" s="424"/>
      <c r="QV230" s="424"/>
      <c r="QW230" s="424"/>
      <c r="QX230" s="424"/>
      <c r="QY230" s="424"/>
      <c r="QZ230" s="424"/>
      <c r="RA230" s="424"/>
      <c r="RT230" s="424"/>
      <c r="RU230" s="424"/>
      <c r="RV230" s="424"/>
      <c r="RW230" s="424"/>
      <c r="RX230" s="424"/>
      <c r="RY230" s="424"/>
      <c r="RZ230" s="424"/>
      <c r="SA230" s="424"/>
      <c r="SB230" s="424"/>
      <c r="SC230" s="424"/>
      <c r="SD230" s="424"/>
      <c r="SE230" s="424"/>
      <c r="SF230" s="424"/>
      <c r="SG230" s="424"/>
      <c r="SH230" s="424"/>
      <c r="SI230" s="424"/>
      <c r="SJ230" s="424"/>
      <c r="SK230" s="424"/>
      <c r="SZ230" s="1374"/>
      <c r="TA230" s="1374"/>
      <c r="TB230" s="1381">
        <f>TB34-TB132</f>
        <v>-2325963.2900000233</v>
      </c>
      <c r="TC230" s="1374">
        <f>TC34-TC132</f>
        <v>-11515728.170000041</v>
      </c>
      <c r="TD230" s="424"/>
      <c r="TE230" s="424"/>
      <c r="TF230" s="424"/>
      <c r="TG230" s="424"/>
      <c r="TH230" s="424"/>
      <c r="TI230" s="424"/>
      <c r="TJ230" s="424"/>
    </row>
    <row r="231" spans="2:530" x14ac:dyDescent="0.25">
      <c r="B231" s="99"/>
      <c r="C231" s="547"/>
      <c r="D231" s="560"/>
      <c r="E231" s="902"/>
      <c r="F231" s="880"/>
      <c r="G231" s="641"/>
      <c r="H231" s="880"/>
      <c r="I231" s="619"/>
      <c r="J231" s="619"/>
      <c r="K231" s="619"/>
      <c r="L231" s="619"/>
      <c r="M231" s="619"/>
      <c r="N231" s="619"/>
      <c r="T231" s="43"/>
      <c r="U231" s="43"/>
      <c r="V231" s="1291"/>
      <c r="W231" s="1291"/>
      <c r="X231" s="1291"/>
      <c r="Y231" s="1291"/>
      <c r="Z231" s="1291"/>
      <c r="AA231" s="411"/>
      <c r="AB231" s="411"/>
      <c r="AC231" s="411"/>
      <c r="AD231" s="411"/>
      <c r="AE231" s="411"/>
      <c r="AF231" s="41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QJ231" s="424"/>
      <c r="QK231" s="424"/>
      <c r="QL231" s="424"/>
      <c r="QM231" s="424"/>
      <c r="QN231" s="424"/>
      <c r="QO231" s="424"/>
      <c r="QP231" s="424"/>
      <c r="QQ231" s="424"/>
      <c r="QR231" s="424"/>
      <c r="QS231" s="424"/>
      <c r="QT231" s="424"/>
      <c r="QU231" s="424"/>
      <c r="QV231" s="424"/>
      <c r="QW231" s="424"/>
      <c r="QX231" s="424"/>
      <c r="QY231" s="424"/>
      <c r="QZ231" s="424"/>
      <c r="RA231" s="424"/>
      <c r="RT231" s="424"/>
      <c r="RU231" s="424"/>
      <c r="RV231" s="424"/>
      <c r="RW231" s="424"/>
      <c r="RX231" s="424"/>
      <c r="RY231" s="424"/>
      <c r="RZ231" s="424"/>
      <c r="SA231" s="424"/>
      <c r="SB231" s="424"/>
      <c r="SC231" s="424"/>
      <c r="SD231" s="424"/>
      <c r="SE231" s="424"/>
      <c r="SF231" s="424"/>
      <c r="SG231" s="424"/>
      <c r="SH231" s="424"/>
      <c r="SI231" s="424"/>
      <c r="SJ231" s="424"/>
      <c r="SK231" s="424"/>
      <c r="SZ231" s="1373"/>
      <c r="TA231" s="1373"/>
      <c r="TB231" s="1380">
        <v>0</v>
      </c>
      <c r="TC231" s="1373">
        <v>0</v>
      </c>
      <c r="TD231" s="424"/>
      <c r="TE231" s="424"/>
      <c r="TF231" s="424"/>
      <c r="TG231" s="424"/>
      <c r="TH231" s="424"/>
      <c r="TI231" s="424"/>
      <c r="TJ231" s="424"/>
    </row>
    <row r="232" spans="2:530" x14ac:dyDescent="0.25">
      <c r="B232" s="99"/>
      <c r="C232" s="1388"/>
      <c r="D232" s="1387"/>
      <c r="E232" s="1174"/>
      <c r="F232" s="880"/>
      <c r="G232" s="641"/>
      <c r="H232" s="880"/>
      <c r="I232" s="619"/>
      <c r="J232" s="619"/>
      <c r="K232" s="619"/>
      <c r="L232" s="619"/>
      <c r="M232" s="619"/>
      <c r="N232" s="619"/>
      <c r="T232" s="43"/>
      <c r="U232" s="43"/>
      <c r="V232" s="1291"/>
      <c r="W232" s="1291"/>
      <c r="X232" s="1291"/>
      <c r="Y232" s="1291"/>
      <c r="Z232" s="1291"/>
      <c r="AA232" s="411"/>
      <c r="AB232" s="411"/>
      <c r="AC232" s="411"/>
      <c r="AD232" s="411"/>
      <c r="AE232" s="411"/>
      <c r="AF232" s="411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QJ232" s="424"/>
      <c r="QK232" s="424"/>
      <c r="QL232" s="424"/>
      <c r="QM232" s="424"/>
      <c r="QN232" s="424"/>
      <c r="QO232" s="424"/>
      <c r="QP232" s="424"/>
      <c r="QQ232" s="424"/>
      <c r="QR232" s="424"/>
      <c r="QS232" s="424"/>
      <c r="QT232" s="424"/>
      <c r="QU232" s="424"/>
      <c r="QV232" s="424"/>
      <c r="QW232" s="424"/>
      <c r="QX232" s="424"/>
      <c r="QY232" s="424"/>
      <c r="QZ232" s="424"/>
      <c r="RA232" s="424"/>
      <c r="RT232" s="424"/>
      <c r="RU232" s="424"/>
      <c r="RV232" s="424"/>
      <c r="RW232" s="424"/>
      <c r="RX232" s="424"/>
      <c r="RY232" s="424"/>
      <c r="RZ232" s="424"/>
      <c r="SA232" s="424"/>
      <c r="SB232" s="424"/>
      <c r="SC232" s="424"/>
      <c r="SD232" s="424"/>
      <c r="SE232" s="424"/>
      <c r="SF232" s="424"/>
      <c r="SG232" s="424"/>
      <c r="SH232" s="424"/>
      <c r="SI232" s="424"/>
      <c r="SJ232" s="424"/>
      <c r="SK232" s="424"/>
      <c r="SZ232" s="1373"/>
      <c r="TA232" s="1373"/>
      <c r="TB232" s="1380">
        <v>0</v>
      </c>
      <c r="TC232" s="1373">
        <v>0</v>
      </c>
      <c r="TD232" s="424"/>
      <c r="TE232" s="424"/>
      <c r="TF232" s="424"/>
      <c r="TG232" s="424"/>
      <c r="TH232" s="424"/>
      <c r="TI232" s="424"/>
      <c r="TJ232" s="424"/>
    </row>
    <row r="233" spans="2:530" x14ac:dyDescent="0.25">
      <c r="B233" s="1391"/>
      <c r="C233" s="547"/>
      <c r="D233" s="619"/>
      <c r="E233" s="1196"/>
      <c r="F233" s="619"/>
      <c r="G233" s="619"/>
      <c r="H233" s="619"/>
      <c r="I233" s="619"/>
      <c r="J233" s="619"/>
      <c r="K233" s="619"/>
      <c r="L233" s="619"/>
      <c r="M233" s="619"/>
      <c r="N233" s="619"/>
      <c r="T233" s="43"/>
      <c r="U233" s="43"/>
      <c r="V233" s="1291"/>
      <c r="W233" s="1291"/>
      <c r="X233" s="1291"/>
      <c r="Y233" s="1291"/>
      <c r="Z233" s="1291"/>
      <c r="AA233" s="411"/>
      <c r="AB233" s="411"/>
      <c r="AC233" s="411"/>
      <c r="AD233" s="411"/>
      <c r="AE233" s="411"/>
      <c r="AF233" s="411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QJ233" s="424"/>
      <c r="QK233" s="424"/>
      <c r="QL233" s="424"/>
      <c r="QM233" s="424"/>
      <c r="QN233" s="424"/>
      <c r="QO233" s="424"/>
      <c r="QP233" s="424"/>
      <c r="QQ233" s="424"/>
      <c r="QR233" s="424"/>
      <c r="QS233" s="424"/>
      <c r="QT233" s="424"/>
      <c r="QU233" s="424"/>
      <c r="QV233" s="424"/>
      <c r="QW233" s="424"/>
      <c r="QX233" s="424"/>
      <c r="QY233" s="424"/>
      <c r="QZ233" s="424"/>
      <c r="RA233" s="424"/>
      <c r="RT233" s="424"/>
      <c r="RU233" s="424"/>
      <c r="RV233" s="424"/>
      <c r="RW233" s="424"/>
      <c r="RX233" s="424"/>
      <c r="RY233" s="424"/>
      <c r="RZ233" s="424"/>
      <c r="SA233" s="424"/>
      <c r="SB233" s="424"/>
      <c r="SC233" s="424"/>
      <c r="SD233" s="424"/>
      <c r="SE233" s="424"/>
      <c r="SF233" s="424"/>
      <c r="SG233" s="424"/>
      <c r="SH233" s="424"/>
      <c r="SI233" s="424"/>
      <c r="SJ233" s="424"/>
      <c r="SK233" s="424"/>
      <c r="SZ233" s="1372"/>
      <c r="TA233" s="1372"/>
      <c r="TB233" s="1379">
        <v>0</v>
      </c>
      <c r="TC233" s="1372">
        <v>0</v>
      </c>
      <c r="TD233" s="424"/>
      <c r="TE233" s="424"/>
      <c r="TF233" s="424"/>
      <c r="TG233" s="424"/>
      <c r="TH233" s="424"/>
      <c r="TI233" s="424"/>
      <c r="TJ233" s="424"/>
    </row>
    <row r="234" spans="2:530" x14ac:dyDescent="0.25">
      <c r="B234" s="1391"/>
      <c r="C234" s="547"/>
      <c r="D234" s="619"/>
      <c r="E234" s="619"/>
      <c r="F234" s="619"/>
      <c r="G234" s="619"/>
      <c r="H234" s="619"/>
      <c r="I234" s="619"/>
      <c r="J234" s="619"/>
      <c r="K234" s="619"/>
      <c r="L234" s="619"/>
      <c r="M234" s="619"/>
      <c r="N234" s="619"/>
      <c r="T234" s="43"/>
      <c r="U234" s="43"/>
      <c r="V234" s="1291"/>
      <c r="W234" s="1291"/>
      <c r="X234" s="1291"/>
      <c r="Y234" s="1291"/>
      <c r="Z234" s="1291"/>
      <c r="AA234" s="411"/>
      <c r="AB234" s="411"/>
      <c r="AC234" s="411"/>
      <c r="AD234" s="411"/>
      <c r="AE234" s="411"/>
      <c r="AF234" s="411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QJ234" s="424"/>
      <c r="QK234" s="424"/>
      <c r="QL234" s="424"/>
      <c r="QM234" s="424"/>
      <c r="QN234" s="424"/>
      <c r="QO234" s="424"/>
      <c r="QP234" s="424"/>
      <c r="QQ234" s="424"/>
      <c r="QR234" s="424"/>
      <c r="QS234" s="424"/>
      <c r="QT234" s="424"/>
      <c r="QU234" s="424"/>
      <c r="QV234" s="424"/>
      <c r="QW234" s="424"/>
      <c r="QX234" s="424"/>
      <c r="QY234" s="424"/>
      <c r="QZ234" s="424"/>
      <c r="RA234" s="424"/>
      <c r="RT234" s="424"/>
      <c r="RU234" s="424"/>
      <c r="RV234" s="424"/>
      <c r="RW234" s="424"/>
      <c r="RX234" s="424"/>
      <c r="RY234" s="424"/>
      <c r="RZ234" s="424"/>
      <c r="SA234" s="424"/>
      <c r="SB234" s="424"/>
      <c r="SC234" s="424"/>
      <c r="SD234" s="424"/>
      <c r="SE234" s="424"/>
      <c r="SF234" s="424"/>
      <c r="SG234" s="424"/>
      <c r="SH234" s="424"/>
      <c r="SI234" s="424"/>
      <c r="SJ234" s="424"/>
      <c r="SK234" s="424"/>
      <c r="SZ234" s="1373"/>
      <c r="TA234" s="1373"/>
      <c r="TB234" s="1373">
        <f>TB38-TB136</f>
        <v>-2325963.2900000233</v>
      </c>
      <c r="TC234" s="1373">
        <f>TC38-TC136</f>
        <v>-11515728.170000041</v>
      </c>
      <c r="TD234" s="424"/>
      <c r="TE234" s="424"/>
      <c r="TF234" s="424"/>
      <c r="TG234" s="424"/>
      <c r="TH234" s="424"/>
      <c r="TI234" s="424"/>
      <c r="TJ234" s="424"/>
    </row>
    <row r="235" spans="2:530" x14ac:dyDescent="0.25">
      <c r="B235" s="1390"/>
      <c r="C235" s="515"/>
      <c r="D235" s="1196"/>
      <c r="E235" s="1196"/>
      <c r="F235" s="1196"/>
      <c r="G235" s="1196"/>
      <c r="H235" s="1196"/>
      <c r="I235" s="1196"/>
      <c r="J235" s="1196"/>
      <c r="K235" s="1196"/>
      <c r="L235" s="1196"/>
      <c r="M235" s="1196"/>
      <c r="N235" s="1196"/>
      <c r="T235" s="43"/>
      <c r="U235" s="43"/>
      <c r="V235" s="1291"/>
      <c r="W235" s="1291"/>
      <c r="X235" s="1291"/>
      <c r="Y235" s="1291"/>
      <c r="Z235" s="1291"/>
      <c r="AA235" s="411"/>
      <c r="AB235" s="411"/>
      <c r="AC235" s="411"/>
      <c r="AD235" s="411"/>
      <c r="AE235" s="411"/>
      <c r="AF235" s="411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QJ235" s="424"/>
      <c r="QK235" s="424"/>
      <c r="QL235" s="424"/>
      <c r="QM235" s="424"/>
      <c r="QN235" s="424"/>
      <c r="QO235" s="424"/>
      <c r="QP235" s="424"/>
      <c r="QQ235" s="424"/>
      <c r="QR235" s="424"/>
      <c r="QS235" s="424"/>
      <c r="QT235" s="424"/>
      <c r="QU235" s="424"/>
      <c r="QV235" s="424"/>
      <c r="QW235" s="424"/>
      <c r="QX235" s="424"/>
      <c r="QY235" s="424"/>
      <c r="QZ235" s="424"/>
      <c r="RA235" s="424"/>
      <c r="RT235" s="424"/>
      <c r="RU235" s="424"/>
      <c r="RV235" s="424"/>
      <c r="RW235" s="424"/>
      <c r="RX235" s="424"/>
      <c r="RY235" s="424"/>
      <c r="RZ235" s="424"/>
      <c r="SA235" s="424"/>
      <c r="SB235" s="424"/>
      <c r="SC235" s="424"/>
      <c r="SD235" s="424"/>
      <c r="SE235" s="424"/>
      <c r="SF235" s="424"/>
      <c r="SG235" s="424"/>
      <c r="SH235" s="424"/>
      <c r="SI235" s="424"/>
      <c r="SJ235" s="424"/>
      <c r="SK235" s="424"/>
      <c r="SZ235" s="1373"/>
      <c r="TA235" s="1373"/>
      <c r="TB235" s="1373"/>
      <c r="TC235" s="1373"/>
      <c r="TD235" s="424"/>
      <c r="TE235" s="424"/>
      <c r="TF235" s="424"/>
      <c r="TG235" s="424"/>
      <c r="TH235" s="424"/>
      <c r="TI235" s="424"/>
      <c r="TJ235" s="424"/>
    </row>
    <row r="236" spans="2:530" x14ac:dyDescent="0.25">
      <c r="B236" s="20"/>
      <c r="C236" s="547"/>
      <c r="D236" s="800"/>
      <c r="E236" s="800"/>
      <c r="F236" s="800"/>
      <c r="G236" s="800"/>
      <c r="H236" s="63"/>
      <c r="I236" s="800"/>
      <c r="J236" s="800"/>
      <c r="K236" s="800"/>
      <c r="L236" s="800"/>
      <c r="M236" s="800"/>
      <c r="N236" s="800"/>
      <c r="T236" s="43"/>
      <c r="U236" s="43"/>
      <c r="V236" s="1291"/>
      <c r="W236" s="1291"/>
      <c r="X236" s="1291"/>
      <c r="Y236" s="1291"/>
      <c r="Z236" s="1291"/>
      <c r="AA236" s="411"/>
      <c r="AB236" s="411"/>
      <c r="AC236" s="411"/>
      <c r="AD236" s="411"/>
      <c r="AE236" s="411"/>
      <c r="AF236" s="411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QJ236" s="424"/>
      <c r="QK236" s="424"/>
      <c r="QL236" s="424"/>
      <c r="QM236" s="424"/>
      <c r="QN236" s="424"/>
      <c r="QO236" s="424"/>
      <c r="QP236" s="424"/>
      <c r="QQ236" s="424"/>
      <c r="QR236" s="424"/>
      <c r="QS236" s="424"/>
      <c r="QT236" s="424"/>
      <c r="QU236" s="424"/>
      <c r="QV236" s="424"/>
      <c r="QW236" s="424"/>
      <c r="QX236" s="424"/>
      <c r="QY236" s="424"/>
      <c r="QZ236" s="424"/>
      <c r="RA236" s="424"/>
      <c r="RT236" s="424"/>
      <c r="RU236" s="424"/>
      <c r="RV236" s="424"/>
      <c r="RW236" s="424"/>
      <c r="RX236" s="424"/>
      <c r="RY236" s="424"/>
      <c r="RZ236" s="424"/>
      <c r="SA236" s="424"/>
      <c r="SB236" s="424"/>
      <c r="SC236" s="424"/>
      <c r="SD236" s="424"/>
      <c r="SE236" s="424"/>
      <c r="SF236" s="424"/>
      <c r="SG236" s="424"/>
      <c r="SH236" s="424"/>
      <c r="SI236" s="424"/>
      <c r="SJ236" s="424"/>
      <c r="SK236" s="424"/>
      <c r="SZ236" s="1373"/>
      <c r="TA236" s="1373"/>
      <c r="TB236" s="1373">
        <f>TB40-TB138</f>
        <v>-2325963.2900000233</v>
      </c>
      <c r="TC236" s="1373">
        <f>TC40-TC138</f>
        <v>-11515728.170000041</v>
      </c>
      <c r="TD236" s="424"/>
      <c r="TE236" s="424"/>
      <c r="TF236" s="424"/>
      <c r="TG236" s="424"/>
      <c r="TH236" s="424"/>
      <c r="TI236" s="424"/>
      <c r="TJ236" s="424"/>
    </row>
    <row r="237" spans="2:530" x14ac:dyDescent="0.25">
      <c r="B237" s="1384"/>
      <c r="C237" s="20"/>
      <c r="D237" s="619"/>
      <c r="E237" s="619"/>
      <c r="F237" s="619"/>
      <c r="G237" s="619"/>
      <c r="H237" s="619"/>
      <c r="I237" s="619"/>
      <c r="J237" s="619"/>
      <c r="K237" s="619"/>
      <c r="L237" s="619"/>
      <c r="M237" s="619"/>
      <c r="N237" s="619"/>
      <c r="T237" s="43"/>
      <c r="U237" s="43"/>
      <c r="V237" s="1291"/>
      <c r="W237" s="1291"/>
      <c r="X237" s="1291"/>
      <c r="Y237" s="1291"/>
      <c r="Z237" s="1291"/>
      <c r="AA237" s="411"/>
      <c r="AB237" s="411"/>
      <c r="AC237" s="411"/>
      <c r="AD237" s="411"/>
      <c r="AE237" s="411"/>
      <c r="AF237" s="411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QJ237" s="424"/>
      <c r="QK237" s="424"/>
      <c r="QL237" s="424"/>
      <c r="QM237" s="424"/>
      <c r="QN237" s="424"/>
      <c r="QO237" s="424"/>
      <c r="QP237" s="424"/>
      <c r="QQ237" s="424"/>
      <c r="QR237" s="424"/>
      <c r="QS237" s="424"/>
      <c r="QT237" s="424"/>
      <c r="QU237" s="424"/>
      <c r="QV237" s="424"/>
      <c r="QW237" s="424"/>
      <c r="QX237" s="424"/>
      <c r="QY237" s="424"/>
      <c r="QZ237" s="424"/>
      <c r="RA237" s="424"/>
      <c r="RT237" s="424"/>
      <c r="RU237" s="424"/>
      <c r="RV237" s="424"/>
      <c r="RW237" s="424"/>
      <c r="RX237" s="424"/>
      <c r="RY237" s="424"/>
      <c r="RZ237" s="424"/>
      <c r="SA237" s="424"/>
      <c r="SB237" s="424"/>
      <c r="SC237" s="424"/>
      <c r="SD237" s="424"/>
      <c r="SE237" s="424"/>
      <c r="SF237" s="424"/>
      <c r="SG237" s="424"/>
      <c r="SH237" s="424"/>
      <c r="SI237" s="424"/>
      <c r="SJ237" s="424"/>
      <c r="SK237" s="424"/>
      <c r="SZ237" s="1378"/>
      <c r="TA237" s="1378"/>
      <c r="TB237" s="1378"/>
      <c r="TC237" s="1378"/>
      <c r="TD237" s="424"/>
      <c r="TE237" s="424"/>
      <c r="TF237" s="424"/>
      <c r="TG237" s="424"/>
      <c r="TH237" s="424"/>
      <c r="TI237" s="424"/>
      <c r="TJ237" s="424"/>
    </row>
    <row r="238" spans="2:530" x14ac:dyDescent="0.25">
      <c r="B238" s="1390"/>
      <c r="C238" s="20"/>
      <c r="D238" s="619"/>
      <c r="E238" s="619"/>
      <c r="F238" s="619"/>
      <c r="G238" s="619"/>
      <c r="H238" s="619"/>
      <c r="I238" s="619"/>
      <c r="J238" s="619"/>
      <c r="K238" s="619"/>
      <c r="L238" s="619"/>
      <c r="M238" s="619"/>
      <c r="N238" s="619"/>
      <c r="T238" s="43"/>
      <c r="U238" s="43"/>
      <c r="V238" s="1291"/>
      <c r="W238" s="1291"/>
      <c r="X238" s="1291"/>
      <c r="Y238" s="1291"/>
      <c r="Z238" s="1291"/>
      <c r="AA238" s="411"/>
      <c r="AB238" s="411"/>
      <c r="AC238" s="411"/>
      <c r="AD238" s="411"/>
      <c r="AE238" s="411"/>
      <c r="AF238" s="411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QJ238" s="424"/>
      <c r="QK238" s="424"/>
      <c r="QL238" s="424"/>
      <c r="QM238" s="424"/>
      <c r="QN238" s="424"/>
      <c r="QO238" s="424"/>
      <c r="QP238" s="424"/>
      <c r="QQ238" s="424"/>
      <c r="QR238" s="424"/>
      <c r="QS238" s="424"/>
      <c r="QT238" s="424"/>
      <c r="QU238" s="424"/>
      <c r="QV238" s="424"/>
      <c r="QW238" s="424"/>
      <c r="QX238" s="424"/>
      <c r="QY238" s="424"/>
      <c r="QZ238" s="424"/>
      <c r="RA238" s="424"/>
      <c r="RT238" s="424"/>
      <c r="RU238" s="424"/>
      <c r="RV238" s="424"/>
      <c r="RW238" s="424"/>
      <c r="RX238" s="424"/>
      <c r="RY238" s="424"/>
      <c r="RZ238" s="424"/>
      <c r="SA238" s="424"/>
      <c r="SB238" s="424"/>
      <c r="SC238" s="424"/>
      <c r="SD238" s="424"/>
      <c r="SE238" s="424"/>
      <c r="SF238" s="424"/>
      <c r="SG238" s="424"/>
      <c r="SH238" s="424"/>
      <c r="SI238" s="424"/>
      <c r="SJ238" s="424"/>
      <c r="SK238" s="424"/>
      <c r="SZ238" s="1372"/>
      <c r="TA238" s="1372"/>
      <c r="TB238" s="1372">
        <f>TB42-TB140</f>
        <v>488452.29090000485</v>
      </c>
      <c r="TC238" s="1372">
        <f>TC42-TC140</f>
        <v>2418302.9157000086</v>
      </c>
      <c r="TD238" s="424"/>
      <c r="TE238" s="424"/>
      <c r="TF238" s="424"/>
      <c r="TG238" s="424"/>
      <c r="TH238" s="424"/>
      <c r="TI238" s="424"/>
      <c r="TJ238" s="424"/>
    </row>
    <row r="239" spans="2:530" x14ac:dyDescent="0.25">
      <c r="B239" s="1217"/>
      <c r="C239" s="1388"/>
      <c r="D239" s="1387"/>
      <c r="E239" s="1389"/>
      <c r="F239" s="560"/>
      <c r="G239" s="619"/>
      <c r="H239" s="560"/>
      <c r="I239" s="619"/>
      <c r="J239" s="619"/>
      <c r="K239" s="619"/>
      <c r="L239" s="619"/>
      <c r="M239" s="619"/>
      <c r="N239" s="619"/>
      <c r="T239" s="43"/>
      <c r="U239" s="43"/>
      <c r="V239" s="1291"/>
      <c r="W239" s="1291"/>
      <c r="X239" s="1291"/>
      <c r="Y239" s="1291"/>
      <c r="Z239" s="1291"/>
      <c r="AA239" s="411"/>
      <c r="AB239" s="411"/>
      <c r="AC239" s="411"/>
      <c r="AD239" s="411"/>
      <c r="AE239" s="411"/>
      <c r="AF239" s="411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QJ239" s="424"/>
      <c r="QK239" s="424"/>
      <c r="QL239" s="424"/>
      <c r="QM239" s="424"/>
      <c r="QN239" s="424"/>
      <c r="QO239" s="424"/>
      <c r="QP239" s="424"/>
      <c r="QQ239" s="424"/>
      <c r="QR239" s="424"/>
      <c r="QS239" s="424"/>
      <c r="QT239" s="424"/>
      <c r="QU239" s="424"/>
      <c r="QV239" s="424"/>
      <c r="QW239" s="424"/>
      <c r="QX239" s="424"/>
      <c r="QY239" s="424"/>
      <c r="QZ239" s="424"/>
      <c r="RA239" s="424"/>
      <c r="RT239" s="424"/>
      <c r="RU239" s="424"/>
      <c r="RV239" s="424"/>
      <c r="RW239" s="424"/>
      <c r="RX239" s="424"/>
      <c r="RY239" s="424"/>
      <c r="RZ239" s="424"/>
      <c r="SA239" s="424"/>
      <c r="SB239" s="424"/>
      <c r="SC239" s="424"/>
      <c r="SD239" s="424"/>
      <c r="SE239" s="424"/>
      <c r="SF239" s="424"/>
      <c r="SG239" s="424"/>
      <c r="SH239" s="424"/>
      <c r="SI239" s="424"/>
      <c r="SJ239" s="424"/>
      <c r="SK239" s="424"/>
      <c r="SZ239" s="1377"/>
      <c r="TA239" s="1377"/>
      <c r="TB239" s="1377"/>
      <c r="TC239" s="1377"/>
      <c r="TD239" s="424"/>
      <c r="TE239" s="424"/>
      <c r="TF239" s="424"/>
      <c r="TG239" s="424"/>
      <c r="TH239" s="424"/>
      <c r="TI239" s="424"/>
      <c r="TJ239" s="424"/>
    </row>
    <row r="240" spans="2:530" ht="15.75" thickBot="1" x14ac:dyDescent="0.3">
      <c r="B240" s="1217"/>
      <c r="C240" s="1388"/>
      <c r="D240" s="1387"/>
      <c r="E240" s="1386"/>
      <c r="F240" s="560"/>
      <c r="G240" s="800"/>
      <c r="H240" s="560"/>
      <c r="I240" s="800"/>
      <c r="J240" s="800"/>
      <c r="K240" s="800"/>
      <c r="L240" s="800"/>
      <c r="M240" s="800"/>
      <c r="N240" s="800"/>
      <c r="T240" s="43"/>
      <c r="U240" s="43"/>
      <c r="V240" s="1291"/>
      <c r="W240" s="1291"/>
      <c r="X240" s="1291"/>
      <c r="Y240" s="1291"/>
      <c r="Z240" s="1291"/>
      <c r="AA240" s="411"/>
      <c r="AB240" s="411"/>
      <c r="AC240" s="411"/>
      <c r="AD240" s="411"/>
      <c r="AE240" s="411"/>
      <c r="AF240" s="411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QJ240" s="424"/>
      <c r="QK240" s="424"/>
      <c r="QL240" s="424"/>
      <c r="QM240" s="424"/>
      <c r="QN240" s="424"/>
      <c r="QO240" s="424"/>
      <c r="QP240" s="424"/>
      <c r="QQ240" s="424"/>
      <c r="QR240" s="424"/>
      <c r="QS240" s="424"/>
      <c r="QT240" s="424"/>
      <c r="QU240" s="424"/>
      <c r="QV240" s="424"/>
      <c r="QW240" s="424"/>
      <c r="QX240" s="424"/>
      <c r="QY240" s="424"/>
      <c r="QZ240" s="424"/>
      <c r="RA240" s="424"/>
      <c r="RT240" s="424"/>
      <c r="RU240" s="424"/>
      <c r="RV240" s="424"/>
      <c r="RW240" s="424"/>
      <c r="RX240" s="424"/>
      <c r="RY240" s="424"/>
      <c r="RZ240" s="424"/>
      <c r="SA240" s="424"/>
      <c r="SB240" s="424"/>
      <c r="SC240" s="424"/>
      <c r="SD240" s="424"/>
      <c r="SE240" s="424"/>
      <c r="SF240" s="424"/>
      <c r="SG240" s="424"/>
      <c r="SH240" s="424"/>
      <c r="SI240" s="424"/>
      <c r="SJ240" s="424"/>
      <c r="SK240" s="424"/>
      <c r="SZ240" s="1376"/>
      <c r="TA240" s="1376"/>
      <c r="TB240" s="1376">
        <f>TB44-TB142</f>
        <v>1837510.9991000185</v>
      </c>
      <c r="TC240" s="1376">
        <f>TC44-TC142</f>
        <v>9097425.2543000318</v>
      </c>
      <c r="TD240" s="424"/>
      <c r="TE240" s="424"/>
      <c r="TF240" s="424"/>
      <c r="TG240" s="424"/>
      <c r="TH240" s="424"/>
      <c r="TI240" s="424"/>
      <c r="TJ240" s="424"/>
    </row>
    <row r="241" spans="2:530" ht="15.75" thickTop="1" x14ac:dyDescent="0.25">
      <c r="B241" s="1384"/>
      <c r="C241" s="1172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T241" s="43"/>
      <c r="U241" s="43"/>
      <c r="V241" s="1291"/>
      <c r="W241" s="1291"/>
      <c r="X241" s="1291"/>
      <c r="Y241" s="1291"/>
      <c r="Z241" s="1291"/>
      <c r="AA241" s="411"/>
      <c r="AB241" s="411"/>
      <c r="AC241" s="411"/>
      <c r="AD241" s="411"/>
      <c r="AE241" s="411"/>
      <c r="AF241" s="41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QJ241" s="424"/>
      <c r="QK241" s="424"/>
      <c r="QL241" s="424"/>
      <c r="QM241" s="424"/>
      <c r="QN241" s="424"/>
      <c r="QO241" s="424"/>
      <c r="QP241" s="424"/>
      <c r="QQ241" s="424"/>
      <c r="QR241" s="424"/>
      <c r="QS241" s="424"/>
      <c r="QT241" s="424"/>
      <c r="QU241" s="424"/>
      <c r="QV241" s="424"/>
      <c r="QW241" s="424"/>
      <c r="QX241" s="424"/>
      <c r="QY241" s="424"/>
      <c r="QZ241" s="424"/>
      <c r="RA241" s="424"/>
      <c r="RT241" s="424"/>
      <c r="RU241" s="424"/>
      <c r="RV241" s="424"/>
      <c r="RW241" s="424"/>
      <c r="RX241" s="424"/>
      <c r="RY241" s="424"/>
      <c r="RZ241" s="424"/>
      <c r="SA241" s="424"/>
      <c r="SB241" s="424"/>
      <c r="SC241" s="424"/>
      <c r="SD241" s="424"/>
      <c r="SE241" s="424"/>
      <c r="SF241" s="424"/>
      <c r="SG241" s="424"/>
      <c r="SH241" s="424"/>
      <c r="SI241" s="424"/>
      <c r="SJ241" s="424"/>
      <c r="SK241" s="424"/>
      <c r="SZ241" s="1375"/>
      <c r="TA241" s="1375"/>
      <c r="TB241" s="1375"/>
      <c r="TC241" s="1375"/>
      <c r="TD241" s="424"/>
      <c r="TE241" s="424"/>
      <c r="TF241" s="424"/>
      <c r="TG241" s="424"/>
      <c r="TH241" s="424"/>
      <c r="TI241" s="424"/>
      <c r="TJ241" s="424"/>
    </row>
    <row r="242" spans="2:530" x14ac:dyDescent="0.25">
      <c r="B242" s="1385"/>
      <c r="C242" s="547"/>
      <c r="D242" s="63"/>
      <c r="E242" s="63"/>
      <c r="F242" s="63"/>
      <c r="G242" s="63"/>
      <c r="H242" s="800"/>
      <c r="I242" s="63"/>
      <c r="J242" s="63"/>
      <c r="K242" s="63"/>
      <c r="L242" s="63"/>
      <c r="M242" s="63"/>
      <c r="N242" s="63"/>
      <c r="T242" s="43"/>
      <c r="U242" s="43"/>
      <c r="V242" s="1291"/>
      <c r="W242" s="1291"/>
      <c r="X242" s="1291"/>
      <c r="Y242" s="1291"/>
      <c r="Z242" s="1291"/>
      <c r="AA242" s="411"/>
      <c r="AB242" s="411"/>
      <c r="AC242" s="411"/>
      <c r="AD242" s="411"/>
      <c r="AE242" s="411"/>
      <c r="AF242" s="411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QJ242" s="424"/>
      <c r="QK242" s="424"/>
      <c r="QL242" s="424"/>
      <c r="QM242" s="424"/>
      <c r="QN242" s="424"/>
      <c r="QO242" s="424"/>
      <c r="QP242" s="424"/>
      <c r="QQ242" s="424"/>
      <c r="QR242" s="424"/>
      <c r="QS242" s="424"/>
      <c r="QT242" s="424"/>
      <c r="QU242" s="424"/>
      <c r="QV242" s="424"/>
      <c r="QW242" s="424"/>
      <c r="QX242" s="424"/>
      <c r="QY242" s="424"/>
      <c r="QZ242" s="424"/>
      <c r="RA242" s="424"/>
      <c r="RT242" s="424"/>
      <c r="RU242" s="424"/>
      <c r="RV242" s="424"/>
      <c r="RW242" s="424"/>
      <c r="RX242" s="424"/>
      <c r="RY242" s="424"/>
      <c r="RZ242" s="424"/>
      <c r="SA242" s="424"/>
      <c r="SB242" s="424"/>
      <c r="SC242" s="424"/>
      <c r="SD242" s="424"/>
      <c r="SE242" s="424"/>
      <c r="SF242" s="424"/>
      <c r="SG242" s="424"/>
      <c r="SH242" s="424"/>
      <c r="SI242" s="424"/>
      <c r="SJ242" s="424"/>
      <c r="SK242" s="424"/>
      <c r="SZ242" s="1374"/>
      <c r="TA242" s="1374"/>
      <c r="TB242" s="1374">
        <f t="shared" ref="TB242:TC245" si="164">TB46-TB144</f>
        <v>-85647742.719999969</v>
      </c>
      <c r="TC242" s="1374">
        <f t="shared" si="164"/>
        <v>-408123404.95999998</v>
      </c>
      <c r="TD242" s="424"/>
      <c r="TE242" s="424"/>
      <c r="TF242" s="424"/>
      <c r="TG242" s="424"/>
      <c r="TH242" s="424"/>
      <c r="TI242" s="424"/>
      <c r="TJ242" s="424"/>
    </row>
    <row r="243" spans="2:530" x14ac:dyDescent="0.25">
      <c r="B243" s="1384"/>
      <c r="C243" s="1175"/>
      <c r="D243" s="801"/>
      <c r="E243" s="801"/>
      <c r="F243" s="801"/>
      <c r="G243" s="801"/>
      <c r="H243" s="801"/>
      <c r="I243" s="801"/>
      <c r="J243" s="801"/>
      <c r="K243" s="801"/>
      <c r="L243" s="801"/>
      <c r="M243" s="801"/>
      <c r="N243" s="801"/>
      <c r="T243" s="43"/>
      <c r="U243" s="43"/>
      <c r="V243" s="1291"/>
      <c r="W243" s="1291"/>
      <c r="X243" s="1291"/>
      <c r="Y243" s="1291"/>
      <c r="Z243" s="1291"/>
      <c r="AA243" s="411"/>
      <c r="AB243" s="411"/>
      <c r="AC243" s="411"/>
      <c r="AD243" s="411"/>
      <c r="AE243" s="411"/>
      <c r="AF243" s="411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QJ243" s="424"/>
      <c r="QK243" s="424"/>
      <c r="QL243" s="424"/>
      <c r="QM243" s="424"/>
      <c r="QN243" s="424"/>
      <c r="QO243" s="424"/>
      <c r="QP243" s="424"/>
      <c r="QQ243" s="424"/>
      <c r="QR243" s="424"/>
      <c r="QS243" s="424"/>
      <c r="QT243" s="424"/>
      <c r="QU243" s="424"/>
      <c r="QV243" s="424"/>
      <c r="QW243" s="424"/>
      <c r="QX243" s="424"/>
      <c r="QY243" s="424"/>
      <c r="QZ243" s="424"/>
      <c r="RA243" s="424"/>
      <c r="RT243" s="424"/>
      <c r="RU243" s="424"/>
      <c r="RV243" s="424"/>
      <c r="RW243" s="424"/>
      <c r="RX243" s="424"/>
      <c r="RY243" s="424"/>
      <c r="RZ243" s="424"/>
      <c r="SA243" s="424"/>
      <c r="SB243" s="424"/>
      <c r="SC243" s="424"/>
      <c r="SD243" s="424"/>
      <c r="SE243" s="424"/>
      <c r="SF243" s="424"/>
      <c r="SG243" s="424"/>
      <c r="SH243" s="424"/>
      <c r="SI243" s="424"/>
      <c r="SJ243" s="424"/>
      <c r="SK243" s="424"/>
      <c r="SZ243" s="1373"/>
      <c r="TA243" s="1373"/>
      <c r="TB243" s="1373">
        <f t="shared" si="164"/>
        <v>10374414.870000005</v>
      </c>
      <c r="TC243" s="1373">
        <f t="shared" si="164"/>
        <v>24750370.200000007</v>
      </c>
      <c r="TD243" s="424"/>
      <c r="TE243" s="424"/>
      <c r="TF243" s="424"/>
      <c r="TG243" s="424"/>
      <c r="TH243" s="424"/>
      <c r="TI243" s="424"/>
      <c r="TJ243" s="424"/>
    </row>
    <row r="244" spans="2:530" x14ac:dyDescent="0.25">
      <c r="B244" s="1384"/>
      <c r="C244" s="1175"/>
      <c r="D244" s="801"/>
      <c r="E244" s="801"/>
      <c r="F244" s="801"/>
      <c r="G244" s="801"/>
      <c r="H244" s="801"/>
      <c r="I244" s="801"/>
      <c r="J244" s="801"/>
      <c r="K244" s="801"/>
      <c r="L244" s="801"/>
      <c r="M244" s="801"/>
      <c r="N244" s="801"/>
      <c r="T244" s="43"/>
      <c r="U244" s="43"/>
      <c r="V244" s="1291"/>
      <c r="W244" s="1291"/>
      <c r="X244" s="1291"/>
      <c r="Y244" s="1291"/>
      <c r="Z244" s="1291"/>
      <c r="AA244" s="411"/>
      <c r="AB244" s="411"/>
      <c r="AC244" s="411"/>
      <c r="AD244" s="411"/>
      <c r="AE244" s="411"/>
      <c r="AF244" s="411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QJ244" s="424"/>
      <c r="QK244" s="424"/>
      <c r="QL244" s="424"/>
      <c r="QM244" s="424"/>
      <c r="QN244" s="424"/>
      <c r="QO244" s="424"/>
      <c r="QP244" s="424"/>
      <c r="QQ244" s="424"/>
      <c r="QR244" s="424"/>
      <c r="QS244" s="424"/>
      <c r="QT244" s="424"/>
      <c r="QU244" s="424"/>
      <c r="QV244" s="424"/>
      <c r="QW244" s="424"/>
      <c r="QX244" s="424"/>
      <c r="QY244" s="424"/>
      <c r="QZ244" s="424"/>
      <c r="RA244" s="424"/>
      <c r="RT244" s="424"/>
      <c r="RU244" s="424"/>
      <c r="RV244" s="424"/>
      <c r="RW244" s="424"/>
      <c r="RX244" s="424"/>
      <c r="RY244" s="424"/>
      <c r="RZ244" s="424"/>
      <c r="SA244" s="424"/>
      <c r="SB244" s="424"/>
      <c r="SC244" s="424"/>
      <c r="SD244" s="424"/>
      <c r="SE244" s="424"/>
      <c r="SF244" s="424"/>
      <c r="SG244" s="424"/>
      <c r="SH244" s="424"/>
      <c r="SI244" s="424"/>
      <c r="SJ244" s="424"/>
      <c r="SK244" s="424"/>
      <c r="SZ244" s="1372"/>
      <c r="TA244" s="1372"/>
      <c r="TB244" s="1372">
        <f t="shared" si="164"/>
        <v>2966768.1999999993</v>
      </c>
      <c r="TC244" s="1372">
        <f t="shared" si="164"/>
        <v>7911032.129999999</v>
      </c>
      <c r="TD244" s="424"/>
      <c r="TE244" s="424"/>
      <c r="TF244" s="424"/>
      <c r="TG244" s="424"/>
      <c r="TH244" s="424"/>
      <c r="TI244" s="424"/>
      <c r="TJ244" s="424"/>
    </row>
    <row r="245" spans="2:530" ht="15.75" thickBot="1" x14ac:dyDescent="0.3">
      <c r="B245" s="1384"/>
      <c r="C245" s="1175"/>
      <c r="D245" s="801"/>
      <c r="E245" s="801"/>
      <c r="F245" s="801"/>
      <c r="G245" s="801"/>
      <c r="H245" s="801"/>
      <c r="I245" s="801"/>
      <c r="J245" s="801"/>
      <c r="K245" s="801"/>
      <c r="L245" s="801"/>
      <c r="M245" s="801"/>
      <c r="N245" s="801"/>
      <c r="T245" s="43"/>
      <c r="U245" s="43"/>
      <c r="V245" s="1291"/>
      <c r="W245" s="1291"/>
      <c r="X245" s="1291"/>
      <c r="Y245" s="1291"/>
      <c r="Z245" s="1291"/>
      <c r="AA245" s="411"/>
      <c r="AB245" s="411"/>
      <c r="AC245" s="411"/>
      <c r="AD245" s="411"/>
      <c r="AE245" s="411"/>
      <c r="AF245" s="411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QJ245" s="424"/>
      <c r="QK245" s="424"/>
      <c r="QL245" s="424"/>
      <c r="QM245" s="424"/>
      <c r="QN245" s="424"/>
      <c r="QO245" s="424"/>
      <c r="QP245" s="424"/>
      <c r="QQ245" s="424"/>
      <c r="QR245" s="424"/>
      <c r="QS245" s="424"/>
      <c r="QT245" s="424"/>
      <c r="QU245" s="424"/>
      <c r="QV245" s="424"/>
      <c r="QW245" s="424"/>
      <c r="QX245" s="424"/>
      <c r="QY245" s="424"/>
      <c r="QZ245" s="424"/>
      <c r="RA245" s="424"/>
      <c r="RT245" s="424"/>
      <c r="RU245" s="424"/>
      <c r="RV245" s="424"/>
      <c r="RW245" s="424"/>
      <c r="RX245" s="424"/>
      <c r="RY245" s="424"/>
      <c r="RZ245" s="424"/>
      <c r="SA245" s="424"/>
      <c r="SB245" s="424"/>
      <c r="SC245" s="424"/>
      <c r="SD245" s="424"/>
      <c r="SE245" s="424"/>
      <c r="SF245" s="424"/>
      <c r="SG245" s="424"/>
      <c r="SH245" s="424"/>
      <c r="SI245" s="424"/>
      <c r="SJ245" s="424"/>
      <c r="SK245" s="424"/>
      <c r="SZ245" s="1371"/>
      <c r="TA245" s="1371"/>
      <c r="TB245" s="1371">
        <f t="shared" si="164"/>
        <v>-72306559.649999961</v>
      </c>
      <c r="TC245" s="1371">
        <f t="shared" si="164"/>
        <v>-375462002.63</v>
      </c>
      <c r="TD245" s="424"/>
      <c r="TE245" s="424"/>
      <c r="TF245" s="424"/>
      <c r="TG245" s="424"/>
      <c r="TH245" s="424"/>
      <c r="TI245" s="424"/>
      <c r="TJ245" s="424"/>
    </row>
    <row r="246" spans="2:530" ht="15.75" thickTop="1" x14ac:dyDescent="0.25">
      <c r="B246" s="1383"/>
      <c r="C246" s="20"/>
      <c r="D246" s="800"/>
      <c r="E246" s="800"/>
      <c r="F246" s="800"/>
      <c r="G246" s="800"/>
      <c r="H246" s="800"/>
      <c r="I246" s="800"/>
      <c r="J246" s="800"/>
      <c r="K246" s="800"/>
      <c r="L246" s="800"/>
      <c r="M246" s="800"/>
      <c r="N246" s="800"/>
      <c r="T246" s="43"/>
      <c r="U246" s="43"/>
      <c r="V246" s="1291"/>
      <c r="W246" s="1291"/>
      <c r="X246" s="1291"/>
      <c r="Y246" s="1291"/>
      <c r="Z246" s="1291"/>
      <c r="AA246" s="411"/>
      <c r="AB246" s="411"/>
      <c r="AC246" s="411"/>
      <c r="AD246" s="411"/>
      <c r="AE246" s="411"/>
      <c r="AF246" s="411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QJ246" s="424"/>
      <c r="QK246" s="424"/>
      <c r="QL246" s="424"/>
      <c r="QM246" s="424"/>
      <c r="QN246" s="424"/>
      <c r="QO246" s="424"/>
      <c r="QP246" s="424"/>
      <c r="QQ246" s="424"/>
      <c r="QR246" s="424"/>
      <c r="QS246" s="424"/>
      <c r="QT246" s="424"/>
      <c r="QU246" s="424"/>
      <c r="QV246" s="424"/>
      <c r="QW246" s="424"/>
      <c r="QX246" s="424"/>
      <c r="QY246" s="424"/>
      <c r="QZ246" s="424"/>
      <c r="RA246" s="424"/>
      <c r="RT246" s="424"/>
      <c r="RU246" s="424"/>
      <c r="RV246" s="424"/>
      <c r="RW246" s="424"/>
      <c r="RX246" s="424"/>
      <c r="RY246" s="424"/>
      <c r="RZ246" s="424"/>
      <c r="SA246" s="424"/>
      <c r="SB246" s="424"/>
      <c r="SC246" s="424"/>
      <c r="SD246" s="424"/>
      <c r="SE246" s="424"/>
      <c r="SF246" s="424"/>
      <c r="SG246" s="424"/>
      <c r="SH246" s="424"/>
      <c r="SI246" s="424"/>
      <c r="SJ246" s="424"/>
      <c r="SK246" s="424"/>
      <c r="SZ246" s="1375"/>
      <c r="TA246" s="1375"/>
      <c r="TB246" s="1375"/>
      <c r="TC246" s="1375"/>
      <c r="TD246" s="424"/>
      <c r="TE246" s="424"/>
      <c r="TF246" s="424"/>
      <c r="TG246" s="424"/>
      <c r="TH246" s="424"/>
      <c r="TI246" s="424"/>
      <c r="TJ246" s="424"/>
    </row>
    <row r="247" spans="2:530" x14ac:dyDescent="0.25">
      <c r="B247" s="1382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T247" s="43"/>
      <c r="U247" s="43"/>
      <c r="V247" s="1291"/>
      <c r="W247" s="1291"/>
      <c r="X247" s="1291"/>
      <c r="Y247" s="1291"/>
      <c r="Z247" s="1291"/>
      <c r="AA247" s="411"/>
      <c r="AB247" s="411"/>
      <c r="AC247" s="411"/>
      <c r="AD247" s="411"/>
      <c r="AE247" s="411"/>
      <c r="AF247" s="411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QJ247" s="424"/>
      <c r="QK247" s="424"/>
      <c r="QL247" s="424"/>
      <c r="QM247" s="424"/>
      <c r="QN247" s="424"/>
      <c r="QO247" s="424"/>
      <c r="QP247" s="424"/>
      <c r="QQ247" s="424"/>
      <c r="QR247" s="424"/>
      <c r="QS247" s="424"/>
      <c r="QT247" s="424"/>
      <c r="QU247" s="424"/>
      <c r="QV247" s="424"/>
      <c r="QW247" s="424"/>
      <c r="QX247" s="424"/>
      <c r="QY247" s="424"/>
      <c r="QZ247" s="424"/>
      <c r="RA247" s="424"/>
      <c r="RT247" s="424"/>
      <c r="RU247" s="424"/>
      <c r="RV247" s="424"/>
      <c r="RW247" s="424"/>
      <c r="RX247" s="424"/>
      <c r="RY247" s="424"/>
      <c r="RZ247" s="424"/>
      <c r="SA247" s="424"/>
      <c r="SB247" s="424"/>
      <c r="SC247" s="424"/>
      <c r="SD247" s="424"/>
      <c r="SE247" s="424"/>
      <c r="SF247" s="424"/>
      <c r="SG247" s="424"/>
      <c r="SH247" s="424"/>
      <c r="SI247" s="424"/>
      <c r="SJ247" s="424"/>
      <c r="SK247" s="424"/>
      <c r="SZ247" s="1375"/>
      <c r="TA247" s="1375"/>
      <c r="TB247" s="1375"/>
      <c r="TC247" s="1375"/>
      <c r="TD247" s="424"/>
      <c r="TE247" s="424"/>
      <c r="TF247" s="424"/>
      <c r="TG247" s="424"/>
      <c r="TH247" s="424"/>
      <c r="TI247" s="424"/>
      <c r="TJ247" s="424"/>
    </row>
    <row r="248" spans="2:530" x14ac:dyDescent="0.25">
      <c r="B248" s="1382"/>
      <c r="C248" s="1177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T248" s="43"/>
      <c r="U248" s="43"/>
      <c r="V248" s="1291"/>
      <c r="W248" s="1291"/>
      <c r="X248" s="1291"/>
      <c r="Y248" s="1291"/>
      <c r="Z248" s="1291"/>
      <c r="AA248" s="411"/>
      <c r="AB248" s="411"/>
      <c r="AC248" s="411"/>
      <c r="AD248" s="411"/>
      <c r="AE248" s="411"/>
      <c r="AF248" s="411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QJ248" s="424"/>
      <c r="QK248" s="424"/>
      <c r="QL248" s="424"/>
      <c r="QM248" s="424"/>
      <c r="QN248" s="424"/>
      <c r="QO248" s="424"/>
      <c r="QP248" s="424"/>
      <c r="QQ248" s="424"/>
      <c r="QR248" s="424"/>
      <c r="QS248" s="424"/>
      <c r="QT248" s="424"/>
      <c r="QU248" s="424"/>
      <c r="QV248" s="424"/>
      <c r="QW248" s="424"/>
      <c r="QX248" s="424"/>
      <c r="QY248" s="424"/>
      <c r="QZ248" s="424"/>
      <c r="RA248" s="424"/>
      <c r="RT248" s="424"/>
      <c r="RU248" s="424"/>
      <c r="RV248" s="424"/>
      <c r="RW248" s="424"/>
      <c r="RX248" s="424"/>
      <c r="RY248" s="424"/>
      <c r="RZ248" s="424"/>
      <c r="SA248" s="424"/>
      <c r="SB248" s="424"/>
      <c r="SC248" s="424"/>
      <c r="SD248" s="424"/>
      <c r="SE248" s="424"/>
      <c r="SF248" s="424"/>
      <c r="SG248" s="424"/>
      <c r="SH248" s="424"/>
      <c r="SI248" s="424"/>
      <c r="SJ248" s="424"/>
      <c r="SK248" s="424"/>
      <c r="SZ248" s="1374"/>
      <c r="TA248" s="1374"/>
      <c r="TB248" s="1381">
        <f>TB52-TB150</f>
        <v>-151151.41999999993</v>
      </c>
      <c r="TC248" s="1374">
        <f>TC52-TC150</f>
        <v>-5283472.82</v>
      </c>
      <c r="TD248" s="424"/>
      <c r="TE248" s="424"/>
      <c r="TF248" s="424"/>
      <c r="TG248" s="424"/>
      <c r="TH248" s="424"/>
      <c r="TI248" s="424"/>
      <c r="TJ248" s="424"/>
    </row>
    <row r="249" spans="2:530" x14ac:dyDescent="0.25">
      <c r="B249" s="1382"/>
      <c r="C249" s="1198"/>
      <c r="D249" s="647"/>
      <c r="E249" s="647"/>
      <c r="F249" s="647"/>
      <c r="G249" s="647"/>
      <c r="H249" s="647"/>
      <c r="I249" s="647"/>
      <c r="J249" s="647"/>
      <c r="K249" s="647"/>
      <c r="L249" s="647"/>
      <c r="M249" s="647"/>
      <c r="N249" s="647"/>
      <c r="T249" s="43"/>
      <c r="U249" s="43"/>
      <c r="V249" s="1291"/>
      <c r="W249" s="1291"/>
      <c r="X249" s="1291"/>
      <c r="Y249" s="1291"/>
      <c r="Z249" s="1291"/>
      <c r="AA249" s="411"/>
      <c r="AB249" s="411"/>
      <c r="AC249" s="411"/>
      <c r="AD249" s="411"/>
      <c r="AE249" s="411"/>
      <c r="AF249" s="411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QJ249" s="424"/>
      <c r="QK249" s="424"/>
      <c r="QL249" s="424"/>
      <c r="QM249" s="424"/>
      <c r="QN249" s="424"/>
      <c r="QO249" s="424"/>
      <c r="QP249" s="424"/>
      <c r="QQ249" s="424"/>
      <c r="QR249" s="424"/>
      <c r="QS249" s="424"/>
      <c r="QT249" s="424"/>
      <c r="QU249" s="424"/>
      <c r="QV249" s="424"/>
      <c r="QW249" s="424"/>
      <c r="QX249" s="424"/>
      <c r="QY249" s="424"/>
      <c r="QZ249" s="424"/>
      <c r="RA249" s="424"/>
      <c r="RT249" s="424"/>
      <c r="RU249" s="424"/>
      <c r="RV249" s="424"/>
      <c r="RW249" s="424"/>
      <c r="RX249" s="424"/>
      <c r="RY249" s="424"/>
      <c r="RZ249" s="424"/>
      <c r="SA249" s="424"/>
      <c r="SB249" s="424"/>
      <c r="SC249" s="424"/>
      <c r="SD249" s="424"/>
      <c r="SE249" s="424"/>
      <c r="SF249" s="424"/>
      <c r="SG249" s="424"/>
      <c r="SH249" s="424"/>
      <c r="SI249" s="424"/>
      <c r="SJ249" s="424"/>
      <c r="SK249" s="424"/>
      <c r="SZ249" s="1373"/>
      <c r="TA249" s="1373"/>
      <c r="TB249" s="1380">
        <f>TB53-TB151</f>
        <v>-110848.988666</v>
      </c>
      <c r="TC249" s="1373">
        <f>TC53-TC151</f>
        <v>-115120.156944</v>
      </c>
      <c r="TD249" s="424"/>
      <c r="TE249" s="424"/>
      <c r="TF249" s="424"/>
      <c r="TG249" s="424"/>
      <c r="TH249" s="424"/>
      <c r="TI249" s="424"/>
      <c r="TJ249" s="424"/>
    </row>
    <row r="250" spans="2:530" x14ac:dyDescent="0.25">
      <c r="B250" s="1382"/>
      <c r="C250" s="547"/>
      <c r="D250" s="980"/>
      <c r="E250" s="980"/>
      <c r="F250" s="980"/>
      <c r="G250" s="980"/>
      <c r="H250" s="980"/>
      <c r="I250" s="980"/>
      <c r="J250" s="980"/>
      <c r="K250" s="980"/>
      <c r="L250" s="980"/>
      <c r="M250" s="980"/>
      <c r="N250" s="980"/>
      <c r="T250" s="43"/>
      <c r="U250" s="43"/>
      <c r="V250" s="1291"/>
      <c r="W250" s="1291"/>
      <c r="X250" s="1291"/>
      <c r="Y250" s="1291"/>
      <c r="Z250" s="1291"/>
      <c r="AA250" s="411"/>
      <c r="AB250" s="411"/>
      <c r="AC250" s="411"/>
      <c r="AD250" s="411"/>
      <c r="AE250" s="411"/>
      <c r="AF250" s="411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QJ250" s="424"/>
      <c r="QK250" s="424"/>
      <c r="QL250" s="424"/>
      <c r="QM250" s="424"/>
      <c r="QN250" s="424"/>
      <c r="QO250" s="424"/>
      <c r="QP250" s="424"/>
      <c r="QQ250" s="424"/>
      <c r="QR250" s="424"/>
      <c r="QS250" s="424"/>
      <c r="QT250" s="424"/>
      <c r="QU250" s="424"/>
      <c r="QV250" s="424"/>
      <c r="QW250" s="424"/>
      <c r="QX250" s="424"/>
      <c r="QY250" s="424"/>
      <c r="QZ250" s="424"/>
      <c r="RA250" s="424"/>
      <c r="RT250" s="424"/>
      <c r="RU250" s="424"/>
      <c r="RV250" s="424"/>
      <c r="RW250" s="424"/>
      <c r="RX250" s="424"/>
      <c r="RY250" s="424"/>
      <c r="RZ250" s="424"/>
      <c r="SA250" s="424"/>
      <c r="SB250" s="424"/>
      <c r="SC250" s="424"/>
      <c r="SD250" s="424"/>
      <c r="SE250" s="424"/>
      <c r="SF250" s="424"/>
      <c r="SG250" s="424"/>
      <c r="SH250" s="424"/>
      <c r="SI250" s="424"/>
      <c r="SJ250" s="424"/>
      <c r="SK250" s="424"/>
      <c r="SZ250" s="1373"/>
      <c r="TA250" s="1373"/>
      <c r="TB250" s="1380">
        <v>0</v>
      </c>
      <c r="TC250" s="1373">
        <v>0</v>
      </c>
      <c r="TD250" s="424"/>
      <c r="TE250" s="424"/>
      <c r="TF250" s="424"/>
      <c r="TG250" s="424"/>
      <c r="TH250" s="424"/>
      <c r="TI250" s="424"/>
      <c r="TJ250" s="424"/>
    </row>
    <row r="251" spans="2:530" x14ac:dyDescent="0.25"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T251" s="43"/>
      <c r="U251" s="43"/>
      <c r="V251" s="1291"/>
      <c r="W251" s="1291"/>
      <c r="X251" s="1291"/>
      <c r="Y251" s="1291"/>
      <c r="Z251" s="1291"/>
      <c r="AA251" s="411"/>
      <c r="AB251" s="411"/>
      <c r="AC251" s="411"/>
      <c r="AD251" s="411"/>
      <c r="AE251" s="411"/>
      <c r="AF251" s="41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QJ251" s="424"/>
      <c r="QK251" s="424"/>
      <c r="QL251" s="424"/>
      <c r="QM251" s="424"/>
      <c r="QN251" s="424"/>
      <c r="QO251" s="424"/>
      <c r="QP251" s="424"/>
      <c r="QQ251" s="424"/>
      <c r="QR251" s="424"/>
      <c r="QS251" s="424"/>
      <c r="QT251" s="424"/>
      <c r="QU251" s="424"/>
      <c r="QV251" s="424"/>
      <c r="QW251" s="424"/>
      <c r="QX251" s="424"/>
      <c r="QY251" s="424"/>
      <c r="QZ251" s="424"/>
      <c r="RA251" s="424"/>
      <c r="RT251" s="424"/>
      <c r="RU251" s="424"/>
      <c r="RV251" s="424"/>
      <c r="RW251" s="424"/>
      <c r="RX251" s="424"/>
      <c r="RY251" s="424"/>
      <c r="RZ251" s="424"/>
      <c r="SA251" s="424"/>
      <c r="SB251" s="424"/>
      <c r="SC251" s="424"/>
      <c r="SD251" s="424"/>
      <c r="SE251" s="424"/>
      <c r="SF251" s="424"/>
      <c r="SG251" s="424"/>
      <c r="SH251" s="424"/>
      <c r="SI251" s="424"/>
      <c r="SJ251" s="424"/>
      <c r="SK251" s="424"/>
      <c r="SZ251" s="1372"/>
      <c r="TA251" s="1372"/>
      <c r="TB251" s="1379">
        <f>TB55-TB153</f>
        <v>-1068637.026574</v>
      </c>
      <c r="TC251" s="1372">
        <f>TC55-TC153</f>
        <v>-1267470.985716</v>
      </c>
      <c r="TD251" s="424"/>
      <c r="TE251" s="424"/>
      <c r="TF251" s="424"/>
      <c r="TG251" s="424"/>
      <c r="TH251" s="424"/>
      <c r="TI251" s="424"/>
      <c r="TJ251" s="424"/>
    </row>
    <row r="252" spans="2:530" x14ac:dyDescent="0.25"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T252" s="43"/>
      <c r="U252" s="43"/>
      <c r="V252" s="1291"/>
      <c r="W252" s="1291"/>
      <c r="X252" s="1291"/>
      <c r="Y252" s="1291"/>
      <c r="Z252" s="1291"/>
      <c r="AA252" s="411"/>
      <c r="AB252" s="411"/>
      <c r="AC252" s="411"/>
      <c r="AD252" s="411"/>
      <c r="AE252" s="411"/>
      <c r="AF252" s="411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QJ252" s="424"/>
      <c r="QK252" s="424"/>
      <c r="QL252" s="424"/>
      <c r="QM252" s="424"/>
      <c r="QN252" s="424"/>
      <c r="QO252" s="424"/>
      <c r="QP252" s="424"/>
      <c r="QQ252" s="424"/>
      <c r="QR252" s="424"/>
      <c r="QS252" s="424"/>
      <c r="QT252" s="424"/>
      <c r="QU252" s="424"/>
      <c r="QV252" s="424"/>
      <c r="QW252" s="424"/>
      <c r="QX252" s="424"/>
      <c r="QY252" s="424"/>
      <c r="QZ252" s="424"/>
      <c r="RA252" s="424"/>
      <c r="RT252" s="424"/>
      <c r="RU252" s="424"/>
      <c r="RV252" s="424"/>
      <c r="RW252" s="424"/>
      <c r="RX252" s="424"/>
      <c r="RY252" s="424"/>
      <c r="RZ252" s="424"/>
      <c r="SA252" s="424"/>
      <c r="SB252" s="424"/>
      <c r="SC252" s="424"/>
      <c r="SD252" s="424"/>
      <c r="SE252" s="424"/>
      <c r="SF252" s="424"/>
      <c r="SG252" s="424"/>
      <c r="SH252" s="424"/>
      <c r="SI252" s="424"/>
      <c r="SJ252" s="424"/>
      <c r="SK252" s="424"/>
      <c r="SZ252" s="1373"/>
      <c r="TA252" s="1373"/>
      <c r="TB252" s="1373">
        <f>TB56-TB154</f>
        <v>-1330637.43524</v>
      </c>
      <c r="TC252" s="1373">
        <f>TC56-TC154</f>
        <v>-6666063.9626600007</v>
      </c>
      <c r="TD252" s="424"/>
      <c r="TE252" s="424"/>
      <c r="TF252" s="424"/>
      <c r="TG252" s="424"/>
      <c r="TH252" s="424"/>
      <c r="TI252" s="424"/>
      <c r="TJ252" s="424"/>
    </row>
    <row r="253" spans="2:530" x14ac:dyDescent="0.25">
      <c r="I253" s="51"/>
      <c r="T253" s="43"/>
      <c r="U253" s="43"/>
      <c r="V253" s="1291"/>
      <c r="W253" s="1291"/>
      <c r="X253" s="1291"/>
      <c r="Y253" s="1291"/>
      <c r="Z253" s="1291"/>
      <c r="AA253" s="411"/>
      <c r="AB253" s="411"/>
      <c r="AC253" s="411"/>
      <c r="AD253" s="411"/>
      <c r="AE253" s="411"/>
      <c r="AF253" s="411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QJ253" s="424"/>
      <c r="QK253" s="424"/>
      <c r="QL253" s="424"/>
      <c r="QM253" s="424"/>
      <c r="QN253" s="424"/>
      <c r="QO253" s="424"/>
      <c r="QP253" s="424"/>
      <c r="QQ253" s="424"/>
      <c r="QR253" s="424"/>
      <c r="QS253" s="424"/>
      <c r="QT253" s="424"/>
      <c r="QU253" s="424"/>
      <c r="QV253" s="424"/>
      <c r="QW253" s="424"/>
      <c r="QX253" s="424"/>
      <c r="QY253" s="424"/>
      <c r="QZ253" s="424"/>
      <c r="RA253" s="424"/>
      <c r="RT253" s="424"/>
      <c r="RU253" s="424"/>
      <c r="RV253" s="424"/>
      <c r="RW253" s="424"/>
      <c r="RX253" s="424"/>
      <c r="RY253" s="424"/>
      <c r="RZ253" s="424"/>
      <c r="SA253" s="424"/>
      <c r="SB253" s="424"/>
      <c r="SC253" s="424"/>
      <c r="SD253" s="424"/>
      <c r="SE253" s="424"/>
      <c r="SF253" s="424"/>
      <c r="SG253" s="424"/>
      <c r="SH253" s="424"/>
      <c r="SI253" s="424"/>
      <c r="SJ253" s="424"/>
      <c r="SK253" s="424"/>
      <c r="SZ253" s="1373"/>
      <c r="TA253" s="1373"/>
      <c r="TB253" s="1373"/>
      <c r="TC253" s="1373"/>
      <c r="TD253" s="424"/>
      <c r="TE253" s="424"/>
      <c r="TF253" s="424"/>
      <c r="TG253" s="424"/>
      <c r="TH253" s="424"/>
      <c r="TI253" s="424"/>
      <c r="TJ253" s="424"/>
    </row>
    <row r="254" spans="2:530" x14ac:dyDescent="0.25">
      <c r="T254" s="43"/>
      <c r="U254" s="43"/>
      <c r="V254" s="1291"/>
      <c r="W254" s="1291"/>
      <c r="X254" s="1291"/>
      <c r="Y254" s="1291"/>
      <c r="Z254" s="1291"/>
      <c r="AA254" s="411"/>
      <c r="AB254" s="411"/>
      <c r="AC254" s="411"/>
      <c r="AD254" s="411"/>
      <c r="AE254" s="411"/>
      <c r="AF254" s="411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QJ254" s="424"/>
      <c r="QK254" s="424"/>
      <c r="QL254" s="424"/>
      <c r="QM254" s="424"/>
      <c r="QN254" s="424"/>
      <c r="QO254" s="424"/>
      <c r="QP254" s="424"/>
      <c r="QQ254" s="424"/>
      <c r="QR254" s="424"/>
      <c r="QS254" s="424"/>
      <c r="QT254" s="424"/>
      <c r="QU254" s="424"/>
      <c r="QV254" s="424"/>
      <c r="QW254" s="424"/>
      <c r="QX254" s="424"/>
      <c r="QY254" s="424"/>
      <c r="QZ254" s="424"/>
      <c r="RA254" s="424"/>
      <c r="RT254" s="424"/>
      <c r="RU254" s="424"/>
      <c r="RV254" s="424"/>
      <c r="RW254" s="424"/>
      <c r="RX254" s="424"/>
      <c r="RY254" s="424"/>
      <c r="RZ254" s="424"/>
      <c r="SA254" s="424"/>
      <c r="SB254" s="424"/>
      <c r="SC254" s="424"/>
      <c r="SD254" s="424"/>
      <c r="SE254" s="424"/>
      <c r="SF254" s="424"/>
      <c r="SG254" s="424"/>
      <c r="SH254" s="424"/>
      <c r="SI254" s="424"/>
      <c r="SJ254" s="424"/>
      <c r="SK254" s="424"/>
      <c r="SZ254" s="1373"/>
      <c r="TA254" s="1373"/>
      <c r="TB254" s="1373">
        <f>TB58-TB156</f>
        <v>-1330637.43524</v>
      </c>
      <c r="TC254" s="1373">
        <f>TC58-TC156</f>
        <v>-6666063.9626600007</v>
      </c>
      <c r="TD254" s="424"/>
      <c r="TE254" s="424"/>
      <c r="TF254" s="424"/>
      <c r="TG254" s="424"/>
      <c r="TH254" s="424"/>
      <c r="TI254" s="424"/>
      <c r="TJ254" s="424"/>
    </row>
    <row r="255" spans="2:530" x14ac:dyDescent="0.25">
      <c r="T255" s="43"/>
      <c r="U255" s="43"/>
      <c r="V255" s="1291"/>
      <c r="W255" s="1291"/>
      <c r="X255" s="1291"/>
      <c r="Y255" s="1291"/>
      <c r="Z255" s="1291"/>
      <c r="AA255" s="411"/>
      <c r="AB255" s="411"/>
      <c r="AC255" s="411"/>
      <c r="AD255" s="411"/>
      <c r="AE255" s="411"/>
      <c r="AF255" s="411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QJ255" s="424"/>
      <c r="QK255" s="424"/>
      <c r="QL255" s="424"/>
      <c r="QM255" s="424"/>
      <c r="QN255" s="424"/>
      <c r="QO255" s="424"/>
      <c r="QP255" s="424"/>
      <c r="QQ255" s="424"/>
      <c r="QR255" s="424"/>
      <c r="QS255" s="424"/>
      <c r="QT255" s="424"/>
      <c r="QU255" s="424"/>
      <c r="QV255" s="424"/>
      <c r="QW255" s="424"/>
      <c r="QX255" s="424"/>
      <c r="QY255" s="424"/>
      <c r="QZ255" s="424"/>
      <c r="RA255" s="424"/>
      <c r="RT255" s="424"/>
      <c r="RU255" s="424"/>
      <c r="RV255" s="424"/>
      <c r="RW255" s="424"/>
      <c r="RX255" s="424"/>
      <c r="RY255" s="424"/>
      <c r="RZ255" s="424"/>
      <c r="SA255" s="424"/>
      <c r="SB255" s="424"/>
      <c r="SC255" s="424"/>
      <c r="SD255" s="424"/>
      <c r="SE255" s="424"/>
      <c r="SF255" s="424"/>
      <c r="SG255" s="424"/>
      <c r="SH255" s="424"/>
      <c r="SI255" s="424"/>
      <c r="SJ255" s="424"/>
      <c r="SK255" s="424"/>
      <c r="SZ255" s="1378"/>
      <c r="TA255" s="1378"/>
      <c r="TB255" s="1378"/>
      <c r="TC255" s="1378"/>
      <c r="TD255" s="424"/>
      <c r="TE255" s="424"/>
      <c r="TF255" s="424"/>
      <c r="TG255" s="424"/>
      <c r="TH255" s="424"/>
      <c r="TI255" s="424"/>
      <c r="TJ255" s="424"/>
    </row>
    <row r="256" spans="2:530" x14ac:dyDescent="0.25">
      <c r="T256" s="43"/>
      <c r="U256" s="43"/>
      <c r="V256" s="1291"/>
      <c r="W256" s="1291"/>
      <c r="X256" s="1291"/>
      <c r="Y256" s="1291"/>
      <c r="Z256" s="1291"/>
      <c r="AA256" s="411"/>
      <c r="AB256" s="411"/>
      <c r="AC256" s="411"/>
      <c r="AD256" s="411"/>
      <c r="AE256" s="411"/>
      <c r="AF256" s="411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QJ256" s="424"/>
      <c r="QK256" s="424"/>
      <c r="QL256" s="424"/>
      <c r="QM256" s="424"/>
      <c r="QN256" s="424"/>
      <c r="QO256" s="424"/>
      <c r="QP256" s="424"/>
      <c r="QQ256" s="424"/>
      <c r="QR256" s="424"/>
      <c r="QS256" s="424"/>
      <c r="QT256" s="424"/>
      <c r="QU256" s="424"/>
      <c r="QV256" s="424"/>
      <c r="QW256" s="424"/>
      <c r="QX256" s="424"/>
      <c r="QY256" s="424"/>
      <c r="QZ256" s="424"/>
      <c r="RA256" s="424"/>
      <c r="RT256" s="424"/>
      <c r="RU256" s="424"/>
      <c r="RV256" s="424"/>
      <c r="RW256" s="424"/>
      <c r="RX256" s="424"/>
      <c r="RY256" s="424"/>
      <c r="RZ256" s="424"/>
      <c r="SA256" s="424"/>
      <c r="SB256" s="424"/>
      <c r="SC256" s="424"/>
      <c r="SD256" s="424"/>
      <c r="SE256" s="424"/>
      <c r="SF256" s="424"/>
      <c r="SG256" s="424"/>
      <c r="SH256" s="424"/>
      <c r="SI256" s="424"/>
      <c r="SJ256" s="424"/>
      <c r="SK256" s="424"/>
      <c r="SZ256" s="1372"/>
      <c r="TA256" s="1372"/>
      <c r="TB256" s="1372">
        <f>TB60-TB158</f>
        <v>279433.8614004</v>
      </c>
      <c r="TC256" s="1372">
        <f>TC60-TC158</f>
        <v>1399873.4321586001</v>
      </c>
      <c r="TD256" s="424"/>
      <c r="TE256" s="424"/>
      <c r="TF256" s="424"/>
      <c r="TG256" s="424"/>
      <c r="TH256" s="424"/>
      <c r="TI256" s="424"/>
      <c r="TJ256" s="424"/>
    </row>
    <row r="257" spans="20:530" x14ac:dyDescent="0.25">
      <c r="T257" s="43"/>
      <c r="U257" s="43"/>
      <c r="V257" s="1291"/>
      <c r="W257" s="1291"/>
      <c r="X257" s="1291"/>
      <c r="Y257" s="1291"/>
      <c r="Z257" s="1291"/>
      <c r="AA257" s="411"/>
      <c r="AB257" s="411"/>
      <c r="AC257" s="411"/>
      <c r="AD257" s="411"/>
      <c r="AE257" s="411"/>
      <c r="AF257" s="411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QJ257" s="424"/>
      <c r="QK257" s="424"/>
      <c r="QL257" s="424"/>
      <c r="QM257" s="424"/>
      <c r="QN257" s="424"/>
      <c r="QO257" s="424"/>
      <c r="QP257" s="424"/>
      <c r="QQ257" s="424"/>
      <c r="QR257" s="424"/>
      <c r="QS257" s="424"/>
      <c r="QT257" s="424"/>
      <c r="QU257" s="424"/>
      <c r="QV257" s="424"/>
      <c r="QW257" s="424"/>
      <c r="QX257" s="424"/>
      <c r="QY257" s="424"/>
      <c r="QZ257" s="424"/>
      <c r="RA257" s="424"/>
      <c r="RT257" s="424"/>
      <c r="RU257" s="424"/>
      <c r="RV257" s="424"/>
      <c r="RW257" s="424"/>
      <c r="RX257" s="424"/>
      <c r="RY257" s="424"/>
      <c r="RZ257" s="424"/>
      <c r="SA257" s="424"/>
      <c r="SB257" s="424"/>
      <c r="SC257" s="424"/>
      <c r="SD257" s="424"/>
      <c r="SE257" s="424"/>
      <c r="SF257" s="424"/>
      <c r="SG257" s="424"/>
      <c r="SH257" s="424"/>
      <c r="SI257" s="424"/>
      <c r="SJ257" s="424"/>
      <c r="SK257" s="424"/>
      <c r="SZ257" s="1377"/>
      <c r="TA257" s="1377"/>
      <c r="TB257" s="1377"/>
      <c r="TC257" s="1377"/>
      <c r="TD257" s="424"/>
      <c r="TE257" s="424"/>
      <c r="TF257" s="424"/>
      <c r="TG257" s="424"/>
      <c r="TH257" s="424"/>
      <c r="TI257" s="424"/>
      <c r="TJ257" s="424"/>
    </row>
    <row r="258" spans="20:530" ht="15.75" thickBot="1" x14ac:dyDescent="0.3">
      <c r="T258" s="43"/>
      <c r="U258" s="43"/>
      <c r="V258" s="1291"/>
      <c r="W258" s="1291"/>
      <c r="X258" s="1291"/>
      <c r="Y258" s="1291"/>
      <c r="Z258" s="1291"/>
      <c r="AA258" s="411"/>
      <c r="AB258" s="411"/>
      <c r="AC258" s="411"/>
      <c r="AD258" s="411"/>
      <c r="AE258" s="411"/>
      <c r="AF258" s="411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QJ258" s="424"/>
      <c r="QK258" s="424"/>
      <c r="QL258" s="424"/>
      <c r="QM258" s="424"/>
      <c r="QN258" s="424"/>
      <c r="QO258" s="424"/>
      <c r="QP258" s="424"/>
      <c r="QQ258" s="424"/>
      <c r="QR258" s="424"/>
      <c r="QS258" s="424"/>
      <c r="QT258" s="424"/>
      <c r="QU258" s="424"/>
      <c r="QV258" s="424"/>
      <c r="QW258" s="424"/>
      <c r="QX258" s="424"/>
      <c r="QY258" s="424"/>
      <c r="QZ258" s="424"/>
      <c r="RA258" s="424"/>
      <c r="RT258" s="424"/>
      <c r="RU258" s="424"/>
      <c r="RV258" s="424"/>
      <c r="RW258" s="424"/>
      <c r="RX258" s="424"/>
      <c r="RY258" s="424"/>
      <c r="RZ258" s="424"/>
      <c r="SA258" s="424"/>
      <c r="SB258" s="424"/>
      <c r="SC258" s="424"/>
      <c r="SD258" s="424"/>
      <c r="SE258" s="424"/>
      <c r="SF258" s="424"/>
      <c r="SG258" s="424"/>
      <c r="SH258" s="424"/>
      <c r="SI258" s="424"/>
      <c r="SJ258" s="424"/>
      <c r="SK258" s="424"/>
      <c r="SZ258" s="1376"/>
      <c r="TA258" s="1376"/>
      <c r="TB258" s="1376">
        <f>TB62-TB160</f>
        <v>1051203.5738396</v>
      </c>
      <c r="TC258" s="1376">
        <f>TC62-TC160</f>
        <v>5266190.5305014011</v>
      </c>
      <c r="TD258" s="424"/>
      <c r="TE258" s="424"/>
      <c r="TF258" s="424"/>
      <c r="TG258" s="424"/>
      <c r="TH258" s="424"/>
      <c r="TI258" s="424"/>
      <c r="TJ258" s="424"/>
    </row>
    <row r="259" spans="20:530" ht="15.75" thickTop="1" x14ac:dyDescent="0.25">
      <c r="T259" s="43"/>
      <c r="U259" s="43"/>
      <c r="V259" s="1291"/>
      <c r="W259" s="1291"/>
      <c r="X259" s="1291"/>
      <c r="Y259" s="1291"/>
      <c r="Z259" s="1291"/>
      <c r="AA259" s="411"/>
      <c r="AB259" s="411"/>
      <c r="AC259" s="411"/>
      <c r="AD259" s="411"/>
      <c r="AE259" s="411"/>
      <c r="AF259" s="411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QJ259" s="424"/>
      <c r="QK259" s="424"/>
      <c r="QL259" s="424"/>
      <c r="QM259" s="424"/>
      <c r="QN259" s="424"/>
      <c r="QO259" s="424"/>
      <c r="QP259" s="424"/>
      <c r="QQ259" s="424"/>
      <c r="QR259" s="424"/>
      <c r="QS259" s="424"/>
      <c r="QT259" s="424"/>
      <c r="QU259" s="424"/>
      <c r="QV259" s="424"/>
      <c r="QW259" s="424"/>
      <c r="QX259" s="424"/>
      <c r="QY259" s="424"/>
      <c r="QZ259" s="424"/>
      <c r="RA259" s="424"/>
      <c r="RT259" s="424"/>
      <c r="RU259" s="424"/>
      <c r="RV259" s="424"/>
      <c r="RW259" s="424"/>
      <c r="RX259" s="424"/>
      <c r="RY259" s="424"/>
      <c r="RZ259" s="424"/>
      <c r="SA259" s="424"/>
      <c r="SB259" s="424"/>
      <c r="SC259" s="424"/>
      <c r="SD259" s="424"/>
      <c r="SE259" s="424"/>
      <c r="SF259" s="424"/>
      <c r="SG259" s="424"/>
      <c r="SH259" s="424"/>
      <c r="SI259" s="424"/>
      <c r="SJ259" s="424"/>
      <c r="SK259" s="424"/>
      <c r="SZ259" s="1375"/>
      <c r="TA259" s="1375"/>
      <c r="TB259" s="1375"/>
      <c r="TC259" s="1375"/>
      <c r="TD259" s="424"/>
      <c r="TE259" s="424"/>
      <c r="TF259" s="424"/>
      <c r="TG259" s="424"/>
      <c r="TH259" s="424"/>
      <c r="TI259" s="424"/>
      <c r="TJ259" s="424"/>
    </row>
    <row r="260" spans="20:530" x14ac:dyDescent="0.25">
      <c r="T260" s="43"/>
      <c r="U260" s="43"/>
      <c r="V260" s="1291"/>
      <c r="W260" s="1291"/>
      <c r="X260" s="1291"/>
      <c r="Y260" s="1291"/>
      <c r="Z260" s="1291"/>
      <c r="AA260" s="411"/>
      <c r="AB260" s="411"/>
      <c r="AC260" s="411"/>
      <c r="AD260" s="411"/>
      <c r="AE260" s="411"/>
      <c r="AF260" s="411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QJ260" s="424"/>
      <c r="QK260" s="424"/>
      <c r="QL260" s="424"/>
      <c r="QM260" s="424"/>
      <c r="QN260" s="424"/>
      <c r="QO260" s="424"/>
      <c r="QP260" s="424"/>
      <c r="QQ260" s="424"/>
      <c r="QR260" s="424"/>
      <c r="QS260" s="424"/>
      <c r="QT260" s="424"/>
      <c r="QU260" s="424"/>
      <c r="QV260" s="424"/>
      <c r="QW260" s="424"/>
      <c r="QX260" s="424"/>
      <c r="QY260" s="424"/>
      <c r="QZ260" s="424"/>
      <c r="RA260" s="424"/>
      <c r="RT260" s="424"/>
      <c r="RU260" s="424"/>
      <c r="RV260" s="424"/>
      <c r="RW260" s="424"/>
      <c r="RX260" s="424"/>
      <c r="RY260" s="424"/>
      <c r="RZ260" s="424"/>
      <c r="SA260" s="424"/>
      <c r="SB260" s="424"/>
      <c r="SC260" s="424"/>
      <c r="SD260" s="424"/>
      <c r="SE260" s="424"/>
      <c r="SF260" s="424"/>
      <c r="SG260" s="424"/>
      <c r="SH260" s="424"/>
      <c r="SI260" s="424"/>
      <c r="SJ260" s="424"/>
      <c r="SK260" s="424"/>
      <c r="SZ260" s="1374"/>
      <c r="TA260" s="1374"/>
      <c r="TB260" s="1374">
        <f t="shared" ref="TB260:TC263" si="165">TB64-TB162</f>
        <v>-17586544.043998033</v>
      </c>
      <c r="TC260" s="1374">
        <f t="shared" si="165"/>
        <v>-260314630.7942</v>
      </c>
      <c r="TD260" s="424"/>
      <c r="TE260" s="424"/>
      <c r="TF260" s="424"/>
      <c r="TG260" s="424"/>
      <c r="TH260" s="424"/>
      <c r="TI260" s="424"/>
      <c r="TJ260" s="424"/>
    </row>
    <row r="261" spans="20:530" x14ac:dyDescent="0.25">
      <c r="T261" s="43"/>
      <c r="U261" s="43"/>
      <c r="V261" s="1291"/>
      <c r="W261" s="1291"/>
      <c r="X261" s="1291"/>
      <c r="Y261" s="1291"/>
      <c r="Z261" s="1291"/>
      <c r="AA261" s="411"/>
      <c r="AB261" s="411"/>
      <c r="AC261" s="411"/>
      <c r="AD261" s="411"/>
      <c r="AE261" s="411"/>
      <c r="AF261" s="41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QJ261" s="424"/>
      <c r="QK261" s="424"/>
      <c r="QL261" s="424"/>
      <c r="QM261" s="424"/>
      <c r="QN261" s="424"/>
      <c r="QO261" s="424"/>
      <c r="QP261" s="424"/>
      <c r="QQ261" s="424"/>
      <c r="QR261" s="424"/>
      <c r="QS261" s="424"/>
      <c r="QT261" s="424"/>
      <c r="QU261" s="424"/>
      <c r="QV261" s="424"/>
      <c r="QW261" s="424"/>
      <c r="QX261" s="424"/>
      <c r="QY261" s="424"/>
      <c r="QZ261" s="424"/>
      <c r="RA261" s="424"/>
      <c r="RT261" s="424"/>
      <c r="RU261" s="424"/>
      <c r="RV261" s="424"/>
      <c r="RW261" s="424"/>
      <c r="RX261" s="424"/>
      <c r="RY261" s="424"/>
      <c r="RZ261" s="424"/>
      <c r="SA261" s="424"/>
      <c r="SB261" s="424"/>
      <c r="SC261" s="424"/>
      <c r="SD261" s="424"/>
      <c r="SE261" s="424"/>
      <c r="SF261" s="424"/>
      <c r="SG261" s="424"/>
      <c r="SH261" s="424"/>
      <c r="SI261" s="424"/>
      <c r="SJ261" s="424"/>
      <c r="SK261" s="424"/>
      <c r="SZ261" s="1373"/>
      <c r="TA261" s="1373"/>
      <c r="TB261" s="1373">
        <f t="shared" si="165"/>
        <v>5940519.9441640023</v>
      </c>
      <c r="TC261" s="1373">
        <f t="shared" si="165"/>
        <v>19518505.906612001</v>
      </c>
      <c r="TD261" s="424"/>
      <c r="TE261" s="424"/>
      <c r="TF261" s="424"/>
      <c r="TG261" s="424"/>
      <c r="TH261" s="424"/>
      <c r="TI261" s="424"/>
      <c r="TJ261" s="424"/>
    </row>
    <row r="262" spans="20:530" x14ac:dyDescent="0.25">
      <c r="T262" s="43"/>
      <c r="U262" s="43"/>
      <c r="V262" s="1291"/>
      <c r="W262" s="1291"/>
      <c r="X262" s="1291"/>
      <c r="Y262" s="1291"/>
      <c r="Z262" s="1291"/>
      <c r="AA262" s="411"/>
      <c r="AB262" s="411"/>
      <c r="AC262" s="411"/>
      <c r="AD262" s="411"/>
      <c r="AE262" s="411"/>
      <c r="AF262" s="411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QJ262" s="424"/>
      <c r="QK262" s="424"/>
      <c r="QL262" s="424"/>
      <c r="QM262" s="424"/>
      <c r="QN262" s="424"/>
      <c r="QO262" s="424"/>
      <c r="QP262" s="424"/>
      <c r="QQ262" s="424"/>
      <c r="QR262" s="424"/>
      <c r="QS262" s="424"/>
      <c r="QT262" s="424"/>
      <c r="QU262" s="424"/>
      <c r="QV262" s="424"/>
      <c r="QW262" s="424"/>
      <c r="QX262" s="424"/>
      <c r="QY262" s="424"/>
      <c r="QZ262" s="424"/>
      <c r="RA262" s="424"/>
      <c r="RT262" s="424"/>
      <c r="RU262" s="424"/>
      <c r="RV262" s="424"/>
      <c r="RW262" s="424"/>
      <c r="RX262" s="424"/>
      <c r="RY262" s="424"/>
      <c r="RZ262" s="424"/>
      <c r="SA262" s="424"/>
      <c r="SB262" s="424"/>
      <c r="SC262" s="424"/>
      <c r="SD262" s="424"/>
      <c r="SE262" s="424"/>
      <c r="SF262" s="424"/>
      <c r="SG262" s="424"/>
      <c r="SH262" s="424"/>
      <c r="SI262" s="424"/>
      <c r="SJ262" s="424"/>
      <c r="SK262" s="424"/>
      <c r="SZ262" s="1372"/>
      <c r="TA262" s="1372"/>
      <c r="TB262" s="1372">
        <f t="shared" si="165"/>
        <v>526164.26697800006</v>
      </c>
      <c r="TC262" s="1372">
        <f t="shared" si="165"/>
        <v>304664.20316800004</v>
      </c>
      <c r="TD262" s="424"/>
      <c r="TE262" s="424"/>
      <c r="TF262" s="424"/>
      <c r="TG262" s="424"/>
      <c r="TH262" s="424"/>
      <c r="TI262" s="424"/>
      <c r="TJ262" s="424"/>
    </row>
    <row r="263" spans="20:530" ht="15.75" thickBot="1" x14ac:dyDescent="0.3">
      <c r="T263" s="43"/>
      <c r="U263" s="43"/>
      <c r="V263" s="1291"/>
      <c r="W263" s="1291"/>
      <c r="X263" s="1291"/>
      <c r="Y263" s="1291"/>
      <c r="Z263" s="1291"/>
      <c r="AA263" s="411"/>
      <c r="AB263" s="411"/>
      <c r="AC263" s="411"/>
      <c r="AD263" s="411"/>
      <c r="AE263" s="411"/>
      <c r="AF263" s="411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QJ263" s="424"/>
      <c r="QK263" s="424"/>
      <c r="QL263" s="424"/>
      <c r="QM263" s="424"/>
      <c r="QN263" s="424"/>
      <c r="QO263" s="424"/>
      <c r="QP263" s="424"/>
      <c r="QQ263" s="424"/>
      <c r="QR263" s="424"/>
      <c r="QS263" s="424"/>
      <c r="QT263" s="424"/>
      <c r="QU263" s="424"/>
      <c r="QV263" s="424"/>
      <c r="QW263" s="424"/>
      <c r="QX263" s="424"/>
      <c r="QY263" s="424"/>
      <c r="QZ263" s="424"/>
      <c r="RA263" s="424"/>
      <c r="RT263" s="424"/>
      <c r="RU263" s="424"/>
      <c r="RV263" s="424"/>
      <c r="RW263" s="424"/>
      <c r="RX263" s="424"/>
      <c r="RY263" s="424"/>
      <c r="RZ263" s="424"/>
      <c r="SA263" s="424"/>
      <c r="SB263" s="424"/>
      <c r="SC263" s="424"/>
      <c r="SD263" s="424"/>
      <c r="SE263" s="424"/>
      <c r="SF263" s="424"/>
      <c r="SG263" s="424"/>
      <c r="SH263" s="424"/>
      <c r="SI263" s="424"/>
      <c r="SJ263" s="424"/>
      <c r="SK263" s="424"/>
      <c r="SZ263" s="1371"/>
      <c r="TA263" s="1371"/>
      <c r="TB263" s="1371">
        <f t="shared" si="165"/>
        <v>-11119859.832856031</v>
      </c>
      <c r="TC263" s="1371">
        <f t="shared" si="165"/>
        <v>-240491460.68441999</v>
      </c>
      <c r="TD263" s="424"/>
      <c r="TE263" s="424"/>
      <c r="TF263" s="424"/>
      <c r="TG263" s="424"/>
      <c r="TH263" s="424"/>
      <c r="TI263" s="424"/>
      <c r="TJ263" s="424"/>
    </row>
    <row r="264" spans="20:530" ht="15.75" thickTop="1" x14ac:dyDescent="0.25">
      <c r="T264" s="43"/>
      <c r="U264" s="43"/>
      <c r="V264" s="1291"/>
      <c r="W264" s="1291"/>
      <c r="X264" s="1291"/>
      <c r="Y264" s="1291"/>
      <c r="Z264" s="1291"/>
      <c r="AA264" s="411"/>
      <c r="AB264" s="411"/>
      <c r="AC264" s="411"/>
      <c r="AD264" s="411"/>
      <c r="AE264" s="411"/>
      <c r="AF264" s="411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QJ264" s="424"/>
      <c r="QK264" s="424"/>
      <c r="QL264" s="424"/>
      <c r="QM264" s="424"/>
      <c r="QN264" s="424"/>
      <c r="QO264" s="424"/>
      <c r="QP264" s="424"/>
      <c r="QQ264" s="424"/>
      <c r="QR264" s="424"/>
      <c r="QS264" s="424"/>
      <c r="QT264" s="424"/>
      <c r="QU264" s="424"/>
      <c r="QV264" s="424"/>
      <c r="QW264" s="424"/>
      <c r="QX264" s="424"/>
      <c r="QY264" s="424"/>
      <c r="QZ264" s="424"/>
      <c r="RA264" s="424"/>
      <c r="RT264" s="424"/>
      <c r="RU264" s="424"/>
      <c r="RV264" s="424"/>
      <c r="RW264" s="424"/>
      <c r="RX264" s="424"/>
      <c r="RY264" s="424"/>
      <c r="RZ264" s="424"/>
      <c r="SA264" s="424"/>
      <c r="SB264" s="424"/>
      <c r="SC264" s="424"/>
      <c r="SD264" s="424"/>
      <c r="SE264" s="424"/>
      <c r="SF264" s="424"/>
      <c r="SG264" s="424"/>
      <c r="SH264" s="424"/>
      <c r="SI264" s="424"/>
      <c r="SJ264" s="424"/>
      <c r="SK264" s="424"/>
      <c r="SZ264" s="1375"/>
      <c r="TA264" s="1375"/>
      <c r="TB264" s="1375"/>
      <c r="TC264" s="1375"/>
      <c r="TD264" s="424"/>
      <c r="TE264" s="424"/>
      <c r="TF264" s="424"/>
      <c r="TG264" s="424"/>
      <c r="TH264" s="424"/>
      <c r="TI264" s="424"/>
      <c r="TJ264" s="424"/>
    </row>
    <row r="265" spans="20:530" x14ac:dyDescent="0.25">
      <c r="T265" s="43"/>
      <c r="U265" s="43"/>
      <c r="V265" s="1291"/>
      <c r="W265" s="1291"/>
      <c r="X265" s="1291"/>
      <c r="Y265" s="1291"/>
      <c r="Z265" s="1291"/>
      <c r="AA265" s="411"/>
      <c r="AB265" s="411"/>
      <c r="AC265" s="411"/>
      <c r="AD265" s="411"/>
      <c r="AE265" s="411"/>
      <c r="AF265" s="411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QJ265" s="424"/>
      <c r="QK265" s="424"/>
      <c r="QL265" s="424"/>
      <c r="QM265" s="424"/>
      <c r="QN265" s="424"/>
      <c r="QO265" s="424"/>
      <c r="QP265" s="424"/>
      <c r="QQ265" s="424"/>
      <c r="QR265" s="424"/>
      <c r="QS265" s="424"/>
      <c r="QT265" s="424"/>
      <c r="QU265" s="424"/>
      <c r="QV265" s="424"/>
      <c r="QW265" s="424"/>
      <c r="QX265" s="424"/>
      <c r="QY265" s="424"/>
      <c r="QZ265" s="424"/>
      <c r="RA265" s="424"/>
      <c r="RT265" s="424"/>
      <c r="RU265" s="424"/>
      <c r="RV265" s="424"/>
      <c r="RW265" s="424"/>
      <c r="RX265" s="424"/>
      <c r="RY265" s="424"/>
      <c r="RZ265" s="424"/>
      <c r="SA265" s="424"/>
      <c r="SB265" s="424"/>
      <c r="SC265" s="424"/>
      <c r="SD265" s="424"/>
      <c r="SE265" s="424"/>
      <c r="SF265" s="424"/>
      <c r="SG265" s="424"/>
      <c r="SH265" s="424"/>
      <c r="SI265" s="424"/>
      <c r="SJ265" s="424"/>
      <c r="SK265" s="424"/>
      <c r="SZ265" s="1375"/>
      <c r="TA265" s="1375"/>
      <c r="TB265" s="1375"/>
      <c r="TC265" s="1375"/>
      <c r="TD265" s="424"/>
      <c r="TE265" s="424"/>
      <c r="TF265" s="424"/>
      <c r="TG265" s="424"/>
      <c r="TH265" s="424"/>
      <c r="TI265" s="424"/>
      <c r="TJ265" s="424"/>
    </row>
    <row r="266" spans="20:530" x14ac:dyDescent="0.25">
      <c r="T266" s="43"/>
      <c r="U266" s="43"/>
      <c r="V266" s="1291"/>
      <c r="W266" s="1291"/>
      <c r="X266" s="1291"/>
      <c r="Y266" s="1291"/>
      <c r="Z266" s="1291"/>
      <c r="AA266" s="411"/>
      <c r="AB266" s="411"/>
      <c r="AC266" s="411"/>
      <c r="AD266" s="411"/>
      <c r="AE266" s="411"/>
      <c r="AF266" s="411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QJ266" s="424"/>
      <c r="QK266" s="424"/>
      <c r="QL266" s="424"/>
      <c r="QM266" s="424"/>
      <c r="QN266" s="424"/>
      <c r="QO266" s="424"/>
      <c r="QP266" s="424"/>
      <c r="QQ266" s="424"/>
      <c r="QR266" s="424"/>
      <c r="QS266" s="424"/>
      <c r="QT266" s="424"/>
      <c r="QU266" s="424"/>
      <c r="QV266" s="424"/>
      <c r="QW266" s="424"/>
      <c r="QX266" s="424"/>
      <c r="QY266" s="424"/>
      <c r="QZ266" s="424"/>
      <c r="RA266" s="424"/>
      <c r="RT266" s="424"/>
      <c r="RU266" s="424"/>
      <c r="RV266" s="424"/>
      <c r="RW266" s="424"/>
      <c r="RX266" s="424"/>
      <c r="RY266" s="424"/>
      <c r="RZ266" s="424"/>
      <c r="SA266" s="424"/>
      <c r="SB266" s="424"/>
      <c r="SC266" s="424"/>
      <c r="SD266" s="424"/>
      <c r="SE266" s="424"/>
      <c r="SF266" s="424"/>
      <c r="SG266" s="424"/>
      <c r="SH266" s="424"/>
      <c r="SI266" s="424"/>
      <c r="SJ266" s="424"/>
      <c r="SK266" s="424"/>
      <c r="SZ266" s="1374"/>
      <c r="TA266" s="1374"/>
      <c r="TB266" s="1381">
        <f t="shared" ref="TB266:TC270" si="166">TB70-TB168</f>
        <v>-486242.2899999998</v>
      </c>
      <c r="TC266" s="1374">
        <f t="shared" si="166"/>
        <v>-2109121.8899999997</v>
      </c>
      <c r="TD266" s="424"/>
      <c r="TE266" s="424"/>
      <c r="TF266" s="424"/>
      <c r="TG266" s="424"/>
      <c r="TH266" s="424"/>
      <c r="TI266" s="424"/>
      <c r="TJ266" s="424"/>
    </row>
    <row r="267" spans="20:530" x14ac:dyDescent="0.25">
      <c r="T267" s="43"/>
      <c r="U267" s="43"/>
      <c r="V267" s="1291"/>
      <c r="W267" s="1291"/>
      <c r="X267" s="1291"/>
      <c r="Y267" s="1291"/>
      <c r="Z267" s="1291"/>
      <c r="AA267" s="411"/>
      <c r="AB267" s="411"/>
      <c r="AC267" s="411"/>
      <c r="AD267" s="411"/>
      <c r="AE267" s="411"/>
      <c r="AF267" s="411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QJ267" s="424"/>
      <c r="QK267" s="424"/>
      <c r="QL267" s="424"/>
      <c r="QM267" s="424"/>
      <c r="QN267" s="424"/>
      <c r="QO267" s="424"/>
      <c r="QP267" s="424"/>
      <c r="QQ267" s="424"/>
      <c r="QR267" s="424"/>
      <c r="QS267" s="424"/>
      <c r="QT267" s="424"/>
      <c r="QU267" s="424"/>
      <c r="QV267" s="424"/>
      <c r="QW267" s="424"/>
      <c r="QX267" s="424"/>
      <c r="QY267" s="424"/>
      <c r="QZ267" s="424"/>
      <c r="RA267" s="424"/>
      <c r="RT267" s="424"/>
      <c r="RU267" s="424"/>
      <c r="RV267" s="424"/>
      <c r="RW267" s="424"/>
      <c r="RX267" s="424"/>
      <c r="RY267" s="424"/>
      <c r="RZ267" s="424"/>
      <c r="SA267" s="424"/>
      <c r="SB267" s="424"/>
      <c r="SC267" s="424"/>
      <c r="SD267" s="424"/>
      <c r="SE267" s="424"/>
      <c r="SF267" s="424"/>
      <c r="SG267" s="424"/>
      <c r="SH267" s="424"/>
      <c r="SI267" s="424"/>
      <c r="SJ267" s="424"/>
      <c r="SK267" s="424"/>
      <c r="SZ267" s="1373"/>
      <c r="TA267" s="1373"/>
      <c r="TB267" s="1380">
        <f t="shared" si="166"/>
        <v>-377337.46341199998</v>
      </c>
      <c r="TC267" s="1373">
        <f t="shared" si="166"/>
        <v>-1191187.2124360001</v>
      </c>
      <c r="TD267" s="424"/>
      <c r="TE267" s="424"/>
      <c r="TF267" s="424"/>
      <c r="TG267" s="424"/>
      <c r="TH267" s="424"/>
      <c r="TI267" s="424"/>
      <c r="TJ267" s="424"/>
    </row>
    <row r="268" spans="20:530" x14ac:dyDescent="0.25">
      <c r="T268" s="43"/>
      <c r="U268" s="43"/>
      <c r="V268" s="1291"/>
      <c r="W268" s="1291"/>
      <c r="X268" s="1291"/>
      <c r="Y268" s="1291"/>
      <c r="Z268" s="1291"/>
      <c r="AA268" s="411"/>
      <c r="AB268" s="411"/>
      <c r="AC268" s="411"/>
      <c r="AD268" s="411"/>
      <c r="AE268" s="411"/>
      <c r="AF268" s="411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QJ268" s="424"/>
      <c r="QK268" s="424"/>
      <c r="QL268" s="424"/>
      <c r="QM268" s="424"/>
      <c r="QN268" s="424"/>
      <c r="QO268" s="424"/>
      <c r="QP268" s="424"/>
      <c r="QQ268" s="424"/>
      <c r="QR268" s="424"/>
      <c r="QS268" s="424"/>
      <c r="QT268" s="424"/>
      <c r="QU268" s="424"/>
      <c r="QV268" s="424"/>
      <c r="QW268" s="424"/>
      <c r="QX268" s="424"/>
      <c r="QY268" s="424"/>
      <c r="QZ268" s="424"/>
      <c r="RA268" s="424"/>
      <c r="RT268" s="424"/>
      <c r="RU268" s="424"/>
      <c r="RV268" s="424"/>
      <c r="RW268" s="424"/>
      <c r="RX268" s="424"/>
      <c r="RY268" s="424"/>
      <c r="RZ268" s="424"/>
      <c r="SA268" s="424"/>
      <c r="SB268" s="424"/>
      <c r="SC268" s="424"/>
      <c r="SD268" s="424"/>
      <c r="SE268" s="424"/>
      <c r="SF268" s="424"/>
      <c r="SG268" s="424"/>
      <c r="SH268" s="424"/>
      <c r="SI268" s="424"/>
      <c r="SJ268" s="424"/>
      <c r="SK268" s="424"/>
      <c r="SZ268" s="1373"/>
      <c r="TA268" s="1373"/>
      <c r="TB268" s="1380">
        <f t="shared" si="166"/>
        <v>-194265.28000000096</v>
      </c>
      <c r="TC268" s="1373">
        <f t="shared" si="166"/>
        <v>-1385973.7400000009</v>
      </c>
      <c r="TD268" s="424"/>
      <c r="TE268" s="424"/>
      <c r="TF268" s="424"/>
      <c r="TG268" s="424"/>
      <c r="TH268" s="424"/>
      <c r="TI268" s="424"/>
      <c r="TJ268" s="424"/>
    </row>
    <row r="269" spans="20:530" x14ac:dyDescent="0.25">
      <c r="T269" s="43"/>
      <c r="U269" s="43"/>
      <c r="V269" s="1291"/>
      <c r="W269" s="1291"/>
      <c r="X269" s="1291"/>
      <c r="Y269" s="1291"/>
      <c r="Z269" s="1291"/>
      <c r="AA269" s="411"/>
      <c r="AB269" s="411"/>
      <c r="AC269" s="411"/>
      <c r="AD269" s="411"/>
      <c r="AE269" s="411"/>
      <c r="AF269" s="411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QJ269" s="424"/>
      <c r="QK269" s="424"/>
      <c r="QL269" s="424"/>
      <c r="QM269" s="424"/>
      <c r="QN269" s="424"/>
      <c r="QO269" s="424"/>
      <c r="QP269" s="424"/>
      <c r="QQ269" s="424"/>
      <c r="QR269" s="424"/>
      <c r="QS269" s="424"/>
      <c r="QT269" s="424"/>
      <c r="QU269" s="424"/>
      <c r="QV269" s="424"/>
      <c r="QW269" s="424"/>
      <c r="QX269" s="424"/>
      <c r="QY269" s="424"/>
      <c r="QZ269" s="424"/>
      <c r="RA269" s="424"/>
      <c r="RT269" s="424"/>
      <c r="RU269" s="424"/>
      <c r="RV269" s="424"/>
      <c r="RW269" s="424"/>
      <c r="RX269" s="424"/>
      <c r="RY269" s="424"/>
      <c r="RZ269" s="424"/>
      <c r="SA269" s="424"/>
      <c r="SB269" s="424"/>
      <c r="SC269" s="424"/>
      <c r="SD269" s="424"/>
      <c r="SE269" s="424"/>
      <c r="SF269" s="424"/>
      <c r="SG269" s="424"/>
      <c r="SH269" s="424"/>
      <c r="SI269" s="424"/>
      <c r="SJ269" s="424"/>
      <c r="SK269" s="424"/>
      <c r="SZ269" s="1372"/>
      <c r="TA269" s="1372"/>
      <c r="TB269" s="1379">
        <f t="shared" si="166"/>
        <v>-2351847.6628140043</v>
      </c>
      <c r="TC269" s="1372">
        <f t="shared" si="166"/>
        <v>-13696270.037294004</v>
      </c>
      <c r="TD269" s="424"/>
      <c r="TE269" s="424"/>
      <c r="TF269" s="424"/>
      <c r="TG269" s="424"/>
      <c r="TH269" s="424"/>
      <c r="TI269" s="424"/>
      <c r="TJ269" s="424"/>
    </row>
    <row r="270" spans="20:530" x14ac:dyDescent="0.25">
      <c r="T270" s="43"/>
      <c r="U270" s="43"/>
      <c r="V270" s="1291"/>
      <c r="W270" s="1291"/>
      <c r="X270" s="1291"/>
      <c r="Y270" s="1291"/>
      <c r="Z270" s="1291"/>
      <c r="AA270" s="411"/>
      <c r="AB270" s="411"/>
      <c r="AC270" s="411"/>
      <c r="AD270" s="411"/>
      <c r="AE270" s="411"/>
      <c r="AF270" s="411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QJ270" s="424"/>
      <c r="QK270" s="424"/>
      <c r="QL270" s="424"/>
      <c r="QM270" s="424"/>
      <c r="QN270" s="424"/>
      <c r="QO270" s="424"/>
      <c r="QP270" s="424"/>
      <c r="QQ270" s="424"/>
      <c r="QR270" s="424"/>
      <c r="QS270" s="424"/>
      <c r="QT270" s="424"/>
      <c r="QU270" s="424"/>
      <c r="QV270" s="424"/>
      <c r="QW270" s="424"/>
      <c r="QX270" s="424"/>
      <c r="QY270" s="424"/>
      <c r="QZ270" s="424"/>
      <c r="RA270" s="424"/>
      <c r="RT270" s="424"/>
      <c r="RU270" s="424"/>
      <c r="RV270" s="424"/>
      <c r="RW270" s="424"/>
      <c r="RX270" s="424"/>
      <c r="RY270" s="424"/>
      <c r="RZ270" s="424"/>
      <c r="SA270" s="424"/>
      <c r="SB270" s="424"/>
      <c r="SC270" s="424"/>
      <c r="SD270" s="424"/>
      <c r="SE270" s="424"/>
      <c r="SF270" s="424"/>
      <c r="SG270" s="424"/>
      <c r="SH270" s="424"/>
      <c r="SI270" s="424"/>
      <c r="SJ270" s="424"/>
      <c r="SK270" s="424"/>
      <c r="SZ270" s="1373"/>
      <c r="TA270" s="1373"/>
      <c r="TB270" s="1373">
        <f t="shared" si="166"/>
        <v>-3409692.696226005</v>
      </c>
      <c r="TC270" s="1373">
        <f t="shared" si="166"/>
        <v>-18382552.879730005</v>
      </c>
      <c r="TD270" s="424"/>
      <c r="TE270" s="424"/>
      <c r="TF270" s="424"/>
      <c r="TG270" s="424"/>
      <c r="TH270" s="424"/>
      <c r="TI270" s="424"/>
      <c r="TJ270" s="424"/>
    </row>
    <row r="271" spans="20:530" x14ac:dyDescent="0.25">
      <c r="T271" s="43"/>
      <c r="U271" s="43"/>
      <c r="V271" s="1291"/>
      <c r="W271" s="1291"/>
      <c r="X271" s="1291"/>
      <c r="Y271" s="1291"/>
      <c r="Z271" s="1291"/>
      <c r="AA271" s="411"/>
      <c r="AB271" s="411"/>
      <c r="AC271" s="411"/>
      <c r="AD271" s="411"/>
      <c r="AE271" s="411"/>
      <c r="AF271" s="41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SZ271" s="1373"/>
      <c r="TA271" s="1373"/>
      <c r="TB271" s="1373"/>
      <c r="TC271" s="1373"/>
    </row>
    <row r="272" spans="20:530" x14ac:dyDescent="0.25"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SZ272" s="1373"/>
      <c r="TA272" s="1373"/>
      <c r="TB272" s="1373">
        <f>TB76-TB174</f>
        <v>-3409692.696226005</v>
      </c>
      <c r="TC272" s="1373">
        <f>TC76-TC174</f>
        <v>-18382552.879730005</v>
      </c>
    </row>
    <row r="273" spans="416:523" x14ac:dyDescent="0.25"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SZ273" s="1378"/>
      <c r="TA273" s="1378"/>
      <c r="TB273" s="1378"/>
      <c r="TC273" s="1378"/>
    </row>
    <row r="274" spans="416:523" x14ac:dyDescent="0.25"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SZ274" s="1372"/>
      <c r="TA274" s="1372"/>
      <c r="TB274" s="1372">
        <f>TB78-TB176</f>
        <v>716035.46620746097</v>
      </c>
      <c r="TC274" s="1372">
        <f>TC78-TC176</f>
        <v>3860336.1047433009</v>
      </c>
    </row>
    <row r="275" spans="416:523" x14ac:dyDescent="0.25"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SZ275" s="1377"/>
      <c r="TA275" s="1377"/>
      <c r="TB275" s="1377"/>
      <c r="TC275" s="1377"/>
    </row>
    <row r="276" spans="416:523" ht="15.75" thickBot="1" x14ac:dyDescent="0.3"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SZ276" s="1376"/>
      <c r="TA276" s="1376"/>
      <c r="TB276" s="1376">
        <f>TB80-TB178</f>
        <v>2693657.230018544</v>
      </c>
      <c r="TC276" s="1376">
        <f>TC80-TC178</f>
        <v>14522216.774986703</v>
      </c>
    </row>
    <row r="277" spans="416:523" ht="15.75" thickTop="1" x14ac:dyDescent="0.25"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SZ277" s="1375"/>
      <c r="TA277" s="1375"/>
      <c r="TB277" s="1375"/>
      <c r="TC277" s="1375"/>
    </row>
    <row r="278" spans="416:523" x14ac:dyDescent="0.25"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SZ278" s="1374"/>
      <c r="TA278" s="1374"/>
      <c r="TB278" s="1374">
        <f t="shared" ref="TB278:TC281" si="167">TB82-TB180</f>
        <v>-41843355.537180007</v>
      </c>
      <c r="TC278" s="1374">
        <f t="shared" si="167"/>
        <v>-165839928.06287801</v>
      </c>
    </row>
    <row r="279" spans="416:523" x14ac:dyDescent="0.25"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SZ279" s="1373"/>
      <c r="TA279" s="1373"/>
      <c r="TB279" s="1373">
        <f t="shared" si="167"/>
        <v>16696738.413552009</v>
      </c>
      <c r="TC279" s="1373">
        <f t="shared" si="167"/>
        <v>37267733.144352004</v>
      </c>
    </row>
    <row r="280" spans="416:523" x14ac:dyDescent="0.25"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SZ280" s="1372"/>
      <c r="TA280" s="1372"/>
      <c r="TB280" s="1372">
        <f t="shared" si="167"/>
        <v>2207900.3880740008</v>
      </c>
      <c r="TC280" s="1372">
        <f t="shared" si="167"/>
        <v>5348143.3624300007</v>
      </c>
    </row>
    <row r="281" spans="416:523" ht="15.75" thickBot="1" x14ac:dyDescent="0.3"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SZ281" s="1371"/>
      <c r="TA281" s="1371"/>
      <c r="TB281" s="1371">
        <f t="shared" si="167"/>
        <v>-22938716.735553999</v>
      </c>
      <c r="TC281" s="1371">
        <f t="shared" si="167"/>
        <v>-123224051.556096</v>
      </c>
    </row>
    <row r="282" spans="416:523" ht="15.75" thickTop="1" x14ac:dyDescent="0.25"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SZ282" s="1375"/>
      <c r="TA282" s="1375"/>
      <c r="TB282" s="1375"/>
      <c r="TC282" s="1375"/>
    </row>
    <row r="283" spans="416:523" x14ac:dyDescent="0.25"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SZ283" s="1375"/>
      <c r="TA283" s="1375"/>
      <c r="TB283" s="1375"/>
      <c r="TC283" s="1375"/>
    </row>
    <row r="284" spans="416:523" x14ac:dyDescent="0.25"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SZ284" s="1374"/>
      <c r="TA284" s="1374"/>
      <c r="TB284" s="1381">
        <f t="shared" ref="TB284:TC288" si="168">TB88-TB186</f>
        <v>-8542731.5000000149</v>
      </c>
      <c r="TC284" s="1374">
        <f t="shared" si="168"/>
        <v>-41074648.280000031</v>
      </c>
    </row>
    <row r="285" spans="416:523" x14ac:dyDescent="0.25"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SZ285" s="1373"/>
      <c r="TA285" s="1373"/>
      <c r="TB285" s="1380">
        <f t="shared" si="168"/>
        <v>-488186.452078</v>
      </c>
      <c r="TC285" s="1373">
        <f t="shared" si="168"/>
        <v>-3911898.3094360004</v>
      </c>
    </row>
    <row r="286" spans="416:523" x14ac:dyDescent="0.25"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SZ286" s="1373"/>
      <c r="TA286" s="1373"/>
      <c r="TB286" s="1380">
        <f t="shared" si="168"/>
        <v>-197051.68000000095</v>
      </c>
      <c r="TC286" s="1373">
        <f t="shared" si="168"/>
        <v>-1396014.800000001</v>
      </c>
    </row>
    <row r="287" spans="416:523" x14ac:dyDescent="0.25"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SZ287" s="1372"/>
      <c r="TA287" s="1372"/>
      <c r="TB287" s="1379">
        <f t="shared" si="168"/>
        <v>-5709093.0718640033</v>
      </c>
      <c r="TC287" s="1372">
        <f t="shared" si="168"/>
        <v>-23247485.050140008</v>
      </c>
    </row>
    <row r="288" spans="416:523" x14ac:dyDescent="0.25"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SZ288" s="1373"/>
      <c r="TA288" s="1373"/>
      <c r="TB288" s="1373">
        <f t="shared" si="168"/>
        <v>-14937062.703942019</v>
      </c>
      <c r="TC288" s="1373">
        <f t="shared" si="168"/>
        <v>-69630046.439576045</v>
      </c>
    </row>
    <row r="289" spans="520:523" x14ac:dyDescent="0.25">
      <c r="SZ289" s="1373"/>
      <c r="TA289" s="1373"/>
      <c r="TB289" s="1373"/>
      <c r="TC289" s="1373"/>
    </row>
    <row r="290" spans="520:523" x14ac:dyDescent="0.25">
      <c r="SZ290" s="1373"/>
      <c r="TA290" s="1373"/>
      <c r="TB290" s="1373">
        <f>TB94-TB192</f>
        <v>-14937062.703942019</v>
      </c>
      <c r="TC290" s="1373">
        <f>TC94-TC192</f>
        <v>-69630046.439576045</v>
      </c>
    </row>
    <row r="291" spans="520:523" x14ac:dyDescent="0.25">
      <c r="SZ291" s="1378"/>
      <c r="TA291" s="1378"/>
      <c r="TB291" s="1378"/>
      <c r="TC291" s="1378"/>
    </row>
    <row r="292" spans="520:523" x14ac:dyDescent="0.25">
      <c r="SZ292" s="1372"/>
      <c r="TA292" s="1372"/>
      <c r="TB292" s="1372">
        <f>TB96-TB194</f>
        <v>3136783.1678278241</v>
      </c>
      <c r="TC292" s="1372">
        <f>TC96-TC194</f>
        <v>14622309.752310969</v>
      </c>
    </row>
    <row r="293" spans="520:523" x14ac:dyDescent="0.25">
      <c r="SZ293" s="1377"/>
      <c r="TA293" s="1377"/>
      <c r="TB293" s="1377"/>
      <c r="TC293" s="1377"/>
    </row>
    <row r="294" spans="520:523" ht="15.75" thickBot="1" x14ac:dyDescent="0.3">
      <c r="SZ294" s="1376"/>
      <c r="TA294" s="1376"/>
      <c r="TB294" s="1376">
        <f>TB98-TB196</f>
        <v>11800279.536114195</v>
      </c>
      <c r="TC294" s="1376">
        <f>TC98-TC196</f>
        <v>55007736.687265076</v>
      </c>
    </row>
    <row r="295" spans="520:523" ht="15.75" thickTop="1" x14ac:dyDescent="0.25">
      <c r="SZ295" s="1375"/>
      <c r="TA295" s="1375"/>
      <c r="TB295" s="1375"/>
      <c r="TC295" s="1375"/>
    </row>
    <row r="296" spans="520:523" x14ac:dyDescent="0.25">
      <c r="SZ296" s="1374"/>
      <c r="TA296" s="1374"/>
      <c r="TB296" s="1374">
        <f t="shared" ref="TB296:TC299" si="169">TB100-TB198</f>
        <v>-318588808.81419563</v>
      </c>
      <c r="TC296" s="1374">
        <f t="shared" si="169"/>
        <v>-1499337030.4361038</v>
      </c>
    </row>
    <row r="297" spans="520:523" x14ac:dyDescent="0.25">
      <c r="SZ297" s="1373"/>
      <c r="TA297" s="1373"/>
      <c r="TB297" s="1373">
        <f t="shared" si="169"/>
        <v>62121152.836156011</v>
      </c>
      <c r="TC297" s="1373">
        <f t="shared" si="169"/>
        <v>140996610.36604401</v>
      </c>
    </row>
    <row r="298" spans="520:523" x14ac:dyDescent="0.25">
      <c r="SZ298" s="1372"/>
      <c r="TA298" s="1372"/>
      <c r="TB298" s="1372">
        <f t="shared" si="169"/>
        <v>14627586.319661997</v>
      </c>
      <c r="TC298" s="1372">
        <f t="shared" si="169"/>
        <v>35198836.125189997</v>
      </c>
    </row>
    <row r="299" spans="520:523" ht="15.75" thickBot="1" x14ac:dyDescent="0.3">
      <c r="SZ299" s="1371"/>
      <c r="TA299" s="1371"/>
      <c r="TB299" s="1371">
        <f t="shared" si="169"/>
        <v>-241840069.65837762</v>
      </c>
      <c r="TC299" s="1371">
        <f t="shared" si="169"/>
        <v>-1323141583.9448698</v>
      </c>
    </row>
    <row r="300" spans="520:523" ht="15.75" thickTop="1" x14ac:dyDescent="0.25"/>
  </sheetData>
  <conditionalFormatting sqref="V1:Z1">
    <cfRule type="cellIs" dxfId="1" priority="2" operator="notEqual">
      <formula>0</formula>
    </cfRule>
  </conditionalFormatting>
  <conditionalFormatting sqref="AQ1:AR1">
    <cfRule type="cellIs" dxfId="0" priority="1" operator="notEqual">
      <formula>0</formula>
    </cfRule>
  </conditionalFormatting>
  <printOptions horizontalCentered="1"/>
  <pageMargins left="0.2" right="0.25" top="0.25" bottom="0.25" header="0.3" footer="0.3"/>
  <pageSetup scale="60" orientation="landscape" r:id="rId1"/>
  <customProperties>
    <customPr name="_pios_id" r:id="rId2"/>
    <customPr name="EpmWorksheetKeyString_GUID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Z182"/>
  <sheetViews>
    <sheetView showZeros="0" zoomScale="78" zoomScaleNormal="78" workbookViewId="0">
      <pane xSplit="2" ySplit="15" topLeftCell="CC28" activePane="bottomRight" state="frozen"/>
      <selection sqref="A1:M83"/>
      <selection pane="topRight" sqref="A1:M83"/>
      <selection pane="bottomLeft" sqref="A1:M83"/>
      <selection pane="bottomRight" activeCell="BJ37" sqref="BJ37"/>
    </sheetView>
  </sheetViews>
  <sheetFormatPr defaultColWidth="9.28515625" defaultRowHeight="15" outlineLevelRow="1" outlineLevelCol="3" x14ac:dyDescent="0.25"/>
  <cols>
    <col min="1" max="1" width="5" style="1" hidden="1" customWidth="1" outlineLevel="1"/>
    <col min="2" max="2" width="50.42578125" style="1" hidden="1" customWidth="1" outlineLevel="1"/>
    <col min="3" max="3" width="8.7109375" style="1" hidden="1" customWidth="1" outlineLevel="1"/>
    <col min="4" max="6" width="15" style="1" hidden="1" customWidth="1" outlineLevel="1"/>
    <col min="7" max="7" width="18.28515625" style="1" hidden="1" customWidth="1" outlineLevel="1"/>
    <col min="8" max="8" width="17.7109375" style="1" hidden="1" customWidth="1" outlineLevel="1"/>
    <col min="9" max="14" width="17.7109375" style="1" hidden="1" customWidth="1" outlineLevel="2"/>
    <col min="15" max="18" width="17.7109375" style="1" hidden="1" customWidth="1" outlineLevel="3"/>
    <col min="19" max="19" width="5" style="1" hidden="1" customWidth="1" outlineLevel="2"/>
    <col min="20" max="20" width="50.7109375" style="1" hidden="1" customWidth="1" outlineLevel="2"/>
    <col min="21" max="21" width="6.5703125" style="1" hidden="1" customWidth="1" outlineLevel="2"/>
    <col min="22" max="23" width="13" style="1" hidden="1" customWidth="1" outlineLevel="2"/>
    <col min="24" max="24" width="13.28515625" style="1" hidden="1" customWidth="1" outlineLevel="2"/>
    <col min="25" max="25" width="11.42578125" style="1" hidden="1" customWidth="1" outlineLevel="2"/>
    <col min="26" max="32" width="12.7109375" style="1" hidden="1" customWidth="1" outlineLevel="2"/>
    <col min="33" max="36" width="12.7109375" style="1" hidden="1" customWidth="1" outlineLevel="3"/>
    <col min="37" max="37" width="5.42578125" style="1" hidden="1" customWidth="1" outlineLevel="2"/>
    <col min="38" max="38" width="48.28515625" style="1" hidden="1" customWidth="1" outlineLevel="2"/>
    <col min="39" max="39" width="4.5703125" style="1" hidden="1" customWidth="1" outlineLevel="2"/>
    <col min="40" max="41" width="13.42578125" style="1" hidden="1" customWidth="1" outlineLevel="2"/>
    <col min="42" max="42" width="16" style="1" hidden="1" customWidth="1" outlineLevel="2"/>
    <col min="43" max="43" width="13.42578125" style="1" hidden="1" customWidth="1" outlineLevel="2"/>
    <col min="44" max="54" width="14.7109375" style="1" hidden="1" customWidth="1" outlineLevel="2"/>
    <col min="55" max="55" width="5" style="1" customWidth="1" collapsed="1"/>
    <col min="56" max="56" width="58" style="1" customWidth="1"/>
    <col min="57" max="57" width="11.28515625" style="1" customWidth="1"/>
    <col min="58" max="58" width="15.7109375" style="1" bestFit="1" customWidth="1"/>
    <col min="59" max="59" width="16.140625" style="1" customWidth="1"/>
    <col min="60" max="60" width="16.42578125" style="1" customWidth="1"/>
    <col min="61" max="61" width="19.140625" style="1" customWidth="1"/>
    <col min="62" max="62" width="14.28515625" style="1" bestFit="1" customWidth="1"/>
    <col min="63" max="63" width="15" style="1" hidden="1" customWidth="1" outlineLevel="1"/>
    <col min="64" max="64" width="14.28515625" style="1" hidden="1" customWidth="1" outlineLevel="1"/>
    <col min="65" max="65" width="15" style="1" hidden="1" customWidth="1" outlineLevel="1"/>
    <col min="66" max="70" width="13" style="1" hidden="1" customWidth="1" outlineLevel="1"/>
    <col min="71" max="72" width="15" style="1" hidden="1" customWidth="1" outlineLevel="1"/>
    <col min="73" max="73" width="5.7109375" style="18" customWidth="1" collapsed="1"/>
    <col min="74" max="74" width="73.7109375" style="18" customWidth="1"/>
    <col min="75" max="75" width="7.28515625" style="18" customWidth="1"/>
    <col min="76" max="76" width="17.28515625" style="18" customWidth="1"/>
    <col min="77" max="77" width="16" style="18" customWidth="1"/>
    <col min="78" max="78" width="15.42578125" style="18" bestFit="1" customWidth="1"/>
    <col min="79" max="79" width="17.28515625" style="18" bestFit="1" customWidth="1"/>
    <col min="80" max="80" width="15.42578125" style="18" bestFit="1" customWidth="1"/>
    <col min="81" max="81" width="17.28515625" style="18" bestFit="1" customWidth="1"/>
    <col min="82" max="82" width="15.28515625" style="18" bestFit="1" customWidth="1"/>
    <col min="83" max="83" width="17.28515625" style="18" bestFit="1" customWidth="1"/>
    <col min="84" max="84" width="15.28515625" style="18" bestFit="1" customWidth="1"/>
    <col min="85" max="85" width="17.28515625" style="18" bestFit="1" customWidth="1"/>
    <col min="86" max="86" width="15.42578125" style="18" bestFit="1" customWidth="1"/>
    <col min="87" max="88" width="15.42578125" style="18" hidden="1" customWidth="1" outlineLevel="1"/>
    <col min="89" max="89" width="17.28515625" style="18" hidden="1" customWidth="1" outlineLevel="1"/>
    <col min="90" max="90" width="15.42578125" style="18" hidden="1" customWidth="1" outlineLevel="1"/>
    <col min="91" max="91" width="5.42578125" style="18" bestFit="1" customWidth="1" collapsed="1"/>
    <col min="92" max="92" width="36.5703125" style="18" bestFit="1" customWidth="1"/>
    <col min="93" max="93" width="5.7109375" style="18" customWidth="1"/>
    <col min="94" max="94" width="17.140625" style="18" customWidth="1"/>
    <col min="95" max="95" width="15.5703125" style="18" bestFit="1" customWidth="1"/>
    <col min="96" max="96" width="14.42578125" style="18" bestFit="1" customWidth="1"/>
    <col min="97" max="97" width="16.5703125" style="18" customWidth="1"/>
    <col min="98" max="98" width="14.85546875" style="18" bestFit="1" customWidth="1"/>
    <col min="99" max="99" width="16.42578125" style="18" customWidth="1"/>
    <col min="100" max="100" width="14.42578125" style="18" bestFit="1" customWidth="1"/>
    <col min="101" max="101" width="17.28515625" style="18" customWidth="1"/>
    <col min="102" max="102" width="14.42578125" style="18" customWidth="1" outlineLevel="1"/>
    <col min="103" max="103" width="16.140625" style="18" customWidth="1" outlineLevel="1"/>
    <col min="104" max="104" width="14.85546875" style="18" customWidth="1" outlineLevel="1"/>
    <col min="105" max="16384" width="9.28515625" style="18"/>
  </cols>
  <sheetData>
    <row r="1" spans="1:104" customFormat="1" ht="15.75" outlineLevel="1" thickBot="1" x14ac:dyDescent="0.3">
      <c r="A1" s="18"/>
      <c r="B1" s="18"/>
      <c r="C1" s="18"/>
      <c r="D1" s="18"/>
      <c r="E1" s="18"/>
      <c r="F1" s="18"/>
      <c r="G1" s="1"/>
      <c r="H1" s="1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04" customFormat="1" outlineLevel="1" x14ac:dyDescent="0.25">
      <c r="A2" s="1"/>
      <c r="B2" s="1"/>
      <c r="C2" s="1"/>
      <c r="D2" s="1"/>
      <c r="E2" s="1"/>
      <c r="F2" s="1"/>
      <c r="G2" s="468"/>
      <c r="H2" s="469" t="s">
        <v>982</v>
      </c>
      <c r="I2" s="467"/>
      <c r="J2" s="467"/>
      <c r="K2" s="467"/>
      <c r="L2" s="467"/>
      <c r="M2" s="468"/>
      <c r="N2" s="469" t="s">
        <v>982</v>
      </c>
      <c r="O2" s="467"/>
      <c r="P2" s="467"/>
      <c r="S2" s="1"/>
      <c r="AE2" s="468"/>
      <c r="AF2" s="469" t="s">
        <v>982</v>
      </c>
      <c r="AW2" s="468"/>
      <c r="AX2" s="469" t="s">
        <v>982</v>
      </c>
      <c r="BI2" s="468"/>
      <c r="BJ2" s="469" t="s">
        <v>982</v>
      </c>
      <c r="BO2" s="468"/>
      <c r="BP2" s="469" t="s">
        <v>982</v>
      </c>
      <c r="CG2" s="468"/>
      <c r="CH2" s="469" t="s">
        <v>982</v>
      </c>
      <c r="CZ2" s="469" t="s">
        <v>982</v>
      </c>
    </row>
    <row r="3" spans="1:104" customFormat="1" ht="15.75" outlineLevel="1" thickBot="1" x14ac:dyDescent="0.3">
      <c r="A3" s="1"/>
      <c r="B3" s="1"/>
      <c r="C3" s="1"/>
      <c r="D3" s="1"/>
      <c r="E3" s="1"/>
      <c r="F3" s="1"/>
      <c r="G3" s="471"/>
      <c r="H3" s="472" t="s">
        <v>1098</v>
      </c>
      <c r="I3" s="470"/>
      <c r="J3" s="470"/>
      <c r="K3" s="470"/>
      <c r="L3" s="470"/>
      <c r="M3" s="471"/>
      <c r="N3" s="472" t="s">
        <v>1098</v>
      </c>
      <c r="O3" s="470"/>
      <c r="P3" s="470"/>
      <c r="S3" s="1"/>
      <c r="AE3" s="471"/>
      <c r="AF3" s="472" t="s">
        <v>1099</v>
      </c>
      <c r="AW3" s="471"/>
      <c r="AX3" s="472" t="e">
        <v>#N/A</v>
      </c>
      <c r="BI3" s="471"/>
      <c r="BJ3" s="472" t="s">
        <v>1100</v>
      </c>
      <c r="BO3" s="471"/>
      <c r="BP3" s="472" t="s">
        <v>1100</v>
      </c>
      <c r="CG3" s="471"/>
      <c r="CH3" s="472" t="s">
        <v>1101</v>
      </c>
      <c r="CZ3" s="472" t="s">
        <v>1102</v>
      </c>
    </row>
    <row r="4" spans="1:104" customFormat="1" ht="15.75" outlineLevel="1" thickBot="1" x14ac:dyDescent="0.3">
      <c r="A4" s="1"/>
      <c r="B4" s="1"/>
      <c r="C4" s="1"/>
      <c r="D4" s="1"/>
      <c r="E4" s="1"/>
      <c r="F4" s="1"/>
      <c r="G4" s="473" t="s">
        <v>175</v>
      </c>
      <c r="H4" s="474" t="s">
        <v>1030</v>
      </c>
      <c r="I4" s="1"/>
      <c r="J4" s="1"/>
      <c r="K4" s="1"/>
      <c r="L4" s="1"/>
      <c r="M4" s="473" t="s">
        <v>175</v>
      </c>
      <c r="N4" s="474" t="s">
        <v>1030</v>
      </c>
      <c r="O4" s="1"/>
      <c r="P4" s="1"/>
      <c r="S4" s="1"/>
      <c r="AE4" s="473" t="s">
        <v>175</v>
      </c>
      <c r="AF4" s="474" t="s">
        <v>1030</v>
      </c>
      <c r="AW4" s="473" t="s">
        <v>175</v>
      </c>
      <c r="AX4" s="474" t="e">
        <v>#N/A</v>
      </c>
      <c r="BI4" s="1228" t="s">
        <v>175</v>
      </c>
      <c r="BJ4" s="1229">
        <v>11.379999999999992</v>
      </c>
      <c r="BO4" s="473" t="s">
        <v>175</v>
      </c>
      <c r="BP4" s="474">
        <v>36.380000000000059</v>
      </c>
      <c r="BU4" s="18"/>
      <c r="BW4" s="18"/>
      <c r="CB4" s="493"/>
      <c r="CG4" s="1228" t="s">
        <v>175</v>
      </c>
      <c r="CH4" s="1229">
        <v>36.390000000000057</v>
      </c>
      <c r="CM4" s="18"/>
      <c r="CO4" s="18"/>
      <c r="CY4" s="1228" t="s">
        <v>175</v>
      </c>
      <c r="CZ4" s="1229">
        <v>36.400000000000055</v>
      </c>
    </row>
    <row r="5" spans="1:104" s="1" customFormat="1" outlineLevel="1" x14ac:dyDescent="0.25">
      <c r="A5" s="488"/>
      <c r="CB5" s="1845"/>
      <c r="CR5"/>
      <c r="CS5"/>
      <c r="CT5"/>
    </row>
    <row r="6" spans="1:104" s="1" customFormat="1" ht="11.25" customHeight="1" x14ac:dyDescent="0.2">
      <c r="A6" s="488" t="s">
        <v>847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480"/>
      <c r="P6" s="480"/>
      <c r="Q6" s="480"/>
      <c r="R6" s="480"/>
      <c r="S6" s="488" t="s">
        <v>847</v>
      </c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480"/>
      <c r="AH6" s="480"/>
      <c r="AI6" s="480"/>
      <c r="AJ6" s="480"/>
      <c r="AK6" s="488" t="s">
        <v>847</v>
      </c>
      <c r="AL6" s="48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480"/>
      <c r="AZ6" s="480"/>
      <c r="BA6" s="480"/>
      <c r="BB6" s="480"/>
      <c r="BC6" s="488" t="s">
        <v>847</v>
      </c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480"/>
      <c r="BR6" s="480"/>
      <c r="BS6" s="480"/>
      <c r="BT6" s="480"/>
      <c r="BU6" s="488" t="s">
        <v>847</v>
      </c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480"/>
      <c r="CJ6" s="480"/>
      <c r="CK6" s="480"/>
      <c r="CL6" s="480"/>
      <c r="CM6" s="488" t="s">
        <v>847</v>
      </c>
      <c r="CN6" s="8"/>
      <c r="CO6" s="8"/>
      <c r="CP6" s="8"/>
      <c r="CQ6" s="8"/>
      <c r="CR6" s="8"/>
      <c r="CS6" s="8"/>
      <c r="CT6" s="8"/>
      <c r="CU6" s="8"/>
      <c r="CV6" s="8"/>
      <c r="CW6" s="8"/>
      <c r="CX6" s="480"/>
      <c r="CY6" s="480"/>
      <c r="CZ6" s="480"/>
    </row>
    <row r="7" spans="1:104" s="932" customFormat="1" ht="14.25" customHeight="1" x14ac:dyDescent="0.2">
      <c r="A7" s="478" t="s">
        <v>1029</v>
      </c>
      <c r="B7" s="926"/>
      <c r="C7" s="926"/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7"/>
      <c r="P7" s="927"/>
      <c r="Q7" s="927"/>
      <c r="R7" s="927"/>
      <c r="S7" s="478" t="s">
        <v>1028</v>
      </c>
      <c r="T7" s="926"/>
      <c r="U7" s="926"/>
      <c r="V7" s="926"/>
      <c r="W7" s="926"/>
      <c r="X7" s="926"/>
      <c r="Y7" s="926"/>
      <c r="Z7" s="926"/>
      <c r="AA7" s="926"/>
      <c r="AB7" s="926"/>
      <c r="AC7" s="926"/>
      <c r="AD7" s="926"/>
      <c r="AE7" s="926"/>
      <c r="AF7" s="926"/>
      <c r="AG7" s="927"/>
      <c r="AH7" s="927"/>
      <c r="AI7" s="927"/>
      <c r="AJ7" s="927"/>
      <c r="AK7" s="478">
        <v>0</v>
      </c>
      <c r="AL7" s="931"/>
      <c r="AM7" s="926"/>
      <c r="AN7" s="926"/>
      <c r="AO7" s="926"/>
      <c r="AP7" s="926"/>
      <c r="AQ7" s="926"/>
      <c r="AR7" s="926"/>
      <c r="AS7" s="926"/>
      <c r="AT7" s="926"/>
      <c r="AU7" s="926"/>
      <c r="AV7" s="926"/>
      <c r="AW7" s="926"/>
      <c r="AX7" s="926"/>
      <c r="AY7" s="927"/>
      <c r="AZ7" s="927"/>
      <c r="BA7" s="927"/>
      <c r="BB7" s="927"/>
      <c r="BC7" s="9" t="s">
        <v>1027</v>
      </c>
      <c r="BD7" s="926"/>
      <c r="BE7" s="926"/>
      <c r="BF7" s="926"/>
      <c r="BG7" s="926"/>
      <c r="BH7" s="926"/>
      <c r="BI7" s="926"/>
      <c r="BJ7" s="926"/>
      <c r="BK7" s="926"/>
      <c r="BL7" s="926"/>
      <c r="BM7" s="926"/>
      <c r="BN7" s="926"/>
      <c r="BO7" s="926"/>
      <c r="BP7" s="926"/>
      <c r="BQ7" s="927"/>
      <c r="BR7" s="927"/>
      <c r="BS7" s="927"/>
      <c r="BT7" s="927"/>
      <c r="BU7" s="9" t="s">
        <v>1026</v>
      </c>
      <c r="BV7" s="926"/>
      <c r="BW7" s="926"/>
      <c r="BX7" s="926"/>
      <c r="BY7" s="926"/>
      <c r="BZ7" s="926"/>
      <c r="CA7" s="926"/>
      <c r="CB7" s="926"/>
      <c r="CC7" s="926"/>
      <c r="CD7" s="926"/>
      <c r="CE7" s="926"/>
      <c r="CF7" s="926"/>
      <c r="CG7" s="926"/>
      <c r="CH7" s="926"/>
      <c r="CI7" s="927"/>
      <c r="CJ7" s="927"/>
      <c r="CK7" s="927"/>
      <c r="CL7" s="927"/>
      <c r="CM7" s="9" t="s">
        <v>1025</v>
      </c>
      <c r="CN7" s="926"/>
      <c r="CO7" s="926"/>
      <c r="CP7" s="926"/>
      <c r="CQ7" s="926"/>
      <c r="CR7" s="926"/>
      <c r="CS7" s="926"/>
      <c r="CT7" s="926"/>
      <c r="CU7" s="926"/>
      <c r="CV7" s="926"/>
      <c r="CW7" s="926"/>
      <c r="CX7" s="927"/>
      <c r="CY7" s="927"/>
      <c r="CZ7" s="927"/>
    </row>
    <row r="8" spans="1:104" s="858" customFormat="1" ht="12.75" x14ac:dyDescent="0.2">
      <c r="A8" s="1860" t="s">
        <v>52</v>
      </c>
      <c r="B8" s="1860"/>
      <c r="C8" s="1860"/>
      <c r="D8" s="1860"/>
      <c r="E8" s="1860"/>
      <c r="F8" s="1860"/>
      <c r="G8" s="1860"/>
      <c r="H8" s="1860"/>
      <c r="I8" s="1860"/>
      <c r="J8" s="1860"/>
      <c r="K8" s="1860"/>
      <c r="L8" s="1860"/>
      <c r="M8" s="1860"/>
      <c r="N8" s="1860"/>
      <c r="O8" s="1859"/>
      <c r="P8" s="1859"/>
      <c r="Q8" s="1859"/>
      <c r="R8" s="1859"/>
      <c r="S8" s="1860" t="s">
        <v>52</v>
      </c>
      <c r="T8" s="1860"/>
      <c r="U8" s="1860"/>
      <c r="V8" s="1860"/>
      <c r="W8" s="1860"/>
      <c r="X8" s="1860"/>
      <c r="Y8" s="1860"/>
      <c r="Z8" s="1860"/>
      <c r="AA8" s="1860"/>
      <c r="AB8" s="1860"/>
      <c r="AC8" s="1860"/>
      <c r="AD8" s="1860"/>
      <c r="AE8" s="1860"/>
      <c r="AF8" s="1860"/>
      <c r="AG8" s="1859"/>
      <c r="AH8" s="1859"/>
      <c r="AI8" s="1859"/>
      <c r="AJ8" s="1859"/>
      <c r="AK8" s="1860" t="s">
        <v>52</v>
      </c>
      <c r="AL8" s="1860"/>
      <c r="AM8" s="1860"/>
      <c r="AN8" s="1860"/>
      <c r="AO8" s="1860"/>
      <c r="AP8" s="1860"/>
      <c r="AQ8" s="1860"/>
      <c r="AR8" s="1860"/>
      <c r="AS8" s="1860"/>
      <c r="AT8" s="1860"/>
      <c r="AU8" s="1860"/>
      <c r="AV8" s="1860"/>
      <c r="AW8" s="1860"/>
      <c r="AX8" s="1860"/>
      <c r="AY8" s="1859"/>
      <c r="AZ8" s="1859"/>
      <c r="BA8" s="1859"/>
      <c r="BB8" s="1859"/>
      <c r="BC8" s="1860" t="s">
        <v>52</v>
      </c>
      <c r="BD8" s="1860"/>
      <c r="BE8" s="1860"/>
      <c r="BF8" s="1860"/>
      <c r="BG8" s="1860"/>
      <c r="BH8" s="1860"/>
      <c r="BI8" s="1860"/>
      <c r="BJ8" s="1860"/>
      <c r="BK8" s="1860"/>
      <c r="BL8" s="1860"/>
      <c r="BM8" s="1860"/>
      <c r="BN8" s="1860"/>
      <c r="BO8" s="1860"/>
      <c r="BP8" s="1860"/>
      <c r="BQ8" s="1859"/>
      <c r="BR8" s="1859"/>
      <c r="BS8" s="1859"/>
      <c r="BT8" s="1859"/>
      <c r="BU8" s="1860" t="s">
        <v>52</v>
      </c>
      <c r="BV8" s="1860"/>
      <c r="BW8" s="1860"/>
      <c r="BX8" s="1860"/>
      <c r="BY8" s="1860"/>
      <c r="BZ8" s="1860"/>
      <c r="CA8" s="1860"/>
      <c r="CB8" s="1860"/>
      <c r="CC8" s="1860"/>
      <c r="CD8" s="1860"/>
      <c r="CE8" s="1860"/>
      <c r="CF8" s="1860"/>
      <c r="CG8" s="1860"/>
      <c r="CH8" s="1860"/>
      <c r="CI8" s="1859"/>
      <c r="CJ8" s="1859"/>
      <c r="CK8" s="1859"/>
      <c r="CL8" s="1859"/>
      <c r="CM8" s="1860" t="s">
        <v>52</v>
      </c>
      <c r="CN8" s="1860"/>
      <c r="CO8" s="1860"/>
      <c r="CP8" s="1860"/>
      <c r="CQ8" s="1860"/>
      <c r="CR8" s="1860"/>
      <c r="CS8" s="1860"/>
      <c r="CT8" s="1860"/>
      <c r="CU8" s="1860"/>
      <c r="CV8" s="1860"/>
      <c r="CW8" s="1860"/>
      <c r="CX8" s="1859"/>
      <c r="CY8" s="1859"/>
      <c r="CZ8" s="1859"/>
    </row>
    <row r="9" spans="1:104" s="1856" customFormat="1" ht="30.75" customHeight="1" x14ac:dyDescent="0.25">
      <c r="A9" s="1858" t="s">
        <v>51</v>
      </c>
      <c r="B9" s="1858"/>
      <c r="C9" s="1858"/>
      <c r="D9" s="1858"/>
      <c r="E9" s="1858"/>
      <c r="F9" s="1858"/>
      <c r="G9" s="1858"/>
      <c r="H9" s="1858"/>
      <c r="I9" s="1858"/>
      <c r="J9" s="1858"/>
      <c r="K9" s="1858"/>
      <c r="L9" s="1858"/>
      <c r="M9" s="1858"/>
      <c r="N9" s="1858"/>
      <c r="O9" s="1857"/>
      <c r="P9" s="1857"/>
      <c r="Q9" s="1857"/>
      <c r="R9" s="1857"/>
      <c r="S9" s="1858" t="s">
        <v>51</v>
      </c>
      <c r="T9" s="1858"/>
      <c r="U9" s="1858"/>
      <c r="V9" s="1858"/>
      <c r="W9" s="1858"/>
      <c r="X9" s="1858"/>
      <c r="Y9" s="1858"/>
      <c r="Z9" s="1858"/>
      <c r="AA9" s="1858"/>
      <c r="AB9" s="1858"/>
      <c r="AC9" s="1858"/>
      <c r="AD9" s="1858"/>
      <c r="AE9" s="1858"/>
      <c r="AF9" s="1858"/>
      <c r="AG9" s="1857"/>
      <c r="AH9" s="1857"/>
      <c r="AI9" s="1857"/>
      <c r="AJ9" s="1857"/>
      <c r="AK9" s="1858" t="s">
        <v>51</v>
      </c>
      <c r="AL9" s="1858"/>
      <c r="AM9" s="1858"/>
      <c r="AN9" s="1858"/>
      <c r="AO9" s="1858"/>
      <c r="AP9" s="1858"/>
      <c r="AQ9" s="1858"/>
      <c r="AR9" s="1858"/>
      <c r="AS9" s="1858"/>
      <c r="AT9" s="1858"/>
      <c r="AU9" s="1858"/>
      <c r="AV9" s="1858"/>
      <c r="AW9" s="1858"/>
      <c r="AX9" s="1858"/>
      <c r="AY9" s="1857"/>
      <c r="AZ9" s="1857"/>
      <c r="BA9" s="1857"/>
      <c r="BB9" s="1857"/>
      <c r="BC9" s="1858" t="s">
        <v>51</v>
      </c>
      <c r="BD9" s="1858"/>
      <c r="BE9" s="1858"/>
      <c r="BF9" s="1858"/>
      <c r="BG9" s="1858"/>
      <c r="BH9" s="1858"/>
      <c r="BI9" s="1858"/>
      <c r="BJ9" s="1858"/>
      <c r="BK9" s="1858"/>
      <c r="BL9" s="1858"/>
      <c r="BM9" s="1858"/>
      <c r="BN9" s="1858"/>
      <c r="BO9" s="1858"/>
      <c r="BP9" s="1858"/>
      <c r="BQ9" s="1857"/>
      <c r="BR9" s="1857"/>
      <c r="BS9" s="1857"/>
      <c r="BT9" s="1857"/>
      <c r="BU9" s="1858" t="s">
        <v>51</v>
      </c>
      <c r="BV9" s="1858"/>
      <c r="BW9" s="1858"/>
      <c r="BX9" s="1858"/>
      <c r="BY9" s="1858"/>
      <c r="BZ9" s="1858"/>
      <c r="CA9" s="1858"/>
      <c r="CB9" s="1858"/>
      <c r="CC9" s="1858"/>
      <c r="CD9" s="1858"/>
      <c r="CE9" s="1858"/>
      <c r="CF9" s="1858"/>
      <c r="CG9" s="1858"/>
      <c r="CH9" s="1858"/>
      <c r="CI9" s="1857"/>
      <c r="CJ9" s="1857"/>
      <c r="CK9" s="1857"/>
      <c r="CL9" s="1857"/>
      <c r="CM9" s="1858" t="s">
        <v>51</v>
      </c>
      <c r="CN9" s="1858"/>
      <c r="CO9" s="1858"/>
      <c r="CP9" s="1858"/>
      <c r="CQ9" s="1858"/>
      <c r="CR9" s="1858"/>
      <c r="CS9" s="1858"/>
      <c r="CT9" s="1858"/>
      <c r="CU9" s="1858"/>
      <c r="CV9" s="1858"/>
      <c r="CW9" s="1858"/>
      <c r="CX9" s="1857"/>
      <c r="CY9" s="1857"/>
      <c r="CZ9" s="1857"/>
    </row>
    <row r="10" spans="1:104" s="1" customFormat="1" x14ac:dyDescent="0.25">
      <c r="B10" s="488"/>
      <c r="C10" s="8"/>
      <c r="D10" s="104" t="s">
        <v>181</v>
      </c>
      <c r="E10" s="104"/>
      <c r="F10" s="104" t="s">
        <v>180</v>
      </c>
      <c r="G10" s="104"/>
      <c r="H10" s="104" t="s">
        <v>180</v>
      </c>
      <c r="I10" s="104"/>
      <c r="J10" s="104" t="s">
        <v>180</v>
      </c>
      <c r="K10" s="104"/>
      <c r="L10" s="104" t="s">
        <v>181</v>
      </c>
      <c r="M10" s="104"/>
      <c r="N10" s="104" t="s">
        <v>179</v>
      </c>
      <c r="O10" s="104"/>
      <c r="P10" s="104" t="s">
        <v>181</v>
      </c>
      <c r="Q10" s="104"/>
      <c r="R10" s="104" t="s">
        <v>181</v>
      </c>
      <c r="T10" s="488"/>
      <c r="U10" s="8"/>
      <c r="V10" s="104" t="s">
        <v>181</v>
      </c>
      <c r="W10" s="104"/>
      <c r="X10" s="104" t="s">
        <v>180</v>
      </c>
      <c r="Y10" s="104"/>
      <c r="Z10" s="104" t="s">
        <v>180</v>
      </c>
      <c r="AA10" s="104"/>
      <c r="AB10" s="104" t="s">
        <v>180</v>
      </c>
      <c r="AC10" s="104"/>
      <c r="AD10" s="104" t="s">
        <v>181</v>
      </c>
      <c r="AE10" s="104"/>
      <c r="AF10" s="104" t="s">
        <v>179</v>
      </c>
      <c r="AG10" s="104"/>
      <c r="AH10" s="104" t="s">
        <v>181</v>
      </c>
      <c r="AI10" s="104"/>
      <c r="AJ10" s="104" t="s">
        <v>181</v>
      </c>
      <c r="AK10" s="488"/>
      <c r="AL10" s="488"/>
      <c r="AM10" s="8"/>
      <c r="AN10" s="104" t="s">
        <v>181</v>
      </c>
      <c r="AO10" s="104"/>
      <c r="AP10" s="104" t="s">
        <v>180</v>
      </c>
      <c r="AQ10" s="104"/>
      <c r="AR10" s="104" t="s">
        <v>180</v>
      </c>
      <c r="AS10" s="104"/>
      <c r="AT10" s="104" t="s">
        <v>180</v>
      </c>
      <c r="AU10" s="104"/>
      <c r="AV10" s="104" t="s">
        <v>181</v>
      </c>
      <c r="AW10" s="104"/>
      <c r="AX10" s="104" t="s">
        <v>179</v>
      </c>
      <c r="AY10" s="104"/>
      <c r="AZ10" s="104" t="s">
        <v>181</v>
      </c>
      <c r="BA10" s="104"/>
      <c r="BB10" s="104" t="s">
        <v>181</v>
      </c>
      <c r="BC10" s="488"/>
      <c r="BD10" s="8"/>
      <c r="BE10" s="8"/>
      <c r="BF10" s="104" t="s">
        <v>1024</v>
      </c>
      <c r="BG10" s="104"/>
      <c r="BH10" s="104" t="s">
        <v>180</v>
      </c>
      <c r="BI10" s="104"/>
      <c r="BJ10" s="104" t="s">
        <v>180</v>
      </c>
      <c r="BK10" s="104"/>
      <c r="BL10" s="104" t="s">
        <v>180</v>
      </c>
      <c r="BM10" s="104"/>
      <c r="BN10" s="104" t="s">
        <v>181</v>
      </c>
      <c r="BO10" s="104"/>
      <c r="BP10" s="104" t="s">
        <v>179</v>
      </c>
      <c r="BQ10" s="104"/>
      <c r="BR10" s="104" t="s">
        <v>181</v>
      </c>
      <c r="BS10" s="104"/>
      <c r="BT10" s="104" t="s">
        <v>181</v>
      </c>
      <c r="BU10" s="1855"/>
      <c r="BV10" s="1086"/>
      <c r="BW10" s="1853"/>
      <c r="BX10" s="104" t="s">
        <v>181</v>
      </c>
      <c r="BY10" s="104"/>
      <c r="BZ10" s="104" t="s">
        <v>180</v>
      </c>
      <c r="CA10" s="104"/>
      <c r="CB10" s="104" t="s">
        <v>180</v>
      </c>
      <c r="CC10" s="104"/>
      <c r="CD10" s="104" t="s">
        <v>180</v>
      </c>
      <c r="CE10" s="104"/>
      <c r="CF10" s="104" t="s">
        <v>181</v>
      </c>
      <c r="CG10" s="104"/>
      <c r="CH10" s="104" t="s">
        <v>179</v>
      </c>
      <c r="CI10" s="104"/>
      <c r="CJ10" s="104" t="s">
        <v>181</v>
      </c>
      <c r="CK10" s="104"/>
      <c r="CL10" s="104" t="s">
        <v>181</v>
      </c>
      <c r="CM10" s="1855"/>
      <c r="CN10" s="1805"/>
      <c r="CO10" s="1853"/>
      <c r="CP10" s="104" t="s">
        <v>181</v>
      </c>
      <c r="CQ10" s="104"/>
      <c r="CR10" s="104" t="s">
        <v>180</v>
      </c>
      <c r="CS10" s="104"/>
      <c r="CT10" s="104" t="s">
        <v>180</v>
      </c>
      <c r="CU10" s="104"/>
      <c r="CV10" s="104" t="s">
        <v>180</v>
      </c>
      <c r="CW10" s="104"/>
      <c r="CX10" s="104" t="s">
        <v>179</v>
      </c>
      <c r="CY10" s="104"/>
      <c r="CZ10" s="104" t="s">
        <v>181</v>
      </c>
    </row>
    <row r="11" spans="1:104" s="1" customFormat="1" ht="12.75" x14ac:dyDescent="0.2">
      <c r="B11" s="488"/>
      <c r="C11" s="8"/>
      <c r="D11" s="483"/>
      <c r="E11" s="484"/>
      <c r="F11" s="484"/>
      <c r="G11" s="484"/>
      <c r="H11" s="484"/>
      <c r="I11" s="484"/>
      <c r="J11" s="109"/>
      <c r="K11" s="109"/>
      <c r="L11" s="109"/>
      <c r="M11" s="109"/>
      <c r="N11" s="110"/>
      <c r="O11" s="109"/>
      <c r="P11" s="109"/>
      <c r="Q11" s="109"/>
      <c r="R11" s="110"/>
      <c r="T11" s="488"/>
      <c r="U11" s="8"/>
      <c r="V11" s="483"/>
      <c r="W11" s="484"/>
      <c r="X11" s="484"/>
      <c r="Y11" s="484"/>
      <c r="Z11" s="484"/>
      <c r="AA11" s="484"/>
      <c r="AB11" s="109"/>
      <c r="AC11" s="109"/>
      <c r="AD11" s="109"/>
      <c r="AE11" s="109"/>
      <c r="AF11" s="110"/>
      <c r="AG11" s="109"/>
      <c r="AH11" s="109"/>
      <c r="AI11" s="109"/>
      <c r="AJ11" s="110"/>
      <c r="AK11" s="488"/>
      <c r="AL11" s="488"/>
      <c r="AM11" s="8"/>
      <c r="AN11" s="483"/>
      <c r="AO11" s="484"/>
      <c r="AP11" s="484"/>
      <c r="AQ11" s="484"/>
      <c r="AR11" s="484"/>
      <c r="AS11" s="484"/>
      <c r="AT11" s="109"/>
      <c r="AU11" s="109"/>
      <c r="AV11" s="109"/>
      <c r="AW11" s="109"/>
      <c r="AX11" s="110"/>
      <c r="AY11" s="109"/>
      <c r="AZ11" s="109"/>
      <c r="BA11" s="109"/>
      <c r="BB11" s="110"/>
      <c r="BC11" s="488"/>
      <c r="BD11" s="8" t="str">
        <f>PROPER(BE35)</f>
        <v/>
      </c>
      <c r="BE11" s="8"/>
      <c r="BF11" s="483"/>
      <c r="BG11" s="484"/>
      <c r="BH11" s="484"/>
      <c r="BI11" s="484"/>
      <c r="BJ11" s="484"/>
      <c r="BK11" s="484"/>
      <c r="BL11" s="109"/>
      <c r="BM11" s="109"/>
      <c r="BN11" s="109"/>
      <c r="BO11" s="109"/>
      <c r="BP11" s="110"/>
      <c r="BQ11" s="109"/>
      <c r="BR11" s="109"/>
      <c r="BS11" s="109"/>
      <c r="BT11" s="110"/>
      <c r="BU11" s="1854"/>
      <c r="BV11" s="1853"/>
      <c r="BW11" s="1853"/>
      <c r="BX11" s="483"/>
      <c r="BY11" s="484"/>
      <c r="BZ11" s="484"/>
      <c r="CA11" s="484"/>
      <c r="CB11" s="484"/>
      <c r="CC11" s="484"/>
      <c r="CD11" s="109"/>
      <c r="CE11" s="109"/>
      <c r="CF11" s="109"/>
      <c r="CG11" s="109"/>
      <c r="CH11" s="110"/>
      <c r="CI11" s="109"/>
      <c r="CJ11" s="109"/>
      <c r="CK11" s="109"/>
      <c r="CL11" s="110"/>
      <c r="CM11" s="1854"/>
      <c r="CN11" s="1853"/>
      <c r="CO11" s="1853"/>
      <c r="CP11" s="483"/>
      <c r="CQ11" s="484"/>
      <c r="CR11" s="484"/>
      <c r="CS11" s="484"/>
      <c r="CT11" s="484"/>
      <c r="CU11" s="484"/>
      <c r="CV11" s="109"/>
      <c r="CW11" s="109"/>
      <c r="CX11" s="109"/>
      <c r="CY11" s="109"/>
      <c r="CZ11" s="110"/>
    </row>
    <row r="12" spans="1:104" s="1" customFormat="1" x14ac:dyDescent="0.25">
      <c r="B12" s="488"/>
      <c r="C12" s="8"/>
      <c r="D12" s="117"/>
      <c r="E12" s="118"/>
      <c r="F12" s="259"/>
      <c r="G12" s="485"/>
      <c r="H12" s="121" t="s">
        <v>61</v>
      </c>
      <c r="I12" s="122">
        <v>2024</v>
      </c>
      <c r="J12" s="123" t="s">
        <v>62</v>
      </c>
      <c r="K12" s="486">
        <v>2025</v>
      </c>
      <c r="L12" s="123" t="s">
        <v>62</v>
      </c>
      <c r="M12" s="486">
        <v>2026</v>
      </c>
      <c r="N12" s="124" t="s">
        <v>62</v>
      </c>
      <c r="O12" s="486"/>
      <c r="P12" s="123" t="s">
        <v>62</v>
      </c>
      <c r="Q12" s="486"/>
      <c r="R12" s="124" t="s">
        <v>62</v>
      </c>
      <c r="T12" s="488"/>
      <c r="U12" s="8"/>
      <c r="V12" s="117"/>
      <c r="W12" s="118"/>
      <c r="X12" s="259"/>
      <c r="Y12" s="485"/>
      <c r="Z12" s="121" t="s">
        <v>61</v>
      </c>
      <c r="AA12" s="122">
        <v>2024</v>
      </c>
      <c r="AB12" s="123" t="s">
        <v>62</v>
      </c>
      <c r="AC12" s="486">
        <v>2025</v>
      </c>
      <c r="AD12" s="123" t="s">
        <v>62</v>
      </c>
      <c r="AE12" s="486">
        <v>2026</v>
      </c>
      <c r="AF12" s="124" t="s">
        <v>62</v>
      </c>
      <c r="AG12" s="486"/>
      <c r="AH12" s="123" t="s">
        <v>62</v>
      </c>
      <c r="AI12" s="486"/>
      <c r="AJ12" s="124" t="s">
        <v>62</v>
      </c>
      <c r="AK12" s="941"/>
      <c r="AL12" s="941"/>
      <c r="AM12" s="941"/>
      <c r="AN12" s="117"/>
      <c r="AO12" s="118"/>
      <c r="AP12" s="259"/>
      <c r="AQ12" s="485"/>
      <c r="AR12" s="121" t="s">
        <v>61</v>
      </c>
      <c r="AS12" s="122">
        <v>2024</v>
      </c>
      <c r="AT12" s="123" t="s">
        <v>62</v>
      </c>
      <c r="AU12" s="486">
        <v>2025</v>
      </c>
      <c r="AV12" s="123" t="s">
        <v>62</v>
      </c>
      <c r="AW12" s="486">
        <v>2026</v>
      </c>
      <c r="AX12" s="124" t="s">
        <v>62</v>
      </c>
      <c r="AY12" s="486"/>
      <c r="AZ12" s="123" t="s">
        <v>62</v>
      </c>
      <c r="BA12" s="486"/>
      <c r="BB12" s="124" t="s">
        <v>62</v>
      </c>
      <c r="BD12" s="488"/>
      <c r="BE12" s="8"/>
      <c r="BF12" s="117"/>
      <c r="BG12" s="118"/>
      <c r="BH12" s="259"/>
      <c r="BI12" s="485"/>
      <c r="BJ12" s="121" t="s">
        <v>61</v>
      </c>
      <c r="BK12" s="122">
        <v>2024</v>
      </c>
      <c r="BL12" s="123" t="s">
        <v>62</v>
      </c>
      <c r="BM12" s="486">
        <v>2025</v>
      </c>
      <c r="BN12" s="123" t="s">
        <v>62</v>
      </c>
      <c r="BO12" s="486">
        <v>2026</v>
      </c>
      <c r="BP12" s="124" t="s">
        <v>62</v>
      </c>
      <c r="BQ12" s="486"/>
      <c r="BR12" s="123" t="s">
        <v>62</v>
      </c>
      <c r="BS12" s="486"/>
      <c r="BT12" s="124" t="s">
        <v>62</v>
      </c>
      <c r="BU12" s="1086"/>
      <c r="BV12" s="1086"/>
      <c r="BW12" s="1852"/>
      <c r="BX12" s="117"/>
      <c r="BY12" s="118"/>
      <c r="BZ12" s="259"/>
      <c r="CA12" s="485"/>
      <c r="CB12" s="121" t="s">
        <v>61</v>
      </c>
      <c r="CC12" s="122">
        <v>2024</v>
      </c>
      <c r="CD12" s="123" t="s">
        <v>62</v>
      </c>
      <c r="CE12" s="486">
        <v>2025</v>
      </c>
      <c r="CF12" s="123" t="s">
        <v>62</v>
      </c>
      <c r="CG12" s="486">
        <v>2026</v>
      </c>
      <c r="CH12" s="124" t="s">
        <v>62</v>
      </c>
      <c r="CI12" s="486"/>
      <c r="CJ12" s="123" t="s">
        <v>62</v>
      </c>
      <c r="CK12" s="486"/>
      <c r="CL12" s="124" t="s">
        <v>62</v>
      </c>
      <c r="CM12" s="1805"/>
      <c r="CN12" s="1805"/>
      <c r="CO12" s="1852"/>
      <c r="CP12" s="117"/>
      <c r="CQ12" s="118"/>
      <c r="CR12" s="259"/>
      <c r="CS12" s="485"/>
      <c r="CT12" s="121" t="s">
        <v>61</v>
      </c>
      <c r="CU12" s="122">
        <v>2024</v>
      </c>
      <c r="CV12" s="123" t="s">
        <v>62</v>
      </c>
      <c r="CW12" s="486">
        <v>2025</v>
      </c>
      <c r="CX12" s="123" t="s">
        <v>62</v>
      </c>
      <c r="CY12" s="486">
        <v>2026</v>
      </c>
      <c r="CZ12" s="124" t="s">
        <v>62</v>
      </c>
    </row>
    <row r="13" spans="1:104" s="1" customFormat="1" ht="12.75" x14ac:dyDescent="0.2">
      <c r="C13" s="487"/>
      <c r="D13" s="132" t="s">
        <v>63</v>
      </c>
      <c r="E13" s="133"/>
      <c r="F13" s="138" t="s">
        <v>64</v>
      </c>
      <c r="G13" s="139" t="s">
        <v>70</v>
      </c>
      <c r="H13" s="136" t="s">
        <v>62</v>
      </c>
      <c r="I13" s="137" t="s">
        <v>71</v>
      </c>
      <c r="J13" s="134" t="s">
        <v>66</v>
      </c>
      <c r="K13" s="135" t="s">
        <v>9</v>
      </c>
      <c r="L13" s="134" t="s">
        <v>66</v>
      </c>
      <c r="M13" s="135" t="s">
        <v>10</v>
      </c>
      <c r="N13" s="138" t="s">
        <v>66</v>
      </c>
      <c r="O13" s="135" t="s">
        <v>11</v>
      </c>
      <c r="P13" s="134" t="s">
        <v>66</v>
      </c>
      <c r="Q13" s="135" t="s">
        <v>12</v>
      </c>
      <c r="R13" s="138" t="s">
        <v>66</v>
      </c>
      <c r="T13" s="487"/>
      <c r="V13" s="132" t="s">
        <v>63</v>
      </c>
      <c r="W13" s="133"/>
      <c r="X13" s="138" t="s">
        <v>64</v>
      </c>
      <c r="Y13" s="139" t="s">
        <v>70</v>
      </c>
      <c r="Z13" s="136" t="s">
        <v>62</v>
      </c>
      <c r="AA13" s="137" t="s">
        <v>71</v>
      </c>
      <c r="AB13" s="134" t="s">
        <v>66</v>
      </c>
      <c r="AC13" s="135" t="s">
        <v>9</v>
      </c>
      <c r="AD13" s="134" t="s">
        <v>66</v>
      </c>
      <c r="AE13" s="135" t="s">
        <v>10</v>
      </c>
      <c r="AF13" s="138" t="s">
        <v>66</v>
      </c>
      <c r="AG13" s="135" t="s">
        <v>11</v>
      </c>
      <c r="AH13" s="134" t="s">
        <v>66</v>
      </c>
      <c r="AI13" s="135" t="s">
        <v>12</v>
      </c>
      <c r="AJ13" s="138" t="s">
        <v>66</v>
      </c>
      <c r="AK13" s="943"/>
      <c r="AL13" s="944"/>
      <c r="AM13" s="490"/>
      <c r="AN13" s="132" t="s">
        <v>63</v>
      </c>
      <c r="AO13" s="133"/>
      <c r="AP13" s="138" t="s">
        <v>64</v>
      </c>
      <c r="AQ13" s="139" t="s">
        <v>70</v>
      </c>
      <c r="AR13" s="136" t="s">
        <v>62</v>
      </c>
      <c r="AS13" s="137" t="s">
        <v>71</v>
      </c>
      <c r="AT13" s="134" t="s">
        <v>66</v>
      </c>
      <c r="AU13" s="135" t="s">
        <v>9</v>
      </c>
      <c r="AV13" s="134" t="s">
        <v>66</v>
      </c>
      <c r="AW13" s="135" t="s">
        <v>10</v>
      </c>
      <c r="AX13" s="138" t="s">
        <v>66</v>
      </c>
      <c r="AY13" s="135" t="s">
        <v>11</v>
      </c>
      <c r="AZ13" s="134" t="s">
        <v>66</v>
      </c>
      <c r="BA13" s="135" t="s">
        <v>12</v>
      </c>
      <c r="BB13" s="138" t="s">
        <v>66</v>
      </c>
      <c r="BE13" s="487"/>
      <c r="BF13" s="132" t="s">
        <v>63</v>
      </c>
      <c r="BG13" s="133"/>
      <c r="BH13" s="138" t="s">
        <v>64</v>
      </c>
      <c r="BI13" s="139" t="s">
        <v>70</v>
      </c>
      <c r="BJ13" s="136" t="s">
        <v>62</v>
      </c>
      <c r="BK13" s="137" t="s">
        <v>71</v>
      </c>
      <c r="BL13" s="134" t="s">
        <v>66</v>
      </c>
      <c r="BM13" s="135" t="s">
        <v>9</v>
      </c>
      <c r="BN13" s="134" t="s">
        <v>66</v>
      </c>
      <c r="BO13" s="135" t="s">
        <v>10</v>
      </c>
      <c r="BP13" s="138" t="s">
        <v>66</v>
      </c>
      <c r="BQ13" s="135" t="s">
        <v>11</v>
      </c>
      <c r="BR13" s="134" t="s">
        <v>66</v>
      </c>
      <c r="BS13" s="135" t="s">
        <v>12</v>
      </c>
      <c r="BT13" s="138" t="s">
        <v>66</v>
      </c>
      <c r="BU13" s="1849"/>
      <c r="BV13" s="1844"/>
      <c r="BW13" s="1851"/>
      <c r="BX13" s="132" t="s">
        <v>63</v>
      </c>
      <c r="BY13" s="133"/>
      <c r="BZ13" s="138" t="s">
        <v>64</v>
      </c>
      <c r="CA13" s="139" t="s">
        <v>70</v>
      </c>
      <c r="CB13" s="136" t="s">
        <v>62</v>
      </c>
      <c r="CC13" s="137" t="s">
        <v>71</v>
      </c>
      <c r="CD13" s="134" t="s">
        <v>66</v>
      </c>
      <c r="CE13" s="135" t="s">
        <v>9</v>
      </c>
      <c r="CF13" s="134" t="s">
        <v>66</v>
      </c>
      <c r="CG13" s="135" t="s">
        <v>10</v>
      </c>
      <c r="CH13" s="138" t="s">
        <v>66</v>
      </c>
      <c r="CI13" s="135" t="s">
        <v>11</v>
      </c>
      <c r="CJ13" s="134" t="s">
        <v>66</v>
      </c>
      <c r="CK13" s="135" t="s">
        <v>12</v>
      </c>
      <c r="CL13" s="138" t="s">
        <v>66</v>
      </c>
      <c r="CM13" s="1849"/>
      <c r="CN13" s="1844"/>
      <c r="CO13" s="1851"/>
      <c r="CP13" s="132" t="s">
        <v>63</v>
      </c>
      <c r="CQ13" s="133"/>
      <c r="CR13" s="138" t="s">
        <v>64</v>
      </c>
      <c r="CS13" s="139" t="s">
        <v>70</v>
      </c>
      <c r="CT13" s="136" t="s">
        <v>62</v>
      </c>
      <c r="CU13" s="137" t="s">
        <v>71</v>
      </c>
      <c r="CV13" s="134" t="s">
        <v>66</v>
      </c>
      <c r="CW13" s="135" t="s">
        <v>9</v>
      </c>
      <c r="CX13" s="134" t="s">
        <v>66</v>
      </c>
      <c r="CY13" s="135" t="s">
        <v>10</v>
      </c>
      <c r="CZ13" s="138" t="s">
        <v>66</v>
      </c>
    </row>
    <row r="14" spans="1:104" s="1" customFormat="1" ht="12.75" x14ac:dyDescent="0.2">
      <c r="A14" s="14" t="s">
        <v>4</v>
      </c>
      <c r="B14" s="14"/>
      <c r="C14" s="489"/>
      <c r="D14" s="132" t="s">
        <v>67</v>
      </c>
      <c r="E14" s="135" t="s">
        <v>68</v>
      </c>
      <c r="F14" s="138" t="s">
        <v>69</v>
      </c>
      <c r="G14" s="139" t="s">
        <v>182</v>
      </c>
      <c r="H14" s="136" t="s">
        <v>69</v>
      </c>
      <c r="I14" s="137" t="s">
        <v>183</v>
      </c>
      <c r="J14" s="134" t="s">
        <v>72</v>
      </c>
      <c r="K14" s="135" t="s">
        <v>183</v>
      </c>
      <c r="L14" s="134" t="s">
        <v>73</v>
      </c>
      <c r="M14" s="135" t="s">
        <v>183</v>
      </c>
      <c r="N14" s="138" t="s">
        <v>73</v>
      </c>
      <c r="O14" s="135" t="s">
        <v>183</v>
      </c>
      <c r="P14" s="134" t="s">
        <v>73</v>
      </c>
      <c r="Q14" s="135" t="s">
        <v>183</v>
      </c>
      <c r="R14" s="138" t="s">
        <v>73</v>
      </c>
      <c r="S14" s="13" t="s">
        <v>4</v>
      </c>
      <c r="T14" s="489"/>
      <c r="V14" s="132" t="s">
        <v>67</v>
      </c>
      <c r="W14" s="135" t="s">
        <v>68</v>
      </c>
      <c r="X14" s="138" t="s">
        <v>69</v>
      </c>
      <c r="Y14" s="139" t="s">
        <v>182</v>
      </c>
      <c r="Z14" s="136" t="s">
        <v>69</v>
      </c>
      <c r="AA14" s="137" t="s">
        <v>183</v>
      </c>
      <c r="AB14" s="134" t="s">
        <v>72</v>
      </c>
      <c r="AC14" s="135" t="s">
        <v>183</v>
      </c>
      <c r="AD14" s="134" t="s">
        <v>73</v>
      </c>
      <c r="AE14" s="135" t="s">
        <v>183</v>
      </c>
      <c r="AF14" s="138" t="s">
        <v>73</v>
      </c>
      <c r="AG14" s="135" t="s">
        <v>183</v>
      </c>
      <c r="AH14" s="134" t="s">
        <v>73</v>
      </c>
      <c r="AI14" s="135" t="s">
        <v>183</v>
      </c>
      <c r="AJ14" s="138" t="s">
        <v>73</v>
      </c>
      <c r="AK14" s="945" t="s">
        <v>4</v>
      </c>
      <c r="AL14" s="943"/>
      <c r="AM14" s="491"/>
      <c r="AN14" s="132" t="s">
        <v>67</v>
      </c>
      <c r="AO14" s="135" t="s">
        <v>68</v>
      </c>
      <c r="AP14" s="138" t="s">
        <v>69</v>
      </c>
      <c r="AQ14" s="139" t="s">
        <v>182</v>
      </c>
      <c r="AR14" s="136" t="s">
        <v>69</v>
      </c>
      <c r="AS14" s="137" t="s">
        <v>183</v>
      </c>
      <c r="AT14" s="134" t="s">
        <v>72</v>
      </c>
      <c r="AU14" s="135" t="s">
        <v>183</v>
      </c>
      <c r="AV14" s="134" t="s">
        <v>73</v>
      </c>
      <c r="AW14" s="135" t="s">
        <v>183</v>
      </c>
      <c r="AX14" s="138" t="s">
        <v>73</v>
      </c>
      <c r="AY14" s="135" t="s">
        <v>183</v>
      </c>
      <c r="AZ14" s="134" t="s">
        <v>73</v>
      </c>
      <c r="BA14" s="135" t="s">
        <v>183</v>
      </c>
      <c r="BB14" s="138" t="s">
        <v>73</v>
      </c>
      <c r="BC14" s="14" t="s">
        <v>4</v>
      </c>
      <c r="BD14" s="14"/>
      <c r="BE14" s="489"/>
      <c r="BF14" s="132" t="s">
        <v>67</v>
      </c>
      <c r="BG14" s="135" t="s">
        <v>68</v>
      </c>
      <c r="BH14" s="138" t="s">
        <v>69</v>
      </c>
      <c r="BI14" s="139" t="s">
        <v>182</v>
      </c>
      <c r="BJ14" s="136" t="s">
        <v>69</v>
      </c>
      <c r="BK14" s="137" t="s">
        <v>183</v>
      </c>
      <c r="BL14" s="134" t="s">
        <v>72</v>
      </c>
      <c r="BM14" s="135" t="s">
        <v>183</v>
      </c>
      <c r="BN14" s="134" t="s">
        <v>73</v>
      </c>
      <c r="BO14" s="135" t="s">
        <v>183</v>
      </c>
      <c r="BP14" s="138" t="s">
        <v>73</v>
      </c>
      <c r="BQ14" s="135" t="s">
        <v>183</v>
      </c>
      <c r="BR14" s="134" t="s">
        <v>73</v>
      </c>
      <c r="BS14" s="135" t="s">
        <v>183</v>
      </c>
      <c r="BT14" s="138" t="s">
        <v>73</v>
      </c>
      <c r="BU14" s="1850" t="s">
        <v>4</v>
      </c>
      <c r="BV14" s="1849"/>
      <c r="BW14" s="1390"/>
      <c r="BX14" s="132" t="s">
        <v>67</v>
      </c>
      <c r="BY14" s="135" t="s">
        <v>68</v>
      </c>
      <c r="BZ14" s="138" t="s">
        <v>69</v>
      </c>
      <c r="CA14" s="139" t="s">
        <v>182</v>
      </c>
      <c r="CB14" s="136" t="s">
        <v>69</v>
      </c>
      <c r="CC14" s="137" t="s">
        <v>183</v>
      </c>
      <c r="CD14" s="134" t="s">
        <v>72</v>
      </c>
      <c r="CE14" s="135" t="s">
        <v>183</v>
      </c>
      <c r="CF14" s="134" t="s">
        <v>73</v>
      </c>
      <c r="CG14" s="135" t="s">
        <v>183</v>
      </c>
      <c r="CH14" s="138" t="s">
        <v>73</v>
      </c>
      <c r="CI14" s="135" t="s">
        <v>183</v>
      </c>
      <c r="CJ14" s="134" t="s">
        <v>73</v>
      </c>
      <c r="CK14" s="135" t="s">
        <v>183</v>
      </c>
      <c r="CL14" s="138" t="s">
        <v>73</v>
      </c>
      <c r="CM14" s="1850" t="s">
        <v>4</v>
      </c>
      <c r="CN14" s="1849"/>
      <c r="CO14" s="1390"/>
      <c r="CP14" s="132" t="s">
        <v>67</v>
      </c>
      <c r="CQ14" s="135" t="s">
        <v>68</v>
      </c>
      <c r="CR14" s="138" t="s">
        <v>69</v>
      </c>
      <c r="CS14" s="139" t="s">
        <v>182</v>
      </c>
      <c r="CT14" s="136" t="s">
        <v>69</v>
      </c>
      <c r="CU14" s="137" t="s">
        <v>183</v>
      </c>
      <c r="CV14" s="134" t="s">
        <v>72</v>
      </c>
      <c r="CW14" s="135" t="s">
        <v>183</v>
      </c>
      <c r="CX14" s="134" t="s">
        <v>73</v>
      </c>
      <c r="CY14" s="135" t="s">
        <v>183</v>
      </c>
      <c r="CZ14" s="138" t="s">
        <v>73</v>
      </c>
    </row>
    <row r="15" spans="1:104" s="1" customFormat="1" ht="12.75" x14ac:dyDescent="0.2">
      <c r="A15" s="16" t="s">
        <v>7</v>
      </c>
      <c r="B15" s="15" t="s">
        <v>8</v>
      </c>
      <c r="C15" s="500" t="s">
        <v>184</v>
      </c>
      <c r="D15" s="146" t="s">
        <v>74</v>
      </c>
      <c r="E15" s="147" t="s">
        <v>75</v>
      </c>
      <c r="F15" s="151" t="s">
        <v>76</v>
      </c>
      <c r="G15" s="152" t="s">
        <v>75</v>
      </c>
      <c r="H15" s="149" t="s">
        <v>76</v>
      </c>
      <c r="I15" s="150" t="s">
        <v>75</v>
      </c>
      <c r="J15" s="148" t="s">
        <v>9</v>
      </c>
      <c r="K15" s="147" t="s">
        <v>75</v>
      </c>
      <c r="L15" s="148" t="s">
        <v>9</v>
      </c>
      <c r="M15" s="147" t="s">
        <v>75</v>
      </c>
      <c r="N15" s="151" t="s">
        <v>10</v>
      </c>
      <c r="O15" s="147" t="s">
        <v>75</v>
      </c>
      <c r="P15" s="148" t="s">
        <v>9</v>
      </c>
      <c r="Q15" s="147" t="s">
        <v>75</v>
      </c>
      <c r="R15" s="151" t="s">
        <v>10</v>
      </c>
      <c r="S15" s="15" t="s">
        <v>7</v>
      </c>
      <c r="T15" s="15" t="s">
        <v>8</v>
      </c>
      <c r="U15" s="500" t="s">
        <v>184</v>
      </c>
      <c r="V15" s="146" t="s">
        <v>74</v>
      </c>
      <c r="W15" s="147" t="s">
        <v>75</v>
      </c>
      <c r="X15" s="151" t="s">
        <v>76</v>
      </c>
      <c r="Y15" s="152" t="s">
        <v>75</v>
      </c>
      <c r="Z15" s="149" t="s">
        <v>76</v>
      </c>
      <c r="AA15" s="150" t="s">
        <v>75</v>
      </c>
      <c r="AB15" s="148" t="s">
        <v>9</v>
      </c>
      <c r="AC15" s="147" t="s">
        <v>75</v>
      </c>
      <c r="AD15" s="148" t="s">
        <v>9</v>
      </c>
      <c r="AE15" s="147" t="s">
        <v>75</v>
      </c>
      <c r="AF15" s="151" t="s">
        <v>10</v>
      </c>
      <c r="AG15" s="147" t="s">
        <v>75</v>
      </c>
      <c r="AH15" s="148" t="s">
        <v>9</v>
      </c>
      <c r="AI15" s="147" t="s">
        <v>75</v>
      </c>
      <c r="AJ15" s="151" t="s">
        <v>10</v>
      </c>
      <c r="AK15" s="947" t="s">
        <v>7</v>
      </c>
      <c r="AL15" s="948" t="s">
        <v>8</v>
      </c>
      <c r="AM15" s="503" t="s">
        <v>184</v>
      </c>
      <c r="AN15" s="146" t="s">
        <v>74</v>
      </c>
      <c r="AO15" s="147" t="s">
        <v>75</v>
      </c>
      <c r="AP15" s="151" t="s">
        <v>76</v>
      </c>
      <c r="AQ15" s="152" t="s">
        <v>75</v>
      </c>
      <c r="AR15" s="149" t="s">
        <v>76</v>
      </c>
      <c r="AS15" s="150" t="s">
        <v>75</v>
      </c>
      <c r="AT15" s="148" t="s">
        <v>9</v>
      </c>
      <c r="AU15" s="147" t="s">
        <v>75</v>
      </c>
      <c r="AV15" s="148" t="s">
        <v>9</v>
      </c>
      <c r="AW15" s="147" t="s">
        <v>75</v>
      </c>
      <c r="AX15" s="151" t="s">
        <v>10</v>
      </c>
      <c r="AY15" s="147" t="s">
        <v>75</v>
      </c>
      <c r="AZ15" s="148" t="s">
        <v>9</v>
      </c>
      <c r="BA15" s="147" t="s">
        <v>75</v>
      </c>
      <c r="BB15" s="151" t="s">
        <v>10</v>
      </c>
      <c r="BC15" s="16" t="s">
        <v>7</v>
      </c>
      <c r="BD15" s="15" t="s">
        <v>8</v>
      </c>
      <c r="BE15" s="500"/>
      <c r="BF15" s="146" t="s">
        <v>74</v>
      </c>
      <c r="BG15" s="147" t="s">
        <v>75</v>
      </c>
      <c r="BH15" s="151" t="s">
        <v>76</v>
      </c>
      <c r="BI15" s="152" t="s">
        <v>75</v>
      </c>
      <c r="BJ15" s="149" t="s">
        <v>76</v>
      </c>
      <c r="BK15" s="150" t="s">
        <v>75</v>
      </c>
      <c r="BL15" s="148" t="s">
        <v>9</v>
      </c>
      <c r="BM15" s="147" t="s">
        <v>75</v>
      </c>
      <c r="BN15" s="148" t="s">
        <v>9</v>
      </c>
      <c r="BO15" s="147" t="s">
        <v>75</v>
      </c>
      <c r="BP15" s="151" t="s">
        <v>10</v>
      </c>
      <c r="BQ15" s="147" t="s">
        <v>75</v>
      </c>
      <c r="BR15" s="148" t="s">
        <v>9</v>
      </c>
      <c r="BS15" s="147" t="s">
        <v>75</v>
      </c>
      <c r="BT15" s="151" t="s">
        <v>10</v>
      </c>
      <c r="BU15" s="1848" t="s">
        <v>7</v>
      </c>
      <c r="BV15" s="1847" t="s">
        <v>8</v>
      </c>
      <c r="BW15" s="1846" t="s">
        <v>184</v>
      </c>
      <c r="BX15" s="146" t="s">
        <v>74</v>
      </c>
      <c r="BY15" s="147" t="s">
        <v>75</v>
      </c>
      <c r="BZ15" s="151" t="s">
        <v>76</v>
      </c>
      <c r="CA15" s="152" t="s">
        <v>75</v>
      </c>
      <c r="CB15" s="149" t="s">
        <v>76</v>
      </c>
      <c r="CC15" s="150" t="s">
        <v>75</v>
      </c>
      <c r="CD15" s="148" t="s">
        <v>9</v>
      </c>
      <c r="CE15" s="147" t="s">
        <v>75</v>
      </c>
      <c r="CF15" s="148" t="s">
        <v>9</v>
      </c>
      <c r="CG15" s="147" t="s">
        <v>75</v>
      </c>
      <c r="CH15" s="151" t="s">
        <v>10</v>
      </c>
      <c r="CI15" s="147" t="s">
        <v>75</v>
      </c>
      <c r="CJ15" s="148" t="s">
        <v>9</v>
      </c>
      <c r="CK15" s="147" t="s">
        <v>75</v>
      </c>
      <c r="CL15" s="151" t="s">
        <v>10</v>
      </c>
      <c r="CM15" s="1848" t="s">
        <v>7</v>
      </c>
      <c r="CN15" s="1847" t="s">
        <v>8</v>
      </c>
      <c r="CO15" s="1846" t="s">
        <v>184</v>
      </c>
      <c r="CP15" s="146" t="s">
        <v>74</v>
      </c>
      <c r="CQ15" s="147" t="s">
        <v>75</v>
      </c>
      <c r="CR15" s="151" t="s">
        <v>76</v>
      </c>
      <c r="CS15" s="152" t="s">
        <v>75</v>
      </c>
      <c r="CT15" s="149" t="s">
        <v>76</v>
      </c>
      <c r="CU15" s="150" t="s">
        <v>75</v>
      </c>
      <c r="CV15" s="148" t="s">
        <v>9</v>
      </c>
      <c r="CW15" s="147" t="s">
        <v>75</v>
      </c>
      <c r="CX15" s="148" t="s">
        <v>9</v>
      </c>
      <c r="CY15" s="147" t="s">
        <v>75</v>
      </c>
      <c r="CZ15" s="151" t="s">
        <v>10</v>
      </c>
    </row>
    <row r="16" spans="1:104" s="1" customFormat="1" ht="12.75" x14ac:dyDescent="0.2">
      <c r="BF16" s="1845" t="s">
        <v>185</v>
      </c>
      <c r="BU16" s="1844"/>
      <c r="BV16" s="958" t="s">
        <v>456</v>
      </c>
      <c r="BW16" s="1844"/>
      <c r="BX16" s="1843"/>
      <c r="BY16" s="1843"/>
      <c r="BZ16" s="1843" t="s">
        <v>204</v>
      </c>
      <c r="CA16" s="1843"/>
      <c r="CB16" s="1843"/>
      <c r="CC16" s="1843"/>
      <c r="CD16" s="1843"/>
      <c r="CE16" s="1843"/>
      <c r="CF16" s="1843"/>
      <c r="CG16" s="1843"/>
      <c r="CH16" s="1843"/>
      <c r="CI16" s="1843"/>
      <c r="CJ16" s="1843"/>
      <c r="CK16" s="1843"/>
      <c r="CL16" s="1843"/>
    </row>
    <row r="17" spans="1:104" s="1" customFormat="1" ht="15.75" x14ac:dyDescent="0.25">
      <c r="A17" s="30">
        <f>ROW()</f>
        <v>17</v>
      </c>
      <c r="B17" s="842"/>
      <c r="C17" s="842"/>
      <c r="D17" s="539"/>
      <c r="E17" s="954"/>
      <c r="F17" s="954"/>
      <c r="G17" s="1213"/>
      <c r="H17" s="954"/>
      <c r="I17" s="954"/>
      <c r="J17" s="954"/>
      <c r="K17" s="954"/>
      <c r="L17" s="954"/>
      <c r="M17" s="954"/>
      <c r="N17" s="954"/>
      <c r="O17" s="954"/>
      <c r="P17" s="954"/>
      <c r="Q17" s="954"/>
      <c r="R17" s="954"/>
      <c r="S17" s="482">
        <f>ROW()</f>
        <v>17</v>
      </c>
      <c r="T17" s="842"/>
      <c r="U17" s="842"/>
      <c r="V17" s="539"/>
      <c r="W17" s="956"/>
      <c r="X17" s="956"/>
      <c r="Y17" s="956"/>
      <c r="Z17" s="956"/>
      <c r="AA17" s="956"/>
      <c r="AB17" s="956"/>
      <c r="AC17" s="956"/>
      <c r="AD17" s="956"/>
      <c r="AE17" s="956"/>
      <c r="AF17" s="956"/>
      <c r="AG17" s="956"/>
      <c r="AH17" s="956"/>
      <c r="AI17" s="956"/>
      <c r="AJ17" s="956"/>
      <c r="AK17" s="482">
        <v>1</v>
      </c>
      <c r="AL17" s="4"/>
      <c r="AM17" s="20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2">
        <f>ROW()</f>
        <v>17</v>
      </c>
      <c r="BD17" s="958" t="s">
        <v>250</v>
      </c>
      <c r="BE17"/>
      <c r="BF17"/>
      <c r="BG17"/>
      <c r="BH17"/>
      <c r="BI17"/>
      <c r="BJ17"/>
      <c r="BK17"/>
      <c r="BL17"/>
      <c r="BM17"/>
      <c r="BN17"/>
      <c r="BO17" s="1799"/>
      <c r="BP17" s="1799"/>
      <c r="BQ17" s="1799"/>
      <c r="BR17" s="1799"/>
      <c r="BS17" s="1799"/>
      <c r="BT17" s="1799"/>
      <c r="BU17" s="1016">
        <f>ROW()</f>
        <v>17</v>
      </c>
      <c r="BV17" s="971" t="s">
        <v>1023</v>
      </c>
      <c r="BW17" s="647"/>
      <c r="BX17" s="972"/>
      <c r="BY17" s="972"/>
      <c r="BZ17" s="647">
        <v>-15798.310000000001</v>
      </c>
      <c r="CA17" s="647">
        <v>15798.311000000196</v>
      </c>
      <c r="CB17" s="647">
        <f>SUM(BZ17:CA17)</f>
        <v>1.000000194835593E-3</v>
      </c>
      <c r="CC17" s="647">
        <v>-1.000000194835593E-3</v>
      </c>
      <c r="CD17" s="647">
        <f>SUM(CB17:CC17)</f>
        <v>0</v>
      </c>
      <c r="CE17" s="647">
        <v>0</v>
      </c>
      <c r="CF17" s="647">
        <f>SUM(CD17:CE17)</f>
        <v>0</v>
      </c>
      <c r="CG17" s="647">
        <v>0</v>
      </c>
      <c r="CH17" s="647">
        <f>SUM(CF17:CG17)</f>
        <v>0</v>
      </c>
      <c r="CI17" s="647"/>
      <c r="CJ17" s="647"/>
      <c r="CK17" s="647">
        <f>CL17-CJ17</f>
        <v>0</v>
      </c>
      <c r="CL17" s="647"/>
      <c r="CM17" s="1016">
        <f>ROW()</f>
        <v>17</v>
      </c>
      <c r="CN17" s="1830" t="s">
        <v>146</v>
      </c>
      <c r="CO17" s="1842"/>
      <c r="CP17" s="616"/>
      <c r="CQ17" s="1841"/>
      <c r="CR17" s="616"/>
      <c r="CS17" s="616"/>
      <c r="CT17" s="616"/>
      <c r="CU17" s="616"/>
      <c r="CV17" s="616"/>
      <c r="CW17" s="616"/>
      <c r="CX17" s="616"/>
      <c r="CY17" s="616"/>
      <c r="CZ17" s="616"/>
    </row>
    <row r="18" spans="1:104" s="1" customFormat="1" ht="15.75" x14ac:dyDescent="0.25">
      <c r="A18" s="30">
        <f>ROW()</f>
        <v>18</v>
      </c>
      <c r="B18" s="1214"/>
      <c r="C18" s="1214"/>
      <c r="D18" s="969"/>
      <c r="E18" s="969"/>
      <c r="F18" s="969"/>
      <c r="G18" s="969"/>
      <c r="H18" s="969"/>
      <c r="I18" s="1839"/>
      <c r="J18" s="1839"/>
      <c r="K18" s="1839"/>
      <c r="L18" s="1839"/>
      <c r="M18" s="1839"/>
      <c r="N18" s="1839"/>
      <c r="O18" s="1839"/>
      <c r="P18" s="1839"/>
      <c r="Q18" s="1839"/>
      <c r="R18" s="1839"/>
      <c r="S18" s="482">
        <f>ROW()</f>
        <v>18</v>
      </c>
      <c r="T18" s="842"/>
      <c r="U18" s="1840"/>
      <c r="V18" s="969"/>
      <c r="W18" s="969"/>
      <c r="X18" s="969"/>
      <c r="Y18" s="969"/>
      <c r="Z18" s="969"/>
      <c r="AA18" s="1839"/>
      <c r="AB18" s="1839"/>
      <c r="AC18" s="1839"/>
      <c r="AD18" s="1839"/>
      <c r="AE18" s="1839"/>
      <c r="AF18" s="1839"/>
      <c r="AG18" s="1839"/>
      <c r="AH18" s="1839"/>
      <c r="AI18" s="1839"/>
      <c r="AJ18" s="1839"/>
      <c r="AK18" s="482">
        <v>2</v>
      </c>
      <c r="AL18" s="937"/>
      <c r="AM18" s="937"/>
      <c r="AN18" s="937"/>
      <c r="AO18" s="937"/>
      <c r="AP18" s="937"/>
      <c r="AQ18" s="937"/>
      <c r="AR18" s="937"/>
      <c r="AS18" s="937"/>
      <c r="AT18" s="937"/>
      <c r="AU18" s="937"/>
      <c r="AV18" s="937"/>
      <c r="AW18" s="937"/>
      <c r="AX18" s="937"/>
      <c r="AY18" s="937"/>
      <c r="AZ18" s="937"/>
      <c r="BA18" s="937"/>
      <c r="BB18" s="937"/>
      <c r="BC18" s="22">
        <f>ROW()</f>
        <v>18</v>
      </c>
      <c r="BD18" s="958" t="s">
        <v>1022</v>
      </c>
      <c r="BE18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1016">
        <f>ROW()</f>
        <v>18</v>
      </c>
      <c r="BV18" s="971" t="s">
        <v>1021</v>
      </c>
      <c r="BX18" s="972"/>
      <c r="BY18" s="972"/>
      <c r="BZ18" s="647">
        <v>5283046.9499999993</v>
      </c>
      <c r="CA18" s="647">
        <v>-1938812.2980983895</v>
      </c>
      <c r="CB18" s="647">
        <f>SUM(BZ18:CA18)</f>
        <v>3344234.6519016097</v>
      </c>
      <c r="CC18" s="647">
        <v>-1658740.3896547817</v>
      </c>
      <c r="CD18" s="647">
        <f>SUM(CB18:CC18)</f>
        <v>1685494.2622468281</v>
      </c>
      <c r="CE18" s="647">
        <v>-1658740.3896547828</v>
      </c>
      <c r="CF18" s="647">
        <f>SUM(CD18:CE18)</f>
        <v>26753.872592045227</v>
      </c>
      <c r="CG18" s="647">
        <v>-26753.87259204502</v>
      </c>
      <c r="CH18" s="647">
        <f>SUM(CF18:CG18)</f>
        <v>2.0736479200422764E-10</v>
      </c>
      <c r="CM18" s="1016">
        <f>ROW()</f>
        <v>18</v>
      </c>
      <c r="CN18" s="1823" t="s">
        <v>264</v>
      </c>
      <c r="CO18" s="1824"/>
      <c r="CP18" s="1066"/>
      <c r="CQ18" s="1838">
        <v>-30085058.84</v>
      </c>
      <c r="CR18" s="1838">
        <f>CP18+CQ18</f>
        <v>-30085058.84</v>
      </c>
      <c r="CS18" s="1838">
        <f>CT18-CR18</f>
        <v>0</v>
      </c>
      <c r="CT18" s="1838">
        <v>-30085058.84</v>
      </c>
      <c r="CU18" s="1838">
        <f>CV18-CT18</f>
        <v>0</v>
      </c>
      <c r="CV18" s="1838">
        <v>-30085058.84</v>
      </c>
      <c r="CW18" s="1838">
        <f>CX18-CV18</f>
        <v>0</v>
      </c>
      <c r="CX18" s="1838">
        <v>-30085058.840000004</v>
      </c>
      <c r="CY18" s="1838">
        <f>CZ18-CX18</f>
        <v>0</v>
      </c>
      <c r="CZ18" s="1838">
        <v>-30085058.840000004</v>
      </c>
    </row>
    <row r="19" spans="1:104" s="1" customFormat="1" ht="15.75" x14ac:dyDescent="0.25">
      <c r="A19" s="30">
        <f>ROW()</f>
        <v>19</v>
      </c>
      <c r="B19" s="1214"/>
      <c r="C19" s="20"/>
      <c r="D19" s="1816"/>
      <c r="E19" s="1816"/>
      <c r="F19" s="1816"/>
      <c r="G19" s="1816"/>
      <c r="H19" s="1816"/>
      <c r="I19" s="1815"/>
      <c r="J19" s="1815"/>
      <c r="K19" s="1815"/>
      <c r="L19" s="1815"/>
      <c r="M19" s="1815"/>
      <c r="N19" s="1815"/>
      <c r="O19" s="1815"/>
      <c r="P19" s="1815"/>
      <c r="Q19" s="1815"/>
      <c r="R19" s="1815"/>
      <c r="S19" s="482">
        <f>ROW()</f>
        <v>19</v>
      </c>
      <c r="T19" s="842"/>
      <c r="U19" s="8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82">
        <v>3</v>
      </c>
      <c r="AL19" s="983"/>
      <c r="AM19" s="983"/>
      <c r="AN19" s="21"/>
      <c r="AO19" s="21"/>
      <c r="AP19" s="1837"/>
      <c r="AQ19" s="21"/>
      <c r="AR19" s="984"/>
      <c r="AS19" s="984"/>
      <c r="AT19" s="984"/>
      <c r="AU19" s="984"/>
      <c r="AV19" s="984"/>
      <c r="AW19" s="984"/>
      <c r="AX19" s="984"/>
      <c r="AY19" s="984"/>
      <c r="AZ19" s="984"/>
      <c r="BA19" s="984"/>
      <c r="BB19" s="984"/>
      <c r="BC19" s="22">
        <f>ROW()</f>
        <v>19</v>
      </c>
      <c r="BD19" s="75" t="s">
        <v>470</v>
      </c>
      <c r="BE19"/>
      <c r="BF19" s="972"/>
      <c r="BG19" s="972"/>
      <c r="BH19" s="980">
        <v>243110912.17458329</v>
      </c>
      <c r="BI19" s="980">
        <f>-BH19</f>
        <v>-243110912.17458329</v>
      </c>
      <c r="BJ19" s="980">
        <f>BH19+BI19</f>
        <v>0</v>
      </c>
      <c r="BK19" s="980"/>
      <c r="BL19" s="980">
        <f>BJ19+BK19</f>
        <v>0</v>
      </c>
      <c r="BM19" s="980"/>
      <c r="BN19" s="980">
        <f>BL19+BM19</f>
        <v>0</v>
      </c>
      <c r="BO19" s="980"/>
      <c r="BP19" s="980">
        <f>BN19+BO19</f>
        <v>0</v>
      </c>
      <c r="BQ19" s="980"/>
      <c r="BR19" s="980"/>
      <c r="BS19" s="980"/>
      <c r="BT19" s="980"/>
      <c r="BU19" s="1016">
        <f>ROW()</f>
        <v>19</v>
      </c>
      <c r="BV19" s="971" t="s">
        <v>1020</v>
      </c>
      <c r="BW19" s="647"/>
      <c r="BX19" s="972"/>
      <c r="BY19" s="972"/>
      <c r="BZ19" s="647">
        <v>4058639.94</v>
      </c>
      <c r="CA19" s="647">
        <v>-1108460.0364580778</v>
      </c>
      <c r="CB19" s="647">
        <f>SUM(BZ19:CA19)</f>
        <v>2950179.9035419221</v>
      </c>
      <c r="CC19" s="647">
        <v>-1463289.1713519664</v>
      </c>
      <c r="CD19" s="647">
        <f>SUM(CB19:CC19)</f>
        <v>1486890.7321899557</v>
      </c>
      <c r="CE19" s="647">
        <v>-731644.58567598346</v>
      </c>
      <c r="CF19" s="647">
        <f>SUM(CD19:CE19)</f>
        <v>755246.1465139722</v>
      </c>
      <c r="CG19" s="647">
        <v>-755246.1465139722</v>
      </c>
      <c r="CH19" s="647">
        <f>SUM(CF19:CG19)</f>
        <v>0</v>
      </c>
      <c r="CI19" s="647"/>
      <c r="CJ19" s="647"/>
      <c r="CK19" s="647">
        <f>CL19-CJ19</f>
        <v>0</v>
      </c>
      <c r="CL19" s="647"/>
      <c r="CM19" s="1016">
        <f>ROW()</f>
        <v>19</v>
      </c>
      <c r="CN19" s="1823" t="s">
        <v>480</v>
      </c>
      <c r="CO19" s="1824"/>
      <c r="CP19" s="1821"/>
      <c r="CQ19" s="1821">
        <v>4064631.3855987983</v>
      </c>
      <c r="CR19" s="1821">
        <f>CP19+CQ19</f>
        <v>4064631.3855987983</v>
      </c>
      <c r="CS19" s="1821">
        <f>CT19-CR19</f>
        <v>343654.17358200159</v>
      </c>
      <c r="CT19" s="1821">
        <v>4408285.5591807999</v>
      </c>
      <c r="CU19" s="1821">
        <f>CV19-CT19</f>
        <v>687308.34716399759</v>
      </c>
      <c r="CV19" s="1821">
        <v>5095593.9063447975</v>
      </c>
      <c r="CW19" s="1821">
        <f>CX19-CV19</f>
        <v>474005.37201899756</v>
      </c>
      <c r="CX19" s="1821">
        <v>5569599.278363795</v>
      </c>
      <c r="CY19" s="1821">
        <f>CZ19-CX19</f>
        <v>948010.74403799605</v>
      </c>
      <c r="CZ19" s="1821">
        <v>6517610.0224017911</v>
      </c>
    </row>
    <row r="20" spans="1:104" s="1" customFormat="1" ht="15.75" x14ac:dyDescent="0.25">
      <c r="A20" s="30">
        <f>ROW()</f>
        <v>20</v>
      </c>
      <c r="B20" s="1214"/>
      <c r="C20" s="1214"/>
      <c r="D20" s="1816"/>
      <c r="E20" s="1816"/>
      <c r="F20" s="1816"/>
      <c r="G20" s="1816"/>
      <c r="H20" s="1816"/>
      <c r="I20" s="1815"/>
      <c r="J20" s="1815"/>
      <c r="K20" s="1815"/>
      <c r="L20" s="1815"/>
      <c r="M20" s="1815"/>
      <c r="N20" s="1815"/>
      <c r="O20" s="1815"/>
      <c r="P20" s="1815"/>
      <c r="Q20" s="1815"/>
      <c r="R20" s="1815"/>
      <c r="S20" s="482">
        <f>ROW()</f>
        <v>20</v>
      </c>
      <c r="T20" s="842"/>
      <c r="U20" s="1836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82">
        <v>4</v>
      </c>
      <c r="AL20" s="983"/>
      <c r="AM20" s="547"/>
      <c r="AN20" s="63"/>
      <c r="AO20" s="63"/>
      <c r="AP20" s="63"/>
      <c r="AQ20" s="63"/>
      <c r="AR20" s="724"/>
      <c r="AS20" s="724"/>
      <c r="AT20" s="724"/>
      <c r="AU20" s="724"/>
      <c r="AV20" s="724"/>
      <c r="AW20" s="724"/>
      <c r="AX20" s="724"/>
      <c r="AY20" s="724"/>
      <c r="AZ20" s="724"/>
      <c r="BA20" s="724"/>
      <c r="BB20" s="724"/>
      <c r="BC20" s="22">
        <f>ROW()</f>
        <v>20</v>
      </c>
      <c r="BD20" s="75" t="s">
        <v>1019</v>
      </c>
      <c r="BE20"/>
      <c r="BF20" s="972"/>
      <c r="BG20" s="972"/>
      <c r="BH20" s="64">
        <v>-8669863.8600160964</v>
      </c>
      <c r="BI20" s="64">
        <f>-BH20</f>
        <v>8669863.8600160964</v>
      </c>
      <c r="BJ20" s="64">
        <f>BH20+BI20</f>
        <v>0</v>
      </c>
      <c r="BK20" s="64"/>
      <c r="BL20" s="64">
        <f>BJ20+BK20</f>
        <v>0</v>
      </c>
      <c r="BM20" s="1793"/>
      <c r="BN20" s="64">
        <f>BL20+BM20</f>
        <v>0</v>
      </c>
      <c r="BO20" s="1793"/>
      <c r="BP20" s="64">
        <f>BN20+BO20</f>
        <v>0</v>
      </c>
      <c r="BQ20" s="64"/>
      <c r="BR20" s="64"/>
      <c r="BS20" s="64"/>
      <c r="BT20" s="64"/>
      <c r="BU20" s="1016">
        <f>ROW()</f>
        <v>20</v>
      </c>
      <c r="BV20" s="971" t="s">
        <v>1018</v>
      </c>
      <c r="BW20" s="647"/>
      <c r="BX20" s="972"/>
      <c r="BY20" s="972"/>
      <c r="BZ20" s="647">
        <v>12255554.91</v>
      </c>
      <c r="CA20" s="647">
        <v>-1680423.4394122437</v>
      </c>
      <c r="CB20" s="647">
        <f>SUM(BZ20:CA20)</f>
        <v>10575131.470587756</v>
      </c>
      <c r="CC20" s="647">
        <v>-4072745.7299415851</v>
      </c>
      <c r="CD20" s="647">
        <f>SUM(CB20:CC20)</f>
        <v>6502385.7406461714</v>
      </c>
      <c r="CE20" s="647">
        <v>-2041472.4174067508</v>
      </c>
      <c r="CF20" s="647">
        <f>SUM(CD20:CE20)</f>
        <v>4460913.3232394205</v>
      </c>
      <c r="CG20" s="647">
        <v>-3178256.2344094831</v>
      </c>
      <c r="CH20" s="647">
        <f>SUM(CF20:CG20)</f>
        <v>1282657.0888299374</v>
      </c>
      <c r="CI20" s="647"/>
      <c r="CJ20" s="647"/>
      <c r="CK20" s="647">
        <f>CL20-CJ20</f>
        <v>0</v>
      </c>
      <c r="CL20" s="647"/>
      <c r="CM20" s="1016">
        <f>ROW()</f>
        <v>20</v>
      </c>
      <c r="CN20" s="1823" t="s">
        <v>1017</v>
      </c>
      <c r="CO20" s="1824"/>
      <c r="CP20" s="1821"/>
      <c r="CQ20" s="1821">
        <v>362330.08114927221</v>
      </c>
      <c r="CR20" s="1821">
        <f>CP20+CQ20</f>
        <v>362330.08114927221</v>
      </c>
      <c r="CS20" s="1821">
        <f>CT20-CR20</f>
        <v>74624.310999999871</v>
      </c>
      <c r="CT20" s="1821">
        <v>436954.39214927208</v>
      </c>
      <c r="CU20" s="1821">
        <f>CV20-CT20</f>
        <v>149248.62200000003</v>
      </c>
      <c r="CV20" s="1821">
        <v>586203.01414927212</v>
      </c>
      <c r="CW20" s="1821">
        <f>CX20-CV20</f>
        <v>74624.311000000336</v>
      </c>
      <c r="CX20" s="1821">
        <v>660827.32514927245</v>
      </c>
      <c r="CY20" s="1821">
        <f>CZ20-CX20</f>
        <v>149248.62200000021</v>
      </c>
      <c r="CZ20" s="1821">
        <v>810075.94714927266</v>
      </c>
    </row>
    <row r="21" spans="1:104" s="1" customFormat="1" ht="15.75" x14ac:dyDescent="0.25">
      <c r="A21" s="30">
        <f>ROW()</f>
        <v>21</v>
      </c>
      <c r="B21" s="1214"/>
      <c r="C21" s="1214"/>
      <c r="D21" s="1816"/>
      <c r="E21" s="1816"/>
      <c r="F21" s="1816"/>
      <c r="G21" s="1816"/>
      <c r="H21" s="1816"/>
      <c r="I21" s="1815"/>
      <c r="J21" s="1815"/>
      <c r="K21" s="1815"/>
      <c r="L21" s="1815"/>
      <c r="M21" s="1815"/>
      <c r="N21" s="1815"/>
      <c r="O21" s="1815"/>
      <c r="P21" s="1815"/>
      <c r="Q21" s="1815"/>
      <c r="R21" s="1815"/>
      <c r="S21" s="482">
        <f>ROW()</f>
        <v>21</v>
      </c>
      <c r="T21" s="1831"/>
      <c r="U21" s="89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82">
        <v>5</v>
      </c>
      <c r="AL21" s="983"/>
      <c r="AM21" s="547"/>
      <c r="AN21" s="63"/>
      <c r="AO21" s="63"/>
      <c r="AP21" s="63"/>
      <c r="AQ21" s="63"/>
      <c r="AR21" s="724"/>
      <c r="AS21" s="1712"/>
      <c r="AT21" s="1712"/>
      <c r="AU21" s="1712"/>
      <c r="AV21" s="1712"/>
      <c r="AW21" s="1712"/>
      <c r="AX21" s="1712"/>
      <c r="AY21" s="1712"/>
      <c r="AZ21" s="1712"/>
      <c r="BA21" s="1712"/>
      <c r="BB21" s="1712"/>
      <c r="BC21" s="22">
        <f>ROW()</f>
        <v>21</v>
      </c>
      <c r="BD21" s="75" t="s">
        <v>484</v>
      </c>
      <c r="BE21" s="1724"/>
      <c r="BF21" s="972"/>
      <c r="BG21" s="972"/>
      <c r="BH21" s="64">
        <v>-1991160.0561322786</v>
      </c>
      <c r="BI21" s="64">
        <f>-BH21</f>
        <v>1991160.0561322786</v>
      </c>
      <c r="BJ21" s="64">
        <f>BH21+BI21</f>
        <v>0</v>
      </c>
      <c r="BK21" s="64"/>
      <c r="BL21" s="64">
        <f>BJ21+BK21</f>
        <v>0</v>
      </c>
      <c r="BM21" s="1793"/>
      <c r="BN21" s="64">
        <f>BL21+BM21</f>
        <v>0</v>
      </c>
      <c r="BO21" s="1793"/>
      <c r="BP21" s="64">
        <f>BN21+BO21</f>
        <v>0</v>
      </c>
      <c r="BQ21" s="64"/>
      <c r="BR21" s="64"/>
      <c r="BS21" s="64"/>
      <c r="BT21" s="64"/>
      <c r="BU21" s="1016">
        <f>ROW()</f>
        <v>21</v>
      </c>
      <c r="BV21" s="971" t="s">
        <v>989</v>
      </c>
      <c r="BW21" s="647"/>
      <c r="BX21" s="972"/>
      <c r="BY21" s="972"/>
      <c r="BZ21" s="647">
        <v>0</v>
      </c>
      <c r="CA21" s="647">
        <v>29431496.874688182</v>
      </c>
      <c r="CB21" s="647">
        <f>SUM(BZ21:CA21)</f>
        <v>29431496.874688182</v>
      </c>
      <c r="CC21" s="647">
        <v>-1477732.0606537983</v>
      </c>
      <c r="CD21" s="647">
        <f>SUM(CB21:CC21)</f>
        <v>27953764.814034384</v>
      </c>
      <c r="CE21" s="647">
        <v>-738866.03032688424</v>
      </c>
      <c r="CF21" s="647">
        <f>SUM(CD21:CE21)</f>
        <v>27214898.7837075</v>
      </c>
      <c r="CG21" s="647">
        <v>-1477732.0606537983</v>
      </c>
      <c r="CH21" s="647">
        <f>SUM(CF21:CG21)</f>
        <v>25737166.723053701</v>
      </c>
      <c r="CI21" s="647"/>
      <c r="CJ21" s="647"/>
      <c r="CK21" s="647">
        <f>CL21-CJ21</f>
        <v>0</v>
      </c>
      <c r="CL21" s="647"/>
      <c r="CM21" s="1016">
        <f>ROW()</f>
        <v>21</v>
      </c>
      <c r="CN21" s="1823" t="s">
        <v>107</v>
      </c>
      <c r="CO21" s="1824"/>
      <c r="CP21" s="1821"/>
      <c r="CQ21" s="1821">
        <v>1440049.9416229667</v>
      </c>
      <c r="CR21" s="1821">
        <f>CP21+CQ21</f>
        <v>1440049.9416229667</v>
      </c>
      <c r="CS21" s="1821">
        <f>CT21-CR21</f>
        <v>70126.434854447376</v>
      </c>
      <c r="CT21" s="1821">
        <v>1510176.376477414</v>
      </c>
      <c r="CU21" s="1821">
        <f>CV21-CT21</f>
        <v>116588.72802074533</v>
      </c>
      <c r="CV21" s="1821">
        <v>1626765.1044981594</v>
      </c>
      <c r="CW21" s="1821">
        <f>CX21-CV21</f>
        <v>28009.93888345873</v>
      </c>
      <c r="CX21" s="1821">
        <v>1654775.0433816181</v>
      </c>
      <c r="CY21" s="1821">
        <f>CZ21-CX21</f>
        <v>54930.069817058044</v>
      </c>
      <c r="CZ21" s="1821">
        <v>1709705.1131986761</v>
      </c>
    </row>
    <row r="22" spans="1:104" s="1" customFormat="1" ht="16.5" thickBot="1" x14ac:dyDescent="0.3">
      <c r="A22" s="30">
        <f>ROW()</f>
        <v>22</v>
      </c>
      <c r="B22" s="20"/>
      <c r="C22" s="20"/>
      <c r="D22" s="1816"/>
      <c r="E22" s="1816"/>
      <c r="F22" s="1816"/>
      <c r="G22" s="1816"/>
      <c r="H22" s="1816"/>
      <c r="I22" s="1815"/>
      <c r="J22" s="1815"/>
      <c r="K22" s="1815"/>
      <c r="L22" s="1815"/>
      <c r="M22" s="1815"/>
      <c r="N22" s="1815"/>
      <c r="O22" s="1815"/>
      <c r="P22" s="1815"/>
      <c r="Q22" s="1815"/>
      <c r="R22" s="1815"/>
      <c r="S22" s="482">
        <f>ROW()</f>
        <v>22</v>
      </c>
      <c r="T22" s="1831"/>
      <c r="U22" s="1831"/>
      <c r="V22" s="20"/>
      <c r="W22" s="20"/>
      <c r="X22" s="20"/>
      <c r="Y22" s="20"/>
      <c r="Z22" s="20"/>
      <c r="AK22" s="482">
        <v>12</v>
      </c>
      <c r="AL22" s="513"/>
      <c r="AM22" s="547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22">
        <f>ROW()</f>
        <v>22</v>
      </c>
      <c r="BD22" s="971" t="s">
        <v>1016</v>
      </c>
      <c r="BE22"/>
      <c r="BF22" s="68">
        <f t="shared" ref="BF22:BP22" si="0">SUM(BF19:BF21)</f>
        <v>0</v>
      </c>
      <c r="BG22" s="68">
        <f t="shared" si="0"/>
        <v>0</v>
      </c>
      <c r="BH22" s="68">
        <f t="shared" si="0"/>
        <v>232449888.25843489</v>
      </c>
      <c r="BI22" s="68">
        <f t="shared" si="0"/>
        <v>-232449888.25843489</v>
      </c>
      <c r="BJ22" s="68">
        <f t="shared" si="0"/>
        <v>0</v>
      </c>
      <c r="BK22" s="68">
        <f t="shared" si="0"/>
        <v>0</v>
      </c>
      <c r="BL22" s="68">
        <f t="shared" si="0"/>
        <v>0</v>
      </c>
      <c r="BM22" s="1814">
        <f t="shared" si="0"/>
        <v>0</v>
      </c>
      <c r="BN22" s="68">
        <f t="shared" si="0"/>
        <v>0</v>
      </c>
      <c r="BO22" s="1814">
        <f t="shared" si="0"/>
        <v>0</v>
      </c>
      <c r="BP22" s="68">
        <f t="shared" si="0"/>
        <v>0</v>
      </c>
      <c r="BQ22" s="68"/>
      <c r="BR22" s="68"/>
      <c r="BS22" s="68"/>
      <c r="BT22" s="68"/>
      <c r="BU22" s="1016">
        <f>ROW()</f>
        <v>22</v>
      </c>
      <c r="BV22" s="1017" t="s">
        <v>533</v>
      </c>
      <c r="BW22" s="1017"/>
      <c r="BX22" s="62">
        <f t="shared" ref="BX22:CL22" si="1">SUM(BX17:BX21)</f>
        <v>0</v>
      </c>
      <c r="BY22" s="62">
        <f t="shared" si="1"/>
        <v>0</v>
      </c>
      <c r="BZ22" s="62">
        <f t="shared" si="1"/>
        <v>21581443.490000002</v>
      </c>
      <c r="CA22" s="62">
        <f t="shared" si="1"/>
        <v>24719599.411719471</v>
      </c>
      <c r="CB22" s="62">
        <f t="shared" si="1"/>
        <v>46301042.901719466</v>
      </c>
      <c r="CC22" s="62">
        <f t="shared" si="1"/>
        <v>-8672507.3526021317</v>
      </c>
      <c r="CD22" s="62">
        <f t="shared" si="1"/>
        <v>37628535.549117342</v>
      </c>
      <c r="CE22" s="62">
        <f t="shared" si="1"/>
        <v>-5170723.4230644014</v>
      </c>
      <c r="CF22" s="62">
        <f t="shared" si="1"/>
        <v>32457812.126052938</v>
      </c>
      <c r="CG22" s="62">
        <f t="shared" si="1"/>
        <v>-5437988.3141692989</v>
      </c>
      <c r="CH22" s="62">
        <f t="shared" si="1"/>
        <v>27019823.81188364</v>
      </c>
      <c r="CI22" s="62">
        <f t="shared" si="1"/>
        <v>0</v>
      </c>
      <c r="CJ22" s="62">
        <f t="shared" si="1"/>
        <v>0</v>
      </c>
      <c r="CK22" s="62">
        <f t="shared" si="1"/>
        <v>0</v>
      </c>
      <c r="CL22" s="62">
        <f t="shared" si="1"/>
        <v>0</v>
      </c>
      <c r="CM22" s="1016">
        <f>ROW()</f>
        <v>22</v>
      </c>
      <c r="CN22" s="1835" t="s">
        <v>492</v>
      </c>
      <c r="CO22" s="1829"/>
      <c r="CP22" s="993">
        <f t="shared" ref="CP22:CZ22" si="2">SUM(CP18:CP21)</f>
        <v>0</v>
      </c>
      <c r="CQ22" s="993">
        <f t="shared" si="2"/>
        <v>-24218047.431628965</v>
      </c>
      <c r="CR22" s="993">
        <f t="shared" si="2"/>
        <v>-24218047.431628965</v>
      </c>
      <c r="CS22" s="993">
        <f t="shared" si="2"/>
        <v>488404.91943644884</v>
      </c>
      <c r="CT22" s="993">
        <f t="shared" si="2"/>
        <v>-23729642.512192514</v>
      </c>
      <c r="CU22" s="993">
        <f t="shared" si="2"/>
        <v>953145.69718474289</v>
      </c>
      <c r="CV22" s="993">
        <f t="shared" si="2"/>
        <v>-22776496.815007772</v>
      </c>
      <c r="CW22" s="993">
        <f t="shared" si="2"/>
        <v>576639.62190245662</v>
      </c>
      <c r="CX22" s="993">
        <f t="shared" si="2"/>
        <v>-22199857.193105321</v>
      </c>
      <c r="CY22" s="993">
        <f t="shared" si="2"/>
        <v>1152189.4358550543</v>
      </c>
      <c r="CZ22" s="993">
        <f t="shared" si="2"/>
        <v>-21047667.757250264</v>
      </c>
    </row>
    <row r="23" spans="1:104" s="1" customFormat="1" ht="16.5" thickTop="1" x14ac:dyDescent="0.25">
      <c r="A23" s="30">
        <f>ROW()</f>
        <v>23</v>
      </c>
      <c r="B23" s="1214"/>
      <c r="C23" s="1214"/>
      <c r="D23" s="1816"/>
      <c r="E23" s="1816"/>
      <c r="F23" s="1816"/>
      <c r="G23" s="1816"/>
      <c r="H23" s="1816"/>
      <c r="I23" s="1815"/>
      <c r="J23" s="1815"/>
      <c r="K23" s="1815"/>
      <c r="L23" s="1815"/>
      <c r="M23" s="1815"/>
      <c r="N23" s="1815"/>
      <c r="O23" s="1815"/>
      <c r="P23" s="1815"/>
      <c r="Q23" s="1815"/>
      <c r="R23" s="1815"/>
      <c r="S23" s="482">
        <f>ROW()</f>
        <v>23</v>
      </c>
      <c r="T23" s="1831"/>
      <c r="U23" s="699"/>
      <c r="V23" s="42"/>
      <c r="W23" s="42"/>
      <c r="X23" s="42"/>
      <c r="Y23" s="42"/>
      <c r="Z23" s="42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482">
        <v>13</v>
      </c>
      <c r="AL23" s="513"/>
      <c r="AM23" s="547"/>
      <c r="AN23" s="21"/>
      <c r="AO23" s="21"/>
      <c r="AP23" s="63"/>
      <c r="AQ23" s="21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22">
        <f>ROW()</f>
        <v>23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 s="1016">
        <f>ROW()</f>
        <v>23</v>
      </c>
      <c r="BV23" s="971"/>
      <c r="BW23" s="971"/>
      <c r="BX23" s="1834">
        <v>0</v>
      </c>
      <c r="BY23" s="1833"/>
      <c r="BZ23" s="1832"/>
      <c r="CA23" s="1086"/>
      <c r="CB23" s="1832">
        <v>0</v>
      </c>
      <c r="CC23" s="1086"/>
      <c r="CD23" s="1832">
        <v>0</v>
      </c>
      <c r="CE23" s="1086"/>
      <c r="CF23" s="1832">
        <v>0</v>
      </c>
      <c r="CG23" s="1086"/>
      <c r="CH23" s="1832">
        <v>0</v>
      </c>
      <c r="CI23" s="1832"/>
      <c r="CJ23" s="1832"/>
      <c r="CK23" s="1805"/>
      <c r="CL23" s="1832"/>
      <c r="CM23" s="1016">
        <f>ROW()</f>
        <v>23</v>
      </c>
      <c r="CN23" s="424" t="s">
        <v>306</v>
      </c>
      <c r="CO23" s="1829"/>
      <c r="CP23" s="1063"/>
      <c r="CQ23" s="1063"/>
      <c r="CR23" s="1063"/>
      <c r="CS23" s="1063"/>
      <c r="CT23" s="1063"/>
      <c r="CU23" s="1063"/>
      <c r="CV23" s="1063"/>
      <c r="CW23" s="1063"/>
      <c r="CX23" s="1063"/>
      <c r="CY23" s="1063"/>
      <c r="CZ23" s="1063"/>
    </row>
    <row r="24" spans="1:104" ht="15.75" x14ac:dyDescent="0.25">
      <c r="A24" s="30">
        <f>ROW()</f>
        <v>24</v>
      </c>
      <c r="B24" s="1214"/>
      <c r="C24" s="1214"/>
      <c r="D24" s="1816"/>
      <c r="E24" s="1816"/>
      <c r="F24" s="1816"/>
      <c r="G24" s="1816"/>
      <c r="H24" s="1816"/>
      <c r="I24" s="1815"/>
      <c r="J24" s="1815"/>
      <c r="K24" s="1815"/>
      <c r="L24" s="1815"/>
      <c r="M24" s="1815"/>
      <c r="N24" s="1815"/>
      <c r="O24" s="1815"/>
      <c r="P24" s="1815"/>
      <c r="Q24" s="1815"/>
      <c r="R24" s="1815"/>
      <c r="S24" s="482">
        <f>ROW()</f>
        <v>24</v>
      </c>
      <c r="T24" s="1831"/>
      <c r="U24" s="1831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482">
        <v>14</v>
      </c>
      <c r="AL24" s="513"/>
      <c r="AM24" s="547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22">
        <f>ROW()</f>
        <v>24</v>
      </c>
      <c r="BD24" s="958" t="s">
        <v>482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 s="1016">
        <f>ROW()</f>
        <v>24</v>
      </c>
      <c r="BV24" s="1026" t="s">
        <v>554</v>
      </c>
      <c r="BW24" s="1027"/>
      <c r="BX24" s="1027"/>
      <c r="BY24" s="1027"/>
      <c r="BZ24" s="1027"/>
      <c r="CA24" s="1027"/>
      <c r="CB24" s="1027"/>
      <c r="CC24" s="1027"/>
      <c r="CD24" s="1027"/>
      <c r="CE24" s="1027"/>
      <c r="CF24" s="1027"/>
      <c r="CG24" s="1027"/>
      <c r="CH24" s="1027"/>
      <c r="CI24" s="317"/>
      <c r="CJ24" s="317"/>
      <c r="CK24" s="317"/>
      <c r="CL24" s="317"/>
      <c r="CM24" s="1016">
        <f>ROW()</f>
        <v>24</v>
      </c>
      <c r="CN24" s="1830" t="s">
        <v>604</v>
      </c>
      <c r="CO24" s="1829"/>
      <c r="CP24" s="1063"/>
      <c r="CQ24" s="1063"/>
      <c r="CR24" s="1063"/>
      <c r="CS24" s="1063"/>
      <c r="CT24" s="1063"/>
      <c r="CU24" s="1063"/>
      <c r="CV24" s="1063"/>
      <c r="CW24" s="1063"/>
      <c r="CX24" s="1063"/>
      <c r="CY24" s="1063"/>
      <c r="CZ24" s="1063"/>
    </row>
    <row r="25" spans="1:104" ht="15.75" x14ac:dyDescent="0.25">
      <c r="A25" s="30">
        <f>ROW()</f>
        <v>25</v>
      </c>
      <c r="B25" s="1214"/>
      <c r="C25" s="1214"/>
      <c r="D25" s="1816"/>
      <c r="E25" s="1816"/>
      <c r="F25" s="1816"/>
      <c r="G25" s="1816"/>
      <c r="H25" s="1816"/>
      <c r="I25" s="1815"/>
      <c r="J25" s="1815"/>
      <c r="K25" s="1815"/>
      <c r="L25" s="1815"/>
      <c r="M25" s="1815"/>
      <c r="N25" s="1815"/>
      <c r="O25" s="1815"/>
      <c r="P25" s="1815"/>
      <c r="Q25" s="1815"/>
      <c r="R25" s="1815"/>
      <c r="AK25" s="482">
        <v>15</v>
      </c>
      <c r="AL25" s="513"/>
      <c r="AM25" s="547"/>
      <c r="AN25" s="63"/>
      <c r="AO25" s="63"/>
      <c r="AP25" s="63"/>
      <c r="AQ25" s="63"/>
      <c r="AR25" s="63"/>
      <c r="AS25" s="668"/>
      <c r="AT25" s="668"/>
      <c r="AU25" s="668"/>
      <c r="AV25" s="668"/>
      <c r="AW25" s="668"/>
      <c r="AX25" s="668"/>
      <c r="AY25" s="668"/>
      <c r="AZ25" s="668"/>
      <c r="BA25" s="668"/>
      <c r="BB25" s="668"/>
      <c r="BC25" s="22">
        <f>ROW()</f>
        <v>25</v>
      </c>
      <c r="BD25" s="75" t="s">
        <v>1015</v>
      </c>
      <c r="BE25"/>
      <c r="BF25" s="972"/>
      <c r="BG25" s="972"/>
      <c r="BH25" s="980">
        <v>8669863.8600160964</v>
      </c>
      <c r="BI25" s="980">
        <f t="shared" ref="BI25:BI30" si="3">-BH25</f>
        <v>-8669863.8600160964</v>
      </c>
      <c r="BJ25" s="980">
        <f t="shared" ref="BJ25:BJ30" si="4">BH25+BI25</f>
        <v>0</v>
      </c>
      <c r="BK25" s="980"/>
      <c r="BL25" s="980">
        <f t="shared" ref="BL25:BL30" si="5">BJ25+BK25</f>
        <v>0</v>
      </c>
      <c r="BM25" s="1798"/>
      <c r="BN25" s="980">
        <f t="shared" ref="BN25:BN30" si="6">BL25+BM25</f>
        <v>0</v>
      </c>
      <c r="BO25" s="980"/>
      <c r="BP25" s="980">
        <f t="shared" ref="BP25:BP30" si="7">BN25+BO25</f>
        <v>0</v>
      </c>
      <c r="BQ25" s="980"/>
      <c r="BR25" s="980"/>
      <c r="BS25" s="980"/>
      <c r="BT25" s="980"/>
      <c r="BU25" s="1016">
        <f>ROW()</f>
        <v>25</v>
      </c>
      <c r="BV25" s="1026" t="s">
        <v>558</v>
      </c>
      <c r="BW25" s="1027"/>
      <c r="BX25" s="1030"/>
      <c r="BY25" s="1030"/>
      <c r="BZ25" s="1828">
        <v>25913928.649999999</v>
      </c>
      <c r="CA25" s="1828">
        <v>31505890.107479818</v>
      </c>
      <c r="CB25" s="1828">
        <f>SUM(BZ25:CA25)</f>
        <v>57419818.757479817</v>
      </c>
      <c r="CC25" s="1828">
        <v>-10489888.836809613</v>
      </c>
      <c r="CD25" s="1828">
        <f>SUM(CB25:CC25)</f>
        <v>46929929.920670204</v>
      </c>
      <c r="CE25" s="1828">
        <v>-6301235.2377254888</v>
      </c>
      <c r="CF25" s="1828">
        <f>SUM(CD25:CE25)</f>
        <v>40628694.682944715</v>
      </c>
      <c r="CG25" s="1828">
        <v>-6604602.5850778967</v>
      </c>
      <c r="CH25" s="1828">
        <f>SUM(CF25:CG25)</f>
        <v>34024092.097866818</v>
      </c>
      <c r="CI25" s="1033"/>
      <c r="CJ25" s="1827"/>
      <c r="CK25" s="1033">
        <f>CL25-CJ25</f>
        <v>0</v>
      </c>
      <c r="CL25" s="1827"/>
      <c r="CM25" s="1016">
        <f>ROW()</f>
        <v>25</v>
      </c>
      <c r="CN25" s="1823" t="s">
        <v>360</v>
      </c>
      <c r="CO25" s="1824"/>
      <c r="CP25" s="1066"/>
      <c r="CQ25" s="1066">
        <v>-689507.20602600183</v>
      </c>
      <c r="CR25" s="1066">
        <f>CQ25+CP25</f>
        <v>-689507.20602600183</v>
      </c>
      <c r="CS25" s="1066">
        <v>-343654.17358200159</v>
      </c>
      <c r="CT25" s="1066">
        <f>CS25+CQ25</f>
        <v>-1033161.3796080034</v>
      </c>
      <c r="CU25" s="1066">
        <v>-687308.34716399759</v>
      </c>
      <c r="CV25" s="1066">
        <f>CT25+CU25</f>
        <v>-1720469.726772001</v>
      </c>
      <c r="CW25" s="1066">
        <v>-542973.59425955813</v>
      </c>
      <c r="CX25" s="1066">
        <f>CV25+CW25</f>
        <v>-2263443.3210315593</v>
      </c>
      <c r="CY25" s="1066">
        <v>-748928.48779001692</v>
      </c>
      <c r="CZ25" s="1066">
        <f>CX25+CY25</f>
        <v>-3012371.8088215762</v>
      </c>
    </row>
    <row r="26" spans="1:104" ht="15.75" x14ac:dyDescent="0.25">
      <c r="A26" s="30">
        <f>ROW()</f>
        <v>26</v>
      </c>
      <c r="B26" s="4"/>
      <c r="C26" s="842"/>
      <c r="D26" s="1813"/>
      <c r="E26" s="1813"/>
      <c r="F26" s="1813"/>
      <c r="G26" s="1813"/>
      <c r="H26" s="1813"/>
      <c r="I26" s="1813"/>
      <c r="J26" s="1813"/>
      <c r="K26" s="1813"/>
      <c r="L26" s="1813"/>
      <c r="M26" s="1813"/>
      <c r="N26" s="1813"/>
      <c r="O26" s="1813"/>
      <c r="P26" s="1813"/>
      <c r="Q26" s="1813"/>
      <c r="R26" s="1813"/>
      <c r="AK26" s="482">
        <v>16</v>
      </c>
      <c r="AL26" s="513"/>
      <c r="AM26" s="547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22">
        <f>ROW()</f>
        <v>26</v>
      </c>
      <c r="BD26" s="75" t="s">
        <v>1014</v>
      </c>
      <c r="BE26"/>
      <c r="BF26" s="972"/>
      <c r="BG26" s="972"/>
      <c r="BH26" s="64">
        <v>7192132.5900000008</v>
      </c>
      <c r="BI26" s="64">
        <f t="shared" si="3"/>
        <v>-7192132.5900000008</v>
      </c>
      <c r="BJ26" s="64">
        <f t="shared" si="4"/>
        <v>0</v>
      </c>
      <c r="BK26" s="64"/>
      <c r="BL26" s="64">
        <f t="shared" si="5"/>
        <v>0</v>
      </c>
      <c r="BM26" s="1793"/>
      <c r="BN26" s="64">
        <f t="shared" si="6"/>
        <v>0</v>
      </c>
      <c r="BO26" s="64"/>
      <c r="BP26" s="64">
        <f t="shared" si="7"/>
        <v>0</v>
      </c>
      <c r="BQ26" s="64"/>
      <c r="BR26" s="64"/>
      <c r="BS26" s="64"/>
      <c r="BT26" s="64"/>
      <c r="BU26" s="1016">
        <f>ROW()</f>
        <v>26</v>
      </c>
      <c r="BV26" s="1026" t="s">
        <v>277</v>
      </c>
      <c r="BW26" s="1027"/>
      <c r="BX26" s="1030"/>
      <c r="BY26" s="1030"/>
      <c r="BZ26" s="1828">
        <v>-4332485.1600000011</v>
      </c>
      <c r="CA26" s="1828">
        <v>-6786290.6957603497</v>
      </c>
      <c r="CB26" s="1828">
        <f>SUM(BZ26:CA26)</f>
        <v>-11118775.855760351</v>
      </c>
      <c r="CC26" s="1828">
        <v>1817381.4842074867</v>
      </c>
      <c r="CD26" s="1828">
        <f>SUM(CB26:CC26)</f>
        <v>-9301394.3715528641</v>
      </c>
      <c r="CE26" s="1828">
        <v>1130511.8146610903</v>
      </c>
      <c r="CF26" s="1828">
        <f>SUM(CD26:CE26)</f>
        <v>-8170882.5568917738</v>
      </c>
      <c r="CG26" s="1828">
        <v>1166614.2709085923</v>
      </c>
      <c r="CH26" s="1828">
        <f>SUM(CF26:CG26)</f>
        <v>-7004268.2859831816</v>
      </c>
      <c r="CI26" s="1033"/>
      <c r="CJ26" s="1827"/>
      <c r="CK26" s="1033">
        <f>CL26-CJ26</f>
        <v>0</v>
      </c>
      <c r="CL26" s="1827"/>
      <c r="CM26" s="1016">
        <f>ROW()</f>
        <v>26</v>
      </c>
      <c r="CN26" s="1823" t="s">
        <v>542</v>
      </c>
      <c r="CO26" s="1824"/>
      <c r="CP26" s="1826"/>
      <c r="CQ26" s="1826">
        <v>-149248.62199999983</v>
      </c>
      <c r="CR26" s="1826">
        <f>CQ26+CP26</f>
        <v>-149248.62199999983</v>
      </c>
      <c r="CS26" s="693">
        <v>-74624.310999999871</v>
      </c>
      <c r="CT26" s="1826">
        <f>CS26+CQ26</f>
        <v>-223872.9329999997</v>
      </c>
      <c r="CU26" s="1826">
        <v>-149248.62200000003</v>
      </c>
      <c r="CV26" s="1826">
        <f>CT26+CU26</f>
        <v>-373121.5549999997</v>
      </c>
      <c r="CW26" s="1826">
        <v>-117906.41138000003</v>
      </c>
      <c r="CX26" s="1826">
        <f>CV26+CW26</f>
        <v>-491027.96637999977</v>
      </c>
      <c r="CY26" s="1826">
        <v>-117906.41138000035</v>
      </c>
      <c r="CZ26" s="1826">
        <f>CX26+CY26</f>
        <v>-608934.37776000006</v>
      </c>
    </row>
    <row r="27" spans="1:104" ht="16.5" thickBot="1" x14ac:dyDescent="0.3">
      <c r="A27" s="30">
        <f>ROW()</f>
        <v>27</v>
      </c>
      <c r="B27" s="842"/>
      <c r="C27" s="842"/>
      <c r="D27" s="1813"/>
      <c r="E27" s="1813"/>
      <c r="F27" s="1813"/>
      <c r="G27" s="1813"/>
      <c r="H27" s="1813"/>
      <c r="I27" s="1813"/>
      <c r="J27" s="1813"/>
      <c r="K27" s="1813"/>
      <c r="L27" s="1813"/>
      <c r="M27" s="1813"/>
      <c r="N27" s="1813"/>
      <c r="O27" s="1813"/>
      <c r="P27" s="1813"/>
      <c r="Q27" s="1813"/>
      <c r="R27" s="1813"/>
      <c r="AK27" s="482">
        <v>19</v>
      </c>
      <c r="AL27" s="513"/>
      <c r="AM27" s="703"/>
      <c r="AN27" s="63"/>
      <c r="AO27" s="63"/>
      <c r="AP27" s="63"/>
      <c r="AQ27" s="63"/>
      <c r="AR27" s="63"/>
      <c r="AS27" s="668"/>
      <c r="AT27" s="668"/>
      <c r="AU27" s="668"/>
      <c r="AV27" s="668"/>
      <c r="AW27" s="668"/>
      <c r="AX27" s="668"/>
      <c r="AY27" s="668"/>
      <c r="AZ27" s="668"/>
      <c r="BA27" s="668"/>
      <c r="BB27" s="668"/>
      <c r="BC27" s="22">
        <f>ROW()</f>
        <v>27</v>
      </c>
      <c r="BD27" s="75" t="s">
        <v>1013</v>
      </c>
      <c r="BE27"/>
      <c r="BF27" s="972"/>
      <c r="BG27" s="972"/>
      <c r="BH27" s="64">
        <v>0</v>
      </c>
      <c r="BI27" s="64">
        <f t="shared" si="3"/>
        <v>0</v>
      </c>
      <c r="BJ27" s="64">
        <f t="shared" si="4"/>
        <v>0</v>
      </c>
      <c r="BK27" s="64"/>
      <c r="BL27" s="64">
        <f t="shared" si="5"/>
        <v>0</v>
      </c>
      <c r="BM27" s="1793"/>
      <c r="BN27" s="64">
        <f t="shared" si="6"/>
        <v>0</v>
      </c>
      <c r="BO27" s="64"/>
      <c r="BP27" s="64">
        <f t="shared" si="7"/>
        <v>0</v>
      </c>
      <c r="BQ27" s="64"/>
      <c r="BR27" s="64"/>
      <c r="BS27" s="64"/>
      <c r="BT27" s="64"/>
      <c r="BU27" s="1016">
        <f>ROW()</f>
        <v>27</v>
      </c>
      <c r="BV27" s="1038" t="s">
        <v>569</v>
      </c>
      <c r="BW27" s="1825"/>
      <c r="BX27" s="1039">
        <f t="shared" ref="BX27:CL27" si="8">SUM(BX25:BX26)</f>
        <v>0</v>
      </c>
      <c r="BY27" s="1039">
        <f t="shared" si="8"/>
        <v>0</v>
      </c>
      <c r="BZ27" s="1039">
        <f t="shared" si="8"/>
        <v>21581443.489999998</v>
      </c>
      <c r="CA27" s="1040">
        <f t="shared" si="8"/>
        <v>24719599.411719467</v>
      </c>
      <c r="CB27" s="1039">
        <f t="shared" si="8"/>
        <v>46301042.901719466</v>
      </c>
      <c r="CC27" s="1039">
        <f t="shared" si="8"/>
        <v>-8672507.3526021261</v>
      </c>
      <c r="CD27" s="1039">
        <f t="shared" si="8"/>
        <v>37628535.549117342</v>
      </c>
      <c r="CE27" s="1039">
        <f t="shared" si="8"/>
        <v>-5170723.4230643986</v>
      </c>
      <c r="CF27" s="1039">
        <f t="shared" si="8"/>
        <v>32457812.126052942</v>
      </c>
      <c r="CG27" s="1039">
        <f t="shared" si="8"/>
        <v>-5437988.3141693044</v>
      </c>
      <c r="CH27" s="1039">
        <f t="shared" si="8"/>
        <v>27019823.811883636</v>
      </c>
      <c r="CI27" s="1041">
        <f t="shared" si="8"/>
        <v>0</v>
      </c>
      <c r="CJ27" s="1041">
        <f t="shared" si="8"/>
        <v>0</v>
      </c>
      <c r="CK27" s="1041">
        <f t="shared" si="8"/>
        <v>0</v>
      </c>
      <c r="CL27" s="1041">
        <f t="shared" si="8"/>
        <v>0</v>
      </c>
      <c r="CM27" s="1016">
        <f>ROW()</f>
        <v>27</v>
      </c>
      <c r="CN27" s="1823" t="s">
        <v>258</v>
      </c>
      <c r="CO27" s="1824"/>
      <c r="CP27" s="1821">
        <f t="shared" ref="CP27:CV27" si="9">SUM(CP25:CP26)</f>
        <v>0</v>
      </c>
      <c r="CQ27" s="1821">
        <f t="shared" si="9"/>
        <v>-838755.82802600169</v>
      </c>
      <c r="CR27" s="1821">
        <f t="shared" si="9"/>
        <v>-838755.82802600169</v>
      </c>
      <c r="CS27" s="1821">
        <f t="shared" si="9"/>
        <v>-418278.48458200146</v>
      </c>
      <c r="CT27" s="1821">
        <f t="shared" si="9"/>
        <v>-1257034.3126080032</v>
      </c>
      <c r="CU27" s="1821">
        <f t="shared" si="9"/>
        <v>-836556.96916399756</v>
      </c>
      <c r="CV27" s="1821">
        <f t="shared" si="9"/>
        <v>-2093591.2817720007</v>
      </c>
      <c r="CW27" s="1821">
        <v>-660880.00563955819</v>
      </c>
      <c r="CX27" s="1821">
        <f>SUM(CX25:CX26)</f>
        <v>-2754471.2874115589</v>
      </c>
      <c r="CY27" s="1821">
        <v>-866834.89917001734</v>
      </c>
      <c r="CZ27" s="1821">
        <f>SUM(CZ25:CZ26)</f>
        <v>-3621306.1865815762</v>
      </c>
    </row>
    <row r="28" spans="1:104" ht="16.5" thickTop="1" x14ac:dyDescent="0.25">
      <c r="A28" s="30">
        <f>ROW()</f>
        <v>28</v>
      </c>
      <c r="B28" s="842"/>
      <c r="C28" s="842"/>
      <c r="D28" s="1813"/>
      <c r="E28" s="1813"/>
      <c r="F28" s="1813"/>
      <c r="G28" s="1813"/>
      <c r="H28" s="1813"/>
      <c r="I28" s="1813"/>
      <c r="J28" s="1813"/>
      <c r="K28" s="1813"/>
      <c r="L28" s="1813"/>
      <c r="M28" s="1813"/>
      <c r="N28" s="1813"/>
      <c r="O28" s="1813"/>
      <c r="P28" s="1813"/>
      <c r="Q28" s="1813"/>
      <c r="R28" s="1813"/>
      <c r="AK28" s="482">
        <v>20</v>
      </c>
      <c r="AL28" s="513"/>
      <c r="AM28" s="547"/>
      <c r="AN28" s="547"/>
      <c r="AO28" s="547"/>
      <c r="AP28" s="547"/>
      <c r="AQ28" s="547"/>
      <c r="AR28" s="547"/>
      <c r="AS28" s="547"/>
      <c r="AT28" s="547"/>
      <c r="AU28" s="547"/>
      <c r="AV28" s="547"/>
      <c r="AW28" s="547"/>
      <c r="AX28" s="547"/>
      <c r="AY28" s="547"/>
      <c r="AZ28" s="547"/>
      <c r="BA28" s="547"/>
      <c r="BB28" s="547"/>
      <c r="BC28" s="22">
        <f>ROW()</f>
        <v>28</v>
      </c>
      <c r="BD28" s="75" t="s">
        <v>1012</v>
      </c>
      <c r="BE28"/>
      <c r="BF28" s="972"/>
      <c r="BG28" s="972"/>
      <c r="BH28" s="64">
        <v>0</v>
      </c>
      <c r="BI28" s="64">
        <f t="shared" si="3"/>
        <v>0</v>
      </c>
      <c r="BJ28" s="64">
        <f t="shared" si="4"/>
        <v>0</v>
      </c>
      <c r="BK28" s="64"/>
      <c r="BL28" s="64">
        <f t="shared" si="5"/>
        <v>0</v>
      </c>
      <c r="BM28" s="1793"/>
      <c r="BN28" s="64">
        <f t="shared" si="6"/>
        <v>0</v>
      </c>
      <c r="BO28" s="64"/>
      <c r="BP28" s="64">
        <f t="shared" si="7"/>
        <v>0</v>
      </c>
      <c r="BQ28" s="64"/>
      <c r="BR28" s="64"/>
      <c r="BS28" s="64"/>
      <c r="BT28" s="64"/>
      <c r="BU28" s="1016">
        <f>ROW()</f>
        <v>28</v>
      </c>
      <c r="BV28" s="1046" t="s">
        <v>1011</v>
      </c>
      <c r="BW28" s="1"/>
      <c r="BX28" s="1047">
        <f t="shared" ref="BX28:CL28" si="10">+BX22-BX27</f>
        <v>0</v>
      </c>
      <c r="BY28" s="1047">
        <f t="shared" si="10"/>
        <v>0</v>
      </c>
      <c r="BZ28" s="1047">
        <f t="shared" si="10"/>
        <v>0</v>
      </c>
      <c r="CA28" s="1047">
        <f t="shared" si="10"/>
        <v>0</v>
      </c>
      <c r="CB28" s="1047">
        <f t="shared" si="10"/>
        <v>0</v>
      </c>
      <c r="CC28" s="1047">
        <f t="shared" si="10"/>
        <v>0</v>
      </c>
      <c r="CD28" s="1047">
        <f t="shared" si="10"/>
        <v>0</v>
      </c>
      <c r="CE28" s="1047">
        <f t="shared" si="10"/>
        <v>0</v>
      </c>
      <c r="CF28" s="1047">
        <f t="shared" si="10"/>
        <v>0</v>
      </c>
      <c r="CG28" s="1047">
        <f t="shared" si="10"/>
        <v>0</v>
      </c>
      <c r="CH28" s="1047">
        <f t="shared" si="10"/>
        <v>0</v>
      </c>
      <c r="CI28" s="1047">
        <f t="shared" si="10"/>
        <v>0</v>
      </c>
      <c r="CJ28" s="1047">
        <f t="shared" si="10"/>
        <v>0</v>
      </c>
      <c r="CK28" s="1047">
        <f t="shared" si="10"/>
        <v>0</v>
      </c>
      <c r="CL28" s="1047">
        <f t="shared" si="10"/>
        <v>0</v>
      </c>
      <c r="CM28" s="1016">
        <f>ROW()</f>
        <v>28</v>
      </c>
      <c r="CN28" s="1823"/>
      <c r="CO28" s="1824"/>
      <c r="CP28" s="1821"/>
      <c r="CQ28" s="1820"/>
      <c r="CR28" s="1820"/>
      <c r="CS28" s="616"/>
      <c r="CT28" s="1820"/>
      <c r="CU28" s="616"/>
      <c r="CV28" s="1820"/>
      <c r="CW28" s="616"/>
      <c r="CX28" s="1820"/>
      <c r="CY28" s="616"/>
      <c r="CZ28" s="1820"/>
    </row>
    <row r="29" spans="1:104" ht="15.75" x14ac:dyDescent="0.25">
      <c r="A29" s="30">
        <f>ROW()</f>
        <v>29</v>
      </c>
      <c r="B29" s="513"/>
      <c r="C29" s="842"/>
      <c r="D29" s="1816"/>
      <c r="E29" s="1816"/>
      <c r="F29" s="1816"/>
      <c r="G29" s="1816"/>
      <c r="H29" s="1816"/>
      <c r="I29" s="1815"/>
      <c r="J29" s="1815"/>
      <c r="K29" s="1815"/>
      <c r="L29" s="1815"/>
      <c r="M29" s="1815"/>
      <c r="N29" s="1815"/>
      <c r="O29" s="1815"/>
      <c r="P29" s="1815"/>
      <c r="Q29" s="1815"/>
      <c r="R29" s="1815"/>
      <c r="S29" s="22"/>
      <c r="AK29" s="482">
        <v>21</v>
      </c>
      <c r="AL29" s="513"/>
      <c r="AM29" s="547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2">
        <f>ROW()</f>
        <v>29</v>
      </c>
      <c r="BD29" s="75" t="s">
        <v>1010</v>
      </c>
      <c r="BE29"/>
      <c r="BF29" s="972"/>
      <c r="BG29" s="972"/>
      <c r="BH29" s="64">
        <v>-1820671.4106033803</v>
      </c>
      <c r="BI29" s="64">
        <f t="shared" si="3"/>
        <v>1820671.4106033803</v>
      </c>
      <c r="BJ29" s="64">
        <f t="shared" si="4"/>
        <v>0</v>
      </c>
      <c r="BK29" s="64"/>
      <c r="BL29" s="64">
        <f t="shared" si="5"/>
        <v>0</v>
      </c>
      <c r="BM29" s="1793"/>
      <c r="BN29" s="64">
        <f t="shared" si="6"/>
        <v>0</v>
      </c>
      <c r="BO29" s="64"/>
      <c r="BP29" s="64">
        <f t="shared" si="7"/>
        <v>0</v>
      </c>
      <c r="BQ29" s="64"/>
      <c r="BR29" s="64"/>
      <c r="BS29" s="64"/>
      <c r="BT29" s="64"/>
      <c r="BU29" s="1016">
        <f>ROW()</f>
        <v>29</v>
      </c>
      <c r="BV29" s="1801"/>
      <c r="BW29" s="1801"/>
      <c r="BX29" s="1801"/>
      <c r="BY29" s="1801"/>
      <c r="BZ29" s="1801"/>
      <c r="CA29" s="1801"/>
      <c r="CB29" s="1801"/>
      <c r="CC29" s="1801"/>
      <c r="CD29" s="1801"/>
      <c r="CE29" s="1801"/>
      <c r="CF29" s="1801"/>
      <c r="CG29" s="1801"/>
      <c r="CH29" s="1801"/>
      <c r="CM29" s="1016">
        <f>ROW()</f>
        <v>29</v>
      </c>
      <c r="CN29" s="1823" t="s">
        <v>259</v>
      </c>
      <c r="CO29" s="1822">
        <v>0.21</v>
      </c>
      <c r="CP29" s="1821">
        <f t="shared" ref="CP29:CZ29" si="11">CP27*-$CO$29</f>
        <v>0</v>
      </c>
      <c r="CQ29" s="1821">
        <f t="shared" si="11"/>
        <v>176138.72388546035</v>
      </c>
      <c r="CR29" s="1821">
        <f t="shared" si="11"/>
        <v>176138.72388546035</v>
      </c>
      <c r="CS29" s="1821">
        <f t="shared" si="11"/>
        <v>87838.481762220297</v>
      </c>
      <c r="CT29" s="1821">
        <f t="shared" si="11"/>
        <v>263977.20564768068</v>
      </c>
      <c r="CU29" s="1821">
        <f t="shared" si="11"/>
        <v>175676.96352443949</v>
      </c>
      <c r="CV29" s="1821">
        <f t="shared" si="11"/>
        <v>439654.16917212011</v>
      </c>
      <c r="CW29" s="1821">
        <f t="shared" si="11"/>
        <v>138784.8011843072</v>
      </c>
      <c r="CX29" s="1821">
        <f t="shared" si="11"/>
        <v>578438.97035642737</v>
      </c>
      <c r="CY29" s="1821">
        <f t="shared" si="11"/>
        <v>182035.32882570365</v>
      </c>
      <c r="CZ29" s="1821">
        <f t="shared" si="11"/>
        <v>760474.29918213096</v>
      </c>
    </row>
    <row r="30" spans="1:104" ht="15.75" x14ac:dyDescent="0.25">
      <c r="A30" s="30">
        <f>ROW()</f>
        <v>30</v>
      </c>
      <c r="B30" s="4"/>
      <c r="C30" s="842"/>
      <c r="D30" s="1816"/>
      <c r="E30" s="1816"/>
      <c r="F30" s="1816"/>
      <c r="G30" s="1816"/>
      <c r="H30" s="1816"/>
      <c r="I30" s="1815"/>
      <c r="J30" s="1815"/>
      <c r="K30" s="1815"/>
      <c r="L30" s="1815"/>
      <c r="M30" s="1815"/>
      <c r="N30" s="1815"/>
      <c r="O30" s="1815"/>
      <c r="P30" s="1815"/>
      <c r="Q30" s="1815"/>
      <c r="R30" s="1815"/>
      <c r="S30" s="22"/>
      <c r="AK30" s="22"/>
      <c r="BC30" s="22">
        <f>ROW()</f>
        <v>30</v>
      </c>
      <c r="BD30" s="75" t="s">
        <v>1009</v>
      </c>
      <c r="BE30"/>
      <c r="BF30" s="972"/>
      <c r="BG30" s="972"/>
      <c r="BH30" s="64">
        <v>-1510347.8439</v>
      </c>
      <c r="BI30" s="64">
        <f t="shared" si="3"/>
        <v>1510347.8439</v>
      </c>
      <c r="BJ30" s="64">
        <f t="shared" si="4"/>
        <v>0</v>
      </c>
      <c r="BK30" s="64"/>
      <c r="BL30" s="64">
        <f t="shared" si="5"/>
        <v>0</v>
      </c>
      <c r="BM30" s="1793"/>
      <c r="BN30" s="64">
        <f t="shared" si="6"/>
        <v>0</v>
      </c>
      <c r="BO30" s="64"/>
      <c r="BP30" s="64">
        <f t="shared" si="7"/>
        <v>0</v>
      </c>
      <c r="BQ30" s="64"/>
      <c r="BR30" s="64"/>
      <c r="BS30" s="64"/>
      <c r="BT30" s="64"/>
      <c r="BU30" s="1016">
        <f>ROW()</f>
        <v>30</v>
      </c>
      <c r="BV30" s="712" t="s">
        <v>296</v>
      </c>
      <c r="BW30" s="712"/>
      <c r="BX30" s="647"/>
      <c r="BY30" s="647"/>
      <c r="BZ30" s="647"/>
      <c r="CA30" s="1086"/>
      <c r="CB30" s="1086"/>
      <c r="CC30" s="1086"/>
      <c r="CD30" s="1086"/>
      <c r="CE30" s="1086"/>
      <c r="CF30" s="1086"/>
      <c r="CG30" s="1086"/>
      <c r="CH30" s="1086"/>
      <c r="CI30" s="1805"/>
      <c r="CJ30" s="1805"/>
      <c r="CK30" s="1805"/>
      <c r="CL30" s="1805"/>
      <c r="CM30" s="1016">
        <f>ROW()</f>
        <v>30</v>
      </c>
      <c r="CN30" s="1823"/>
      <c r="CO30" s="1822"/>
      <c r="CP30" s="1821"/>
      <c r="CQ30" s="1820"/>
      <c r="CR30" s="1820"/>
      <c r="CS30" s="616"/>
      <c r="CT30" s="1820"/>
      <c r="CU30" s="616"/>
      <c r="CV30" s="1820"/>
      <c r="CW30" s="616"/>
      <c r="CX30" s="1820"/>
      <c r="CY30" s="616"/>
      <c r="CZ30" s="1820"/>
    </row>
    <row r="31" spans="1:104" ht="15.75" x14ac:dyDescent="0.25">
      <c r="A31" s="30">
        <f>ROW()</f>
        <v>31</v>
      </c>
      <c r="B31" s="4"/>
      <c r="C31" s="842"/>
      <c r="D31" s="1816"/>
      <c r="E31" s="1816"/>
      <c r="F31" s="1816"/>
      <c r="G31" s="1816"/>
      <c r="H31" s="1816"/>
      <c r="I31" s="1815"/>
      <c r="J31" s="1815"/>
      <c r="K31" s="1815"/>
      <c r="L31" s="1815"/>
      <c r="M31" s="1815"/>
      <c r="N31" s="1815"/>
      <c r="O31" s="1815"/>
      <c r="P31" s="1815"/>
      <c r="Q31" s="1815"/>
      <c r="R31" s="1815"/>
      <c r="S31" s="22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22">
        <f>ROW()</f>
        <v>31</v>
      </c>
      <c r="BD31" s="73" t="s">
        <v>1008</v>
      </c>
      <c r="BE31"/>
      <c r="BF31" s="68">
        <f t="shared" ref="BF31:BP31" si="12">SUM(BF25:BF30)</f>
        <v>0</v>
      </c>
      <c r="BG31" s="68">
        <f t="shared" si="12"/>
        <v>0</v>
      </c>
      <c r="BH31" s="68">
        <f t="shared" si="12"/>
        <v>12530977.195512716</v>
      </c>
      <c r="BI31" s="68">
        <f t="shared" si="12"/>
        <v>-12530977.195512716</v>
      </c>
      <c r="BJ31" s="68">
        <f t="shared" si="12"/>
        <v>0</v>
      </c>
      <c r="BK31" s="68">
        <f t="shared" si="12"/>
        <v>0</v>
      </c>
      <c r="BL31" s="68">
        <f t="shared" si="12"/>
        <v>0</v>
      </c>
      <c r="BM31" s="1814">
        <f t="shared" si="12"/>
        <v>0</v>
      </c>
      <c r="BN31" s="68">
        <f t="shared" si="12"/>
        <v>0</v>
      </c>
      <c r="BO31" s="68">
        <f t="shared" si="12"/>
        <v>0</v>
      </c>
      <c r="BP31" s="68">
        <f t="shared" si="12"/>
        <v>0</v>
      </c>
      <c r="BQ31" s="68"/>
      <c r="BR31" s="68"/>
      <c r="BS31" s="68"/>
      <c r="BT31" s="68"/>
      <c r="BU31" s="1016">
        <f>ROW()</f>
        <v>31</v>
      </c>
      <c r="BV31" s="971" t="s">
        <v>1007</v>
      </c>
      <c r="BW31" s="971"/>
      <c r="BX31" s="1055" t="s">
        <v>579</v>
      </c>
      <c r="BY31" s="1819"/>
      <c r="BZ31" s="972"/>
      <c r="CA31" s="972"/>
      <c r="CB31" s="972"/>
      <c r="CC31" s="972"/>
      <c r="CD31" s="972"/>
      <c r="CE31" s="972"/>
      <c r="CF31" s="972"/>
      <c r="CG31" s="972"/>
      <c r="CH31" s="972"/>
      <c r="CI31" s="972"/>
      <c r="CJ31" s="972"/>
      <c r="CK31" s="972"/>
      <c r="CL31" s="972"/>
      <c r="CM31" s="1016">
        <f>ROW()</f>
        <v>31</v>
      </c>
      <c r="CN31" s="1818" t="s">
        <v>240</v>
      </c>
      <c r="CO31" s="1817"/>
      <c r="CP31" s="1087">
        <f t="shared" ref="CP31:CZ31" si="13">-CP27-CP29</f>
        <v>0</v>
      </c>
      <c r="CQ31" s="1087">
        <f t="shared" si="13"/>
        <v>662617.10414054128</v>
      </c>
      <c r="CR31" s="1087">
        <f t="shared" si="13"/>
        <v>662617.10414054128</v>
      </c>
      <c r="CS31" s="1087">
        <f t="shared" si="13"/>
        <v>330440.00281978119</v>
      </c>
      <c r="CT31" s="1087">
        <f t="shared" si="13"/>
        <v>993057.10696032248</v>
      </c>
      <c r="CU31" s="1087">
        <f t="shared" si="13"/>
        <v>660880.00563955808</v>
      </c>
      <c r="CV31" s="1087">
        <f t="shared" si="13"/>
        <v>1653937.1125998807</v>
      </c>
      <c r="CW31" s="1087">
        <f t="shared" si="13"/>
        <v>522095.20445525099</v>
      </c>
      <c r="CX31" s="1087">
        <f t="shared" si="13"/>
        <v>2176032.3170551313</v>
      </c>
      <c r="CY31" s="1087">
        <f t="shared" si="13"/>
        <v>684799.57034431375</v>
      </c>
      <c r="CZ31" s="1087">
        <f t="shared" si="13"/>
        <v>2860831.8873994453</v>
      </c>
    </row>
    <row r="32" spans="1:104" x14ac:dyDescent="0.25">
      <c r="A32" s="30">
        <f>ROW()</f>
        <v>32</v>
      </c>
      <c r="B32" s="4"/>
      <c r="C32" s="842"/>
      <c r="D32" s="1816"/>
      <c r="E32" s="1816"/>
      <c r="F32" s="1816"/>
      <c r="G32" s="1816"/>
      <c r="H32" s="1816"/>
      <c r="I32" s="1815"/>
      <c r="J32" s="1815"/>
      <c r="K32" s="1815"/>
      <c r="L32" s="1815"/>
      <c r="M32" s="1815"/>
      <c r="N32" s="1815"/>
      <c r="O32" s="1815"/>
      <c r="P32" s="1815"/>
      <c r="Q32" s="1815"/>
      <c r="R32" s="1815"/>
      <c r="S32" s="2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22">
        <f>ROW()</f>
        <v>32</v>
      </c>
      <c r="BD32" s="971"/>
      <c r="BE32"/>
      <c r="BF32" s="68"/>
      <c r="BG32" s="68"/>
      <c r="BH32" s="68"/>
      <c r="BI32" s="68"/>
      <c r="BJ32" s="68"/>
      <c r="BK32" s="68"/>
      <c r="BL32" s="68"/>
      <c r="BM32" s="1814"/>
      <c r="BN32" s="68"/>
      <c r="BO32" s="68"/>
      <c r="BP32" s="68"/>
      <c r="BQ32" s="68"/>
      <c r="BR32" s="68"/>
      <c r="BS32" s="68"/>
      <c r="BT32" s="68"/>
      <c r="BU32" s="1016">
        <f>ROW()</f>
        <v>32</v>
      </c>
      <c r="BV32" s="971" t="s">
        <v>1006</v>
      </c>
      <c r="BW32" s="1801"/>
      <c r="BX32" s="647">
        <v>259630.35329635424</v>
      </c>
      <c r="BY32" s="1808">
        <v>0</v>
      </c>
      <c r="BZ32" s="647">
        <f t="shared" ref="BZ32:BZ43" si="14">SUM(BX32:BY32)</f>
        <v>259630.35329635424</v>
      </c>
      <c r="CA32" s="647">
        <v>268284.69995562505</v>
      </c>
      <c r="CB32" s="647">
        <f t="shared" ref="CB32:CB43" si="15">SUM(BZ32:CA32)</f>
        <v>527915.05325197929</v>
      </c>
      <c r="CC32" s="647">
        <v>8654.3466592708137</v>
      </c>
      <c r="CD32" s="647">
        <f t="shared" ref="CD32:CD43" si="16">SUM(CB32:CC32)</f>
        <v>536569.3999112501</v>
      </c>
      <c r="CE32" s="647">
        <v>0</v>
      </c>
      <c r="CF32" s="647">
        <f t="shared" ref="CF32:CF43" si="17">SUM(CD32:CE32)</f>
        <v>536569.3999112501</v>
      </c>
      <c r="CG32" s="647">
        <v>-527915.05325197882</v>
      </c>
      <c r="CH32" s="647">
        <f t="shared" ref="CH32:CH43" si="18">SUM(CF32:CG32)</f>
        <v>8654.3466592712793</v>
      </c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</row>
    <row r="33" spans="1:104" ht="15.75" thickBot="1" x14ac:dyDescent="0.3">
      <c r="A33" s="30">
        <f>ROW()</f>
        <v>33</v>
      </c>
      <c r="B33" s="4"/>
      <c r="C33" s="842"/>
      <c r="D33" s="1813"/>
      <c r="E33" s="1813"/>
      <c r="F33" s="1813"/>
      <c r="G33" s="1813"/>
      <c r="H33" s="1813"/>
      <c r="I33" s="1813"/>
      <c r="J33" s="1813"/>
      <c r="K33" s="1813"/>
      <c r="L33" s="1813"/>
      <c r="M33" s="1813"/>
      <c r="N33" s="1813"/>
      <c r="O33" s="1813"/>
      <c r="P33" s="1813"/>
      <c r="Q33" s="1813"/>
      <c r="R33" s="1813"/>
      <c r="S33" s="22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22">
        <f>ROW()</f>
        <v>33</v>
      </c>
      <c r="BD33" s="971" t="s">
        <v>330</v>
      </c>
      <c r="BE33"/>
      <c r="BF33" s="839">
        <f t="shared" ref="BF33:BP33" si="19">BF22+BF31</f>
        <v>0</v>
      </c>
      <c r="BG33" s="839">
        <f t="shared" si="19"/>
        <v>0</v>
      </c>
      <c r="BH33" s="839">
        <f t="shared" si="19"/>
        <v>244980865.4539476</v>
      </c>
      <c r="BI33" s="839">
        <f t="shared" si="19"/>
        <v>-244980865.4539476</v>
      </c>
      <c r="BJ33" s="839">
        <f t="shared" si="19"/>
        <v>0</v>
      </c>
      <c r="BK33" s="839">
        <f t="shared" si="19"/>
        <v>0</v>
      </c>
      <c r="BL33" s="839">
        <f t="shared" si="19"/>
        <v>0</v>
      </c>
      <c r="BM33" s="1812">
        <f t="shared" si="19"/>
        <v>0</v>
      </c>
      <c r="BN33" s="839">
        <f t="shared" si="19"/>
        <v>0</v>
      </c>
      <c r="BO33" s="839">
        <f t="shared" si="19"/>
        <v>0</v>
      </c>
      <c r="BP33" s="839">
        <f t="shared" si="19"/>
        <v>0</v>
      </c>
      <c r="BQ33" s="839"/>
      <c r="BR33" s="839"/>
      <c r="BS33" s="839"/>
      <c r="BT33" s="839"/>
      <c r="BU33" s="1016">
        <f>ROW()</f>
        <v>33</v>
      </c>
      <c r="BV33" s="971" t="s">
        <v>1005</v>
      </c>
      <c r="BW33" s="1801"/>
      <c r="BX33" s="647">
        <v>756339.67484964966</v>
      </c>
      <c r="BY33" s="1808">
        <v>0</v>
      </c>
      <c r="BZ33" s="647">
        <f t="shared" si="14"/>
        <v>756339.67484964966</v>
      </c>
      <c r="CA33" s="647">
        <v>781550.98969929898</v>
      </c>
      <c r="CB33" s="647">
        <f t="shared" si="15"/>
        <v>1537890.6645489486</v>
      </c>
      <c r="CC33" s="647">
        <v>25211.314849649556</v>
      </c>
      <c r="CD33" s="647">
        <f t="shared" si="16"/>
        <v>1563101.9793985982</v>
      </c>
      <c r="CE33" s="647">
        <v>0</v>
      </c>
      <c r="CF33" s="647">
        <f t="shared" si="17"/>
        <v>1563101.9793985982</v>
      </c>
      <c r="CG33" s="647">
        <v>-1537890.6645489514</v>
      </c>
      <c r="CH33" s="647">
        <f t="shared" si="18"/>
        <v>25211.314849646762</v>
      </c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</row>
    <row r="34" spans="1:104" ht="15.75" thickTop="1" x14ac:dyDescent="0.25">
      <c r="A34" s="30">
        <f>ROW()</f>
        <v>34</v>
      </c>
      <c r="B34" s="547"/>
      <c r="C34" s="547"/>
      <c r="D34" s="547"/>
      <c r="E34" s="547"/>
      <c r="F34" s="547"/>
      <c r="G34" s="547"/>
      <c r="H34" s="547"/>
      <c r="I34" s="547"/>
      <c r="J34" s="547"/>
      <c r="K34" s="547"/>
      <c r="L34" s="547"/>
      <c r="M34" s="547"/>
      <c r="N34" s="547"/>
      <c r="O34" s="547"/>
      <c r="P34" s="547"/>
      <c r="Q34" s="547"/>
      <c r="R34" s="547"/>
      <c r="S34" s="22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22">
        <f>ROW()</f>
        <v>34</v>
      </c>
      <c r="BD34" s="971"/>
      <c r="BE34"/>
      <c r="BF34" s="647"/>
      <c r="BG34" s="647"/>
      <c r="BH34" s="647"/>
      <c r="BI34" s="647"/>
      <c r="BJ34" s="647"/>
      <c r="BK34" s="647"/>
      <c r="BL34" s="647"/>
      <c r="BM34" s="1797"/>
      <c r="BN34" s="647"/>
      <c r="BO34" s="647"/>
      <c r="BP34" s="647"/>
      <c r="BQ34" s="1809"/>
      <c r="BR34" s="1809"/>
      <c r="BS34" s="1809"/>
      <c r="BT34" s="1809"/>
      <c r="BU34" s="1016">
        <f>ROW()</f>
        <v>34</v>
      </c>
      <c r="BV34" s="971" t="s">
        <v>1004</v>
      </c>
      <c r="BW34" s="971"/>
      <c r="BX34" s="647">
        <v>1907894.9700000004</v>
      </c>
      <c r="BY34" s="1808">
        <v>0</v>
      </c>
      <c r="BZ34" s="647">
        <f t="shared" si="14"/>
        <v>1907894.9700000004</v>
      </c>
      <c r="CA34" s="647">
        <v>-476973.74250000017</v>
      </c>
      <c r="CB34" s="647">
        <f t="shared" si="15"/>
        <v>1430921.2275000003</v>
      </c>
      <c r="CC34" s="647">
        <v>-1430921.2275000003</v>
      </c>
      <c r="CD34" s="647">
        <f t="shared" si="16"/>
        <v>0</v>
      </c>
      <c r="CE34" s="647">
        <v>0</v>
      </c>
      <c r="CF34" s="647">
        <f t="shared" si="17"/>
        <v>0</v>
      </c>
      <c r="CG34" s="647">
        <v>0</v>
      </c>
      <c r="CH34" s="647">
        <f t="shared" si="18"/>
        <v>0</v>
      </c>
      <c r="CI34" s="647"/>
      <c r="CJ34" s="647"/>
      <c r="CK34" s="647"/>
      <c r="CL34" s="647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</row>
    <row r="35" spans="1:104" x14ac:dyDescent="0.25">
      <c r="A35" s="30">
        <f>ROW()</f>
        <v>35</v>
      </c>
      <c r="B35" s="679"/>
      <c r="C35" s="547"/>
      <c r="D35" s="600"/>
      <c r="E35" s="600"/>
      <c r="F35" s="600"/>
      <c r="G35" s="600"/>
      <c r="H35" s="600"/>
      <c r="I35" s="600"/>
      <c r="J35" s="600"/>
      <c r="K35" s="600"/>
      <c r="L35" s="600"/>
      <c r="M35" s="600"/>
      <c r="N35" s="600"/>
      <c r="O35" s="600"/>
      <c r="P35" s="600"/>
      <c r="Q35" s="600"/>
      <c r="R35" s="600"/>
      <c r="S35" s="22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22">
        <f>ROW()</f>
        <v>35</v>
      </c>
      <c r="BD35" s="958" t="s">
        <v>1003</v>
      </c>
      <c r="BE35" s="1811"/>
      <c r="BF35" s="1809"/>
      <c r="BG35" s="1809"/>
      <c r="BH35" s="1809"/>
      <c r="BI35" s="1809"/>
      <c r="BJ35" s="1809"/>
      <c r="BK35" s="1809"/>
      <c r="BL35" s="1809"/>
      <c r="BM35" s="1810"/>
      <c r="BN35" s="1809"/>
      <c r="BO35" s="1809"/>
      <c r="BP35" s="1809"/>
      <c r="BQ35" s="64"/>
      <c r="BR35" s="64"/>
      <c r="BS35" s="64"/>
      <c r="BT35" s="64"/>
      <c r="BU35" s="1016">
        <f>ROW()</f>
        <v>35</v>
      </c>
      <c r="BV35" s="971" t="s">
        <v>1002</v>
      </c>
      <c r="BW35" s="971"/>
      <c r="BX35" s="647">
        <v>358927.04416666669</v>
      </c>
      <c r="BY35" s="1808">
        <v>0</v>
      </c>
      <c r="BZ35" s="647">
        <f t="shared" si="14"/>
        <v>358927.04416666669</v>
      </c>
      <c r="CA35" s="647">
        <v>370891.0083333333</v>
      </c>
      <c r="CB35" s="647">
        <f t="shared" si="15"/>
        <v>729818.05249999999</v>
      </c>
      <c r="CC35" s="647">
        <v>11963.964166666614</v>
      </c>
      <c r="CD35" s="647">
        <f t="shared" si="16"/>
        <v>741782.0166666666</v>
      </c>
      <c r="CE35" s="647">
        <v>0</v>
      </c>
      <c r="CF35" s="647">
        <f t="shared" si="17"/>
        <v>741782.0166666666</v>
      </c>
      <c r="CG35" s="647">
        <v>-729818.0166666666</v>
      </c>
      <c r="CH35" s="647">
        <f t="shared" si="18"/>
        <v>11964</v>
      </c>
      <c r="CI35" s="647"/>
      <c r="CJ35" s="647"/>
      <c r="CK35" s="647"/>
      <c r="CL35" s="647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</row>
    <row r="36" spans="1:104" x14ac:dyDescent="0.25">
      <c r="A36" s="30">
        <f>ROW()</f>
        <v>36</v>
      </c>
      <c r="B36" s="4"/>
      <c r="C36" s="547"/>
      <c r="D36" s="667"/>
      <c r="E36" s="667"/>
      <c r="F36" s="667"/>
      <c r="G36" s="667"/>
      <c r="H36" s="667"/>
      <c r="I36" s="667"/>
      <c r="J36" s="667"/>
      <c r="K36" s="667"/>
      <c r="L36" s="667"/>
      <c r="M36" s="667"/>
      <c r="N36" s="667"/>
      <c r="O36" s="667"/>
      <c r="P36" s="667"/>
      <c r="Q36" s="667"/>
      <c r="R36" s="667"/>
      <c r="S36" s="22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22">
        <f>ROW()</f>
        <v>36</v>
      </c>
      <c r="BD36" s="73" t="s">
        <v>1001</v>
      </c>
      <c r="BE36" s="1811"/>
      <c r="BF36" s="972"/>
      <c r="BG36" s="972"/>
      <c r="BH36" s="980">
        <v>20081109</v>
      </c>
      <c r="BI36" s="64">
        <f>-BH36</f>
        <v>-20081109</v>
      </c>
      <c r="BJ36" s="980">
        <f>BH36+BI36</f>
        <v>0</v>
      </c>
      <c r="BK36" s="980"/>
      <c r="BL36" s="980">
        <f>BJ36+BK36</f>
        <v>0</v>
      </c>
      <c r="BM36" s="980"/>
      <c r="BN36" s="980">
        <f>BL36+BM36</f>
        <v>0</v>
      </c>
      <c r="BO36" s="980"/>
      <c r="BP36" s="980">
        <f>BN36+BO36</f>
        <v>0</v>
      </c>
      <c r="BQ36" s="64"/>
      <c r="BR36" s="64"/>
      <c r="BS36" s="64"/>
      <c r="BT36" s="64"/>
      <c r="BU36" s="1016">
        <f>ROW()</f>
        <v>36</v>
      </c>
      <c r="BV36" s="971" t="s">
        <v>1000</v>
      </c>
      <c r="BW36" s="971"/>
      <c r="BX36" s="647">
        <v>537329.94929914502</v>
      </c>
      <c r="BY36" s="1808">
        <v>0</v>
      </c>
      <c r="BZ36" s="647">
        <f t="shared" si="14"/>
        <v>537329.94929914502</v>
      </c>
      <c r="CA36" s="647">
        <v>555241.37859829003</v>
      </c>
      <c r="CB36" s="647">
        <f t="shared" si="15"/>
        <v>1092571.3278974351</v>
      </c>
      <c r="CC36" s="647">
        <v>17911.429299145238</v>
      </c>
      <c r="CD36" s="647">
        <f t="shared" si="16"/>
        <v>1110482.7571965803</v>
      </c>
      <c r="CE36" s="647">
        <v>0</v>
      </c>
      <c r="CF36" s="647">
        <f t="shared" si="17"/>
        <v>1110482.7571965803</v>
      </c>
      <c r="CG36" s="647">
        <v>-1092571.7571965803</v>
      </c>
      <c r="CH36" s="647">
        <f t="shared" si="18"/>
        <v>17911</v>
      </c>
      <c r="CI36" s="647"/>
      <c r="CJ36" s="647"/>
      <c r="CK36" s="647"/>
      <c r="CL36" s="647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</row>
    <row r="37" spans="1:104" x14ac:dyDescent="0.25">
      <c r="A37" s="30">
        <f>ROW()</f>
        <v>37</v>
      </c>
      <c r="B37" s="679"/>
      <c r="C37" s="547"/>
      <c r="D37" s="667"/>
      <c r="E37" s="667"/>
      <c r="F37" s="667"/>
      <c r="G37" s="667"/>
      <c r="H37" s="667"/>
      <c r="I37" s="667"/>
      <c r="J37" s="667"/>
      <c r="K37" s="667"/>
      <c r="L37" s="667"/>
      <c r="M37" s="667"/>
      <c r="N37" s="667"/>
      <c r="O37" s="667"/>
      <c r="P37" s="667"/>
      <c r="Q37" s="667"/>
      <c r="R37" s="667"/>
      <c r="S37" s="22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 s="22">
        <f>ROW()</f>
        <v>37</v>
      </c>
      <c r="BD37" s="958" t="s">
        <v>999</v>
      </c>
      <c r="BE37" s="1811"/>
      <c r="BF37" s="972"/>
      <c r="BG37" s="972"/>
      <c r="BH37" s="1809"/>
      <c r="BI37" s="1809"/>
      <c r="BJ37" s="1809"/>
      <c r="BK37" s="1809"/>
      <c r="BL37" s="1809"/>
      <c r="BM37" s="1810"/>
      <c r="BN37" s="1809"/>
      <c r="BO37" s="1809"/>
      <c r="BP37" s="1809"/>
      <c r="BQ37" s="64"/>
      <c r="BR37" s="64"/>
      <c r="BS37" s="64"/>
      <c r="BT37" s="64"/>
      <c r="BU37" s="1016">
        <f>ROW()</f>
        <v>37</v>
      </c>
      <c r="BV37" s="971" t="s">
        <v>998</v>
      </c>
      <c r="BW37" s="971"/>
      <c r="BX37" s="647">
        <v>3885741.6581850122</v>
      </c>
      <c r="BY37" s="1808">
        <v>0</v>
      </c>
      <c r="BZ37" s="647">
        <f t="shared" si="14"/>
        <v>3885741.6581850122</v>
      </c>
      <c r="CA37" s="647">
        <v>-971435.41454625316</v>
      </c>
      <c r="CB37" s="647">
        <f t="shared" si="15"/>
        <v>2914306.243638759</v>
      </c>
      <c r="CC37" s="647">
        <v>-2914306.243638759</v>
      </c>
      <c r="CD37" s="647">
        <f t="shared" si="16"/>
        <v>0</v>
      </c>
      <c r="CE37" s="647">
        <v>0</v>
      </c>
      <c r="CF37" s="647">
        <f t="shared" si="17"/>
        <v>0</v>
      </c>
      <c r="CG37" s="647">
        <v>0</v>
      </c>
      <c r="CH37" s="647">
        <f t="shared" si="18"/>
        <v>0</v>
      </c>
      <c r="CI37" s="647"/>
      <c r="CJ37" s="647"/>
      <c r="CK37" s="647"/>
      <c r="CL37" s="64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</row>
    <row r="38" spans="1:104" x14ac:dyDescent="0.25">
      <c r="A38" s="30">
        <f>ROW()</f>
        <v>38</v>
      </c>
      <c r="B38" s="547"/>
      <c r="C38" s="699"/>
      <c r="D38" s="667"/>
      <c r="E38" s="667"/>
      <c r="F38" s="667"/>
      <c r="G38" s="667"/>
      <c r="H38" s="667"/>
      <c r="I38" s="667"/>
      <c r="J38" s="667"/>
      <c r="K38" s="667"/>
      <c r="L38" s="667"/>
      <c r="M38" s="667"/>
      <c r="N38" s="667"/>
      <c r="O38" s="667"/>
      <c r="P38" s="667"/>
      <c r="Q38" s="667"/>
      <c r="R38" s="667"/>
      <c r="S38" s="22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 s="22">
        <f>ROW()</f>
        <v>38</v>
      </c>
      <c r="BD38" s="73" t="s">
        <v>997</v>
      </c>
      <c r="BE38"/>
      <c r="BF38" s="972"/>
      <c r="BG38" s="972"/>
      <c r="BH38" s="64">
        <v>-6303193.7592588468</v>
      </c>
      <c r="BI38" s="64">
        <f>-BH38</f>
        <v>6303193.7592588468</v>
      </c>
      <c r="BJ38" s="64">
        <f t="shared" ref="BJ38:BJ43" si="20">BH38+BI38</f>
        <v>0</v>
      </c>
      <c r="BK38" s="64"/>
      <c r="BL38" s="64">
        <f t="shared" ref="BL38:BL43" si="21">BJ38+BK38</f>
        <v>0</v>
      </c>
      <c r="BM38" s="64">
        <v>0</v>
      </c>
      <c r="BN38" s="64">
        <f t="shared" ref="BN38:BN43" si="22">BL38+BM38</f>
        <v>0</v>
      </c>
      <c r="BO38" s="64">
        <v>0</v>
      </c>
      <c r="BP38" s="64">
        <f t="shared" ref="BP38:BP43" si="23">BN38+BO38</f>
        <v>0</v>
      </c>
      <c r="BQ38" s="64"/>
      <c r="BR38" s="64"/>
      <c r="BS38" s="64"/>
      <c r="BT38" s="64"/>
      <c r="BU38" s="1016">
        <f>ROW()</f>
        <v>38</v>
      </c>
      <c r="BV38" s="971" t="s">
        <v>996</v>
      </c>
      <c r="BW38" s="971"/>
      <c r="BX38" s="647">
        <v>44306.101122622487</v>
      </c>
      <c r="BY38" s="1808">
        <v>0</v>
      </c>
      <c r="BZ38" s="647">
        <f t="shared" si="14"/>
        <v>44306.101122622487</v>
      </c>
      <c r="CA38" s="647">
        <v>-11076.525280655616</v>
      </c>
      <c r="CB38" s="647">
        <f t="shared" si="15"/>
        <v>33229.575841966871</v>
      </c>
      <c r="CC38" s="647">
        <v>-33229.575841966871</v>
      </c>
      <c r="CD38" s="647">
        <f t="shared" si="16"/>
        <v>0</v>
      </c>
      <c r="CE38" s="647">
        <v>0</v>
      </c>
      <c r="CF38" s="647">
        <f t="shared" si="17"/>
        <v>0</v>
      </c>
      <c r="CG38" s="647">
        <v>0</v>
      </c>
      <c r="CH38" s="647">
        <f t="shared" si="18"/>
        <v>0</v>
      </c>
      <c r="CI38" s="647"/>
      <c r="CJ38" s="647"/>
      <c r="CK38" s="647"/>
      <c r="CL38" s="647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</row>
    <row r="39" spans="1:104" ht="15.75" thickBot="1" x14ac:dyDescent="0.3">
      <c r="A39" s="30">
        <f>ROW()</f>
        <v>39</v>
      </c>
      <c r="B39" s="547"/>
      <c r="C39" s="547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1"/>
      <c r="O39" s="561"/>
      <c r="P39" s="561"/>
      <c r="Q39" s="561"/>
      <c r="R39" s="561"/>
      <c r="S39" s="22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 s="22">
        <f>ROW()</f>
        <v>39</v>
      </c>
      <c r="BD39" s="73" t="s">
        <v>995</v>
      </c>
      <c r="BF39" s="972"/>
      <c r="BG39" s="972"/>
      <c r="BH39" s="64">
        <f>BF39+BG39</f>
        <v>0</v>
      </c>
      <c r="BI39" s="1793"/>
      <c r="BJ39" s="64">
        <f t="shared" si="20"/>
        <v>0</v>
      </c>
      <c r="BK39" s="64"/>
      <c r="BL39" s="64">
        <f t="shared" si="21"/>
        <v>0</v>
      </c>
      <c r="BM39" s="64">
        <v>0</v>
      </c>
      <c r="BN39" s="64">
        <f t="shared" si="22"/>
        <v>0</v>
      </c>
      <c r="BO39" s="64">
        <v>0</v>
      </c>
      <c r="BP39" s="64">
        <f t="shared" si="23"/>
        <v>0</v>
      </c>
      <c r="BQ39" s="1807"/>
      <c r="BR39" s="1807"/>
      <c r="BS39" s="1807">
        <f>SUM(BS35:BS38)</f>
        <v>0</v>
      </c>
      <c r="BT39" s="1807">
        <f>SUM(BT35:BT38)</f>
        <v>0</v>
      </c>
      <c r="BU39" s="1016">
        <f>ROW()</f>
        <v>39</v>
      </c>
      <c r="BV39" s="971" t="s">
        <v>994</v>
      </c>
      <c r="BW39" s="971"/>
      <c r="BX39" s="647">
        <v>888237.37008439284</v>
      </c>
      <c r="BY39" s="1808">
        <v>0</v>
      </c>
      <c r="BZ39" s="647">
        <f t="shared" si="14"/>
        <v>888237.37008439284</v>
      </c>
      <c r="CA39" s="647">
        <v>917845.64410127141</v>
      </c>
      <c r="CB39" s="647">
        <f t="shared" si="15"/>
        <v>1806083.0141856642</v>
      </c>
      <c r="CC39" s="647">
        <v>29608.274016878568</v>
      </c>
      <c r="CD39" s="647">
        <f t="shared" si="16"/>
        <v>1835691.2882025428</v>
      </c>
      <c r="CE39" s="647">
        <v>0</v>
      </c>
      <c r="CF39" s="647">
        <f t="shared" si="17"/>
        <v>1835691.2882025428</v>
      </c>
      <c r="CG39" s="647">
        <v>-1806083.0141856642</v>
      </c>
      <c r="CH39" s="647">
        <f t="shared" si="18"/>
        <v>29608.274016878568</v>
      </c>
      <c r="CI39" s="647"/>
      <c r="CJ39" s="647"/>
      <c r="CK39" s="647"/>
      <c r="CL39" s="647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</row>
    <row r="40" spans="1:104" ht="16.5" thickTop="1" x14ac:dyDescent="0.25">
      <c r="A40" s="22"/>
      <c r="S40" s="22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 s="22">
        <f>ROW()</f>
        <v>40</v>
      </c>
      <c r="BD40" s="73" t="s">
        <v>17</v>
      </c>
      <c r="BE40" s="37">
        <f>+'SEF-35'!$E$12</f>
        <v>2.8909999999999999E-3</v>
      </c>
      <c r="BF40" s="972"/>
      <c r="BG40" s="972"/>
      <c r="BH40" s="64">
        <f>BH$36*BE40</f>
        <v>58054.486119000001</v>
      </c>
      <c r="BI40" s="64">
        <f>-BH40</f>
        <v>-58054.486119000001</v>
      </c>
      <c r="BJ40" s="64">
        <f t="shared" si="20"/>
        <v>0</v>
      </c>
      <c r="BK40" s="64"/>
      <c r="BL40" s="64">
        <f t="shared" si="21"/>
        <v>0</v>
      </c>
      <c r="BM40" s="64"/>
      <c r="BN40" s="64">
        <f t="shared" si="22"/>
        <v>0</v>
      </c>
      <c r="BO40" s="64"/>
      <c r="BP40" s="64">
        <f t="shared" si="23"/>
        <v>0</v>
      </c>
      <c r="BQ40" s="1790"/>
      <c r="BR40" s="1790"/>
      <c r="BS40" s="1790"/>
      <c r="BT40" s="1790"/>
      <c r="BU40" s="1016">
        <f>ROW()</f>
        <v>40</v>
      </c>
      <c r="BV40" s="971" t="s">
        <v>993</v>
      </c>
      <c r="BW40" s="971"/>
      <c r="BX40" s="647">
        <v>46598.034672490241</v>
      </c>
      <c r="BY40" s="1808">
        <v>0</v>
      </c>
      <c r="BZ40" s="647">
        <f t="shared" si="14"/>
        <v>46598.034672490241</v>
      </c>
      <c r="CA40" s="647">
        <v>48151.241606988267</v>
      </c>
      <c r="CB40" s="647">
        <f t="shared" si="15"/>
        <v>94749.276279478509</v>
      </c>
      <c r="CC40" s="647">
        <v>1553.2069344980409</v>
      </c>
      <c r="CD40" s="647">
        <f t="shared" si="16"/>
        <v>96302.483213976549</v>
      </c>
      <c r="CE40" s="647">
        <v>0</v>
      </c>
      <c r="CF40" s="647">
        <f t="shared" si="17"/>
        <v>96302.483213976549</v>
      </c>
      <c r="CG40" s="647">
        <v>-94749.276279478334</v>
      </c>
      <c r="CH40" s="647">
        <f t="shared" si="18"/>
        <v>1553.2069344982156</v>
      </c>
      <c r="CI40" s="647"/>
      <c r="CJ40" s="647"/>
      <c r="CK40" s="647"/>
      <c r="CL40" s="647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</row>
    <row r="41" spans="1:104" x14ac:dyDescent="0.25">
      <c r="A41" s="22"/>
      <c r="S41" s="22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 s="22">
        <f>ROW()</f>
        <v>41</v>
      </c>
      <c r="BD41" s="73" t="s">
        <v>20</v>
      </c>
      <c r="BE41" s="1151">
        <v>5.0000000000000001E-3</v>
      </c>
      <c r="BF41" s="972"/>
      <c r="BG41" s="972"/>
      <c r="BH41" s="794">
        <f>BH$36*BE41</f>
        <v>100405.545</v>
      </c>
      <c r="BI41" s="794">
        <f>-BH41</f>
        <v>-100405.545</v>
      </c>
      <c r="BJ41" s="64">
        <f t="shared" si="20"/>
        <v>0</v>
      </c>
      <c r="BK41" s="64"/>
      <c r="BL41" s="64">
        <f t="shared" si="21"/>
        <v>0</v>
      </c>
      <c r="BM41" s="64"/>
      <c r="BN41" s="64">
        <f t="shared" si="22"/>
        <v>0</v>
      </c>
      <c r="BO41" s="64"/>
      <c r="BP41" s="64">
        <f t="shared" si="23"/>
        <v>0</v>
      </c>
      <c r="BQ41" s="647"/>
      <c r="BR41" s="647"/>
      <c r="BS41" s="647"/>
      <c r="BT41" s="647"/>
      <c r="BU41" s="1016">
        <f>ROW()</f>
        <v>41</v>
      </c>
      <c r="BV41" s="971" t="s">
        <v>992</v>
      </c>
      <c r="BW41" s="971"/>
      <c r="BX41" s="647">
        <v>1272263</v>
      </c>
      <c r="BY41" s="1808">
        <v>0</v>
      </c>
      <c r="BZ41" s="647">
        <f t="shared" si="14"/>
        <v>1272263</v>
      </c>
      <c r="CA41" s="647">
        <v>1314672</v>
      </c>
      <c r="CB41" s="647">
        <f t="shared" si="15"/>
        <v>2586935</v>
      </c>
      <c r="CC41" s="647">
        <v>42409</v>
      </c>
      <c r="CD41" s="647">
        <f t="shared" si="16"/>
        <v>2629344</v>
      </c>
      <c r="CE41" s="647">
        <v>393.02820257330313</v>
      </c>
      <c r="CF41" s="647">
        <f t="shared" si="17"/>
        <v>2629737.0282025733</v>
      </c>
      <c r="CG41" s="647">
        <v>0</v>
      </c>
      <c r="CH41" s="647">
        <f t="shared" si="18"/>
        <v>2629737.0282025733</v>
      </c>
      <c r="CI41" s="647"/>
      <c r="CJ41" s="647"/>
      <c r="CK41" s="647"/>
      <c r="CL41" s="647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</row>
    <row r="42" spans="1:104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 s="22">
        <f>ROW()</f>
        <v>42</v>
      </c>
      <c r="BD42" s="73" t="s">
        <v>991</v>
      </c>
      <c r="BE42"/>
      <c r="BF42" s="972"/>
      <c r="BG42" s="972"/>
      <c r="BH42" s="64">
        <v>6303193.7592588468</v>
      </c>
      <c r="BI42" s="64">
        <f>-BH42</f>
        <v>-6303193.7592588468</v>
      </c>
      <c r="BJ42" s="64">
        <f t="shared" si="20"/>
        <v>0</v>
      </c>
      <c r="BK42" s="64"/>
      <c r="BL42" s="64">
        <f t="shared" si="21"/>
        <v>0</v>
      </c>
      <c r="BM42" s="64">
        <v>0</v>
      </c>
      <c r="BN42" s="64">
        <f t="shared" si="22"/>
        <v>0</v>
      </c>
      <c r="BO42" s="64">
        <v>0</v>
      </c>
      <c r="BP42" s="64">
        <f t="shared" si="23"/>
        <v>0</v>
      </c>
      <c r="BQ42" s="64"/>
      <c r="BR42" s="64"/>
      <c r="BS42" s="64"/>
      <c r="BT42" s="64"/>
      <c r="BU42" s="1016">
        <f>ROW()</f>
        <v>42</v>
      </c>
      <c r="BV42" s="971" t="s">
        <v>990</v>
      </c>
      <c r="BW42" s="971"/>
      <c r="BX42" s="647">
        <v>51323</v>
      </c>
      <c r="BY42" s="1808">
        <v>0</v>
      </c>
      <c r="BZ42" s="647">
        <f t="shared" si="14"/>
        <v>51323</v>
      </c>
      <c r="CA42" s="647">
        <v>53034</v>
      </c>
      <c r="CB42" s="647">
        <f t="shared" si="15"/>
        <v>104357</v>
      </c>
      <c r="CC42" s="647">
        <v>1711</v>
      </c>
      <c r="CD42" s="647">
        <f t="shared" si="16"/>
        <v>106068</v>
      </c>
      <c r="CE42" s="647">
        <v>12517.231128963002</v>
      </c>
      <c r="CF42" s="647">
        <f t="shared" si="17"/>
        <v>118585.231128963</v>
      </c>
      <c r="CG42" s="647">
        <v>0</v>
      </c>
      <c r="CH42" s="647">
        <f t="shared" si="18"/>
        <v>118585.231128963</v>
      </c>
      <c r="CI42" s="647"/>
      <c r="CJ42" s="647"/>
      <c r="CK42" s="647"/>
      <c r="CL42" s="647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</row>
    <row r="43" spans="1:104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 s="22">
        <f>ROW()</f>
        <v>43</v>
      </c>
      <c r="BD43" s="73" t="s">
        <v>319</v>
      </c>
      <c r="BE43" s="37">
        <f>+'SEF-35'!$E$14</f>
        <v>3.8408999999999999E-2</v>
      </c>
      <c r="BF43" s="972"/>
      <c r="BG43" s="972"/>
      <c r="BH43" s="64">
        <f>BH$36*BE43</f>
        <v>771295.31558099994</v>
      </c>
      <c r="BI43" s="64">
        <f>-BH43</f>
        <v>-771295.31558099994</v>
      </c>
      <c r="BJ43" s="64">
        <f t="shared" si="20"/>
        <v>0</v>
      </c>
      <c r="BK43" s="64"/>
      <c r="BL43" s="64">
        <f t="shared" si="21"/>
        <v>0</v>
      </c>
      <c r="BM43" s="64"/>
      <c r="BN43" s="64">
        <f t="shared" si="22"/>
        <v>0</v>
      </c>
      <c r="BO43" s="64">
        <v>0</v>
      </c>
      <c r="BP43" s="64">
        <f t="shared" si="23"/>
        <v>0</v>
      </c>
      <c r="BQ43" s="1051"/>
      <c r="BR43" s="1051"/>
      <c r="BS43" s="1051"/>
      <c r="BT43" s="1051"/>
      <c r="BU43" s="1016">
        <f>ROW()</f>
        <v>43</v>
      </c>
      <c r="BV43" s="971" t="s">
        <v>989</v>
      </c>
      <c r="BW43" s="971"/>
      <c r="BX43" s="1801">
        <v>0</v>
      </c>
      <c r="BY43" s="1808">
        <v>0</v>
      </c>
      <c r="BZ43" s="647">
        <f t="shared" si="14"/>
        <v>0</v>
      </c>
      <c r="CA43" s="647">
        <v>155878.90935166666</v>
      </c>
      <c r="CB43" s="647">
        <f t="shared" si="15"/>
        <v>155878.90935166666</v>
      </c>
      <c r="CC43" s="647">
        <v>1714668.0028683334</v>
      </c>
      <c r="CD43" s="647">
        <f t="shared" si="16"/>
        <v>1870546.9122200001</v>
      </c>
      <c r="CE43" s="647">
        <v>0</v>
      </c>
      <c r="CF43" s="647">
        <f t="shared" si="17"/>
        <v>1870546.9122200001</v>
      </c>
      <c r="CG43" s="647">
        <v>0</v>
      </c>
      <c r="CH43" s="647">
        <f t="shared" si="18"/>
        <v>1870546.9122200001</v>
      </c>
      <c r="CI43" s="647"/>
      <c r="CJ43" s="647"/>
      <c r="CK43" s="647"/>
      <c r="CL43" s="647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</row>
    <row r="44" spans="1:104" ht="15.75" thickBot="1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 s="22">
        <f>ROW()</f>
        <v>44</v>
      </c>
      <c r="BD44" s="73" t="s">
        <v>108</v>
      </c>
      <c r="BE44"/>
      <c r="BF44" s="1807">
        <f t="shared" ref="BF44:BP44" si="24">SUM(BF38:BF43)</f>
        <v>0</v>
      </c>
      <c r="BG44" s="1807">
        <f t="shared" si="24"/>
        <v>0</v>
      </c>
      <c r="BH44" s="889">
        <f t="shared" si="24"/>
        <v>929755.34670000011</v>
      </c>
      <c r="BI44" s="889">
        <f t="shared" si="24"/>
        <v>-929755.34670000011</v>
      </c>
      <c r="BJ44" s="1807">
        <f t="shared" si="24"/>
        <v>0</v>
      </c>
      <c r="BK44" s="1807">
        <f t="shared" si="24"/>
        <v>0</v>
      </c>
      <c r="BL44" s="1807">
        <f t="shared" si="24"/>
        <v>0</v>
      </c>
      <c r="BM44" s="1807">
        <f t="shared" si="24"/>
        <v>0</v>
      </c>
      <c r="BN44" s="1807">
        <f t="shared" si="24"/>
        <v>0</v>
      </c>
      <c r="BO44" s="1807">
        <f t="shared" si="24"/>
        <v>0</v>
      </c>
      <c r="BP44" s="1807">
        <f t="shared" si="24"/>
        <v>0</v>
      </c>
      <c r="BQ44" s="62"/>
      <c r="BR44" s="62"/>
      <c r="BS44" s="62"/>
      <c r="BT44" s="62"/>
      <c r="BU44" s="1016">
        <f>ROW()</f>
        <v>44</v>
      </c>
      <c r="BV44" s="730" t="s">
        <v>307</v>
      </c>
      <c r="BW44" s="730"/>
      <c r="BX44" s="1082">
        <f t="shared" ref="BX44:CL44" si="25">SUM(BX31:BX43)</f>
        <v>10008591.155676333</v>
      </c>
      <c r="BY44" s="1082">
        <f t="shared" si="25"/>
        <v>0</v>
      </c>
      <c r="BZ44" s="1082">
        <f t="shared" si="25"/>
        <v>10008591.155676333</v>
      </c>
      <c r="CA44" s="1082">
        <f t="shared" si="25"/>
        <v>3006064.1893195645</v>
      </c>
      <c r="CB44" s="1082">
        <f t="shared" si="25"/>
        <v>13014655.344995899</v>
      </c>
      <c r="CC44" s="1082">
        <f t="shared" si="25"/>
        <v>-2524766.5081862849</v>
      </c>
      <c r="CD44" s="1082">
        <f t="shared" si="25"/>
        <v>10489888.836809615</v>
      </c>
      <c r="CE44" s="1082">
        <f t="shared" si="25"/>
        <v>12910.259331536305</v>
      </c>
      <c r="CF44" s="1082">
        <f t="shared" si="25"/>
        <v>10502799.09614115</v>
      </c>
      <c r="CG44" s="1082">
        <f t="shared" si="25"/>
        <v>-5789027.7821293194</v>
      </c>
      <c r="CH44" s="1082">
        <f t="shared" si="25"/>
        <v>4713771.3140118318</v>
      </c>
      <c r="CI44" s="1082">
        <f t="shared" si="25"/>
        <v>0</v>
      </c>
      <c r="CJ44" s="1082">
        <f t="shared" si="25"/>
        <v>0</v>
      </c>
      <c r="CK44" s="1082">
        <f t="shared" si="25"/>
        <v>0</v>
      </c>
      <c r="CL44" s="1082">
        <f t="shared" si="25"/>
        <v>0</v>
      </c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</row>
    <row r="45" spans="1:104" ht="16.5" thickTop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 s="22">
        <f>ROW()</f>
        <v>45</v>
      </c>
      <c r="BD45" s="1806"/>
      <c r="BE45"/>
      <c r="BF45" s="1790"/>
      <c r="BG45" s="1790"/>
      <c r="BH45" s="1790"/>
      <c r="BI45" s="1791"/>
      <c r="BJ45" s="1790"/>
      <c r="BK45" s="1790"/>
      <c r="BL45" s="1790"/>
      <c r="BM45" s="1791"/>
      <c r="BN45" s="1790"/>
      <c r="BO45" s="1790"/>
      <c r="BP45" s="1790"/>
      <c r="BQ45"/>
      <c r="BR45"/>
      <c r="BS45"/>
      <c r="BT45"/>
      <c r="BU45" s="1016">
        <f>ROW()</f>
        <v>45</v>
      </c>
      <c r="BV45" s="1086"/>
      <c r="BW45" s="1086"/>
      <c r="BX45" s="1086"/>
      <c r="BY45" s="1086"/>
      <c r="BZ45" s="1086"/>
      <c r="CA45" s="1086"/>
      <c r="CB45" s="1086"/>
      <c r="CC45" s="1086"/>
      <c r="CD45" s="1086"/>
      <c r="CE45" s="1086"/>
      <c r="CF45" s="1086"/>
      <c r="CG45" s="1086"/>
      <c r="CH45" s="1086"/>
      <c r="CI45" s="1805"/>
      <c r="CJ45" s="1805"/>
      <c r="CK45" s="1805"/>
      <c r="CL45" s="180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</row>
    <row r="46" spans="1:104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 s="22">
        <f>ROW()</f>
        <v>46</v>
      </c>
      <c r="BD46" s="694" t="s">
        <v>313</v>
      </c>
      <c r="BE46"/>
      <c r="BF46" s="972"/>
      <c r="BG46" s="972"/>
      <c r="BH46" s="823">
        <f t="shared" ref="BH46:BN46" si="26">BH44</f>
        <v>929755.34670000011</v>
      </c>
      <c r="BI46" s="823">
        <f t="shared" si="26"/>
        <v>-929755.34670000011</v>
      </c>
      <c r="BJ46" s="647">
        <f t="shared" si="26"/>
        <v>0</v>
      </c>
      <c r="BK46" s="647">
        <f t="shared" si="26"/>
        <v>0</v>
      </c>
      <c r="BL46" s="647">
        <f t="shared" si="26"/>
        <v>0</v>
      </c>
      <c r="BM46" s="647">
        <f t="shared" si="26"/>
        <v>0</v>
      </c>
      <c r="BN46" s="647">
        <f t="shared" si="26"/>
        <v>0</v>
      </c>
      <c r="BO46" s="64">
        <f>BP46-BN46</f>
        <v>0</v>
      </c>
      <c r="BP46" s="647">
        <f>BP44</f>
        <v>0</v>
      </c>
      <c r="BQ46"/>
      <c r="BR46"/>
      <c r="BS46"/>
      <c r="BT46"/>
      <c r="BU46" s="1016">
        <f>ROW()</f>
        <v>46</v>
      </c>
      <c r="BV46" s="1801"/>
      <c r="BW46" s="755">
        <v>0.21</v>
      </c>
      <c r="BX46" s="1084">
        <f t="shared" ref="BX46:CL46" si="27">-BX44*$BW$46</f>
        <v>-2101804.1426920299</v>
      </c>
      <c r="BY46" s="1084">
        <f t="shared" si="27"/>
        <v>0</v>
      </c>
      <c r="BZ46" s="1084">
        <f t="shared" si="27"/>
        <v>-2101804.1426920299</v>
      </c>
      <c r="CA46" s="1084">
        <f t="shared" si="27"/>
        <v>-631273.47975710849</v>
      </c>
      <c r="CB46" s="1084">
        <f t="shared" si="27"/>
        <v>-2733077.6224491387</v>
      </c>
      <c r="CC46" s="1084">
        <f t="shared" si="27"/>
        <v>530200.96671911981</v>
      </c>
      <c r="CD46" s="1084">
        <f t="shared" si="27"/>
        <v>-2202876.6557300189</v>
      </c>
      <c r="CE46" s="1084">
        <f t="shared" si="27"/>
        <v>-2711.154459622624</v>
      </c>
      <c r="CF46" s="1084">
        <f t="shared" si="27"/>
        <v>-2205587.8101896415</v>
      </c>
      <c r="CG46" s="1084">
        <f t="shared" si="27"/>
        <v>1215695.834247157</v>
      </c>
      <c r="CH46" s="1084">
        <f t="shared" si="27"/>
        <v>-989891.97594248469</v>
      </c>
      <c r="CI46" s="1084">
        <f t="shared" si="27"/>
        <v>0</v>
      </c>
      <c r="CJ46" s="1084">
        <f t="shared" si="27"/>
        <v>0</v>
      </c>
      <c r="CK46" s="1084">
        <f t="shared" si="27"/>
        <v>0</v>
      </c>
      <c r="CL46" s="1084">
        <f t="shared" si="27"/>
        <v>0</v>
      </c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</row>
    <row r="47" spans="1:104" ht="15.75" thickBot="1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 s="22">
        <f>ROW()</f>
        <v>47</v>
      </c>
      <c r="BD47" s="694"/>
      <c r="BE47"/>
      <c r="BF47" s="972"/>
      <c r="BG47" s="972"/>
      <c r="BH47" s="794"/>
      <c r="BI47" s="794"/>
      <c r="BJ47" s="64"/>
      <c r="BK47" s="64"/>
      <c r="BL47" s="64"/>
      <c r="BM47" s="64">
        <f>BM45</f>
        <v>0</v>
      </c>
      <c r="BN47" s="64"/>
      <c r="BO47"/>
      <c r="BP47" s="64"/>
      <c r="BQ47"/>
      <c r="BR47"/>
      <c r="BS47"/>
      <c r="BT47"/>
      <c r="BU47" s="1016">
        <f>ROW()</f>
        <v>47</v>
      </c>
      <c r="BV47" s="1801"/>
      <c r="BW47" s="1804"/>
      <c r="BX47" s="725">
        <f t="shared" ref="BX47:CL47" si="28">-BX44-BX46</f>
        <v>-7906787.0129843038</v>
      </c>
      <c r="BY47" s="725">
        <f t="shared" si="28"/>
        <v>0</v>
      </c>
      <c r="BZ47" s="725">
        <f t="shared" si="28"/>
        <v>-7906787.0129843038</v>
      </c>
      <c r="CA47" s="725">
        <f t="shared" si="28"/>
        <v>-2374790.7095624562</v>
      </c>
      <c r="CB47" s="725">
        <f t="shared" si="28"/>
        <v>-10281577.72254676</v>
      </c>
      <c r="CC47" s="725">
        <f t="shared" si="28"/>
        <v>1994565.5414671651</v>
      </c>
      <c r="CD47" s="725">
        <f t="shared" si="28"/>
        <v>-8287012.1810795963</v>
      </c>
      <c r="CE47" s="725">
        <f t="shared" si="28"/>
        <v>-10199.104871913682</v>
      </c>
      <c r="CF47" s="725">
        <f t="shared" si="28"/>
        <v>-8297211.2859515082</v>
      </c>
      <c r="CG47" s="725">
        <f t="shared" si="28"/>
        <v>4573331.9478821624</v>
      </c>
      <c r="CH47" s="725">
        <f t="shared" si="28"/>
        <v>-3723879.3380693472</v>
      </c>
      <c r="CI47" s="725">
        <f t="shared" si="28"/>
        <v>0</v>
      </c>
      <c r="CJ47" s="725">
        <f t="shared" si="28"/>
        <v>0</v>
      </c>
      <c r="CK47" s="725">
        <f t="shared" si="28"/>
        <v>0</v>
      </c>
      <c r="CL47" s="725">
        <f t="shared" si="28"/>
        <v>0</v>
      </c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</row>
    <row r="48" spans="1:104" ht="15.75" thickTop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 s="22">
        <f>ROW()</f>
        <v>48</v>
      </c>
      <c r="BD48" s="694" t="s">
        <v>283</v>
      </c>
      <c r="BE48" s="695">
        <v>0.21</v>
      </c>
      <c r="BF48" s="972"/>
      <c r="BG48" s="972"/>
      <c r="BH48" s="1803">
        <f t="shared" ref="BH48:BP48" si="29">(BH36-BH44)*$BE$48</f>
        <v>4021784.2671929994</v>
      </c>
      <c r="BI48" s="1803">
        <f t="shared" si="29"/>
        <v>-4021784.2671929994</v>
      </c>
      <c r="BJ48" s="1051">
        <f t="shared" si="29"/>
        <v>0</v>
      </c>
      <c r="BK48" s="1051">
        <f t="shared" si="29"/>
        <v>0</v>
      </c>
      <c r="BL48" s="1051">
        <f t="shared" si="29"/>
        <v>0</v>
      </c>
      <c r="BM48" s="1051">
        <f t="shared" si="29"/>
        <v>0</v>
      </c>
      <c r="BN48" s="1051">
        <f t="shared" si="29"/>
        <v>0</v>
      </c>
      <c r="BO48" s="1051">
        <f t="shared" si="29"/>
        <v>0</v>
      </c>
      <c r="BP48" s="1051">
        <f t="shared" si="29"/>
        <v>0</v>
      </c>
      <c r="BQ48"/>
      <c r="BR48"/>
      <c r="BS48"/>
      <c r="BT48"/>
      <c r="BU48" s="1016">
        <f>ROW()</f>
        <v>48</v>
      </c>
      <c r="BV48" s="550" t="s">
        <v>988</v>
      </c>
      <c r="BW48" s="858"/>
      <c r="BX48" s="858"/>
      <c r="BY48" s="858"/>
      <c r="BZ48" s="1801"/>
      <c r="CA48" s="1801"/>
      <c r="CB48" s="1801"/>
      <c r="CC48" s="1801"/>
      <c r="CD48" s="1801"/>
      <c r="CE48" s="1801"/>
      <c r="CF48" s="1801"/>
      <c r="CG48" s="1801"/>
      <c r="CH48" s="1801"/>
      <c r="CI48"/>
      <c r="CJ48"/>
      <c r="CK48"/>
      <c r="CL48"/>
      <c r="CM48" s="1016"/>
      <c r="CN48"/>
      <c r="CO48"/>
      <c r="CP48"/>
      <c r="CQ48"/>
      <c r="CR48"/>
      <c r="CS48"/>
      <c r="CT48"/>
      <c r="CU48"/>
      <c r="CV48"/>
      <c r="CW48"/>
      <c r="CX48"/>
      <c r="CY48"/>
      <c r="CZ48"/>
    </row>
    <row r="49" spans="1:104" ht="15.75" thickBot="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 s="22">
        <f>ROW()</f>
        <v>49</v>
      </c>
      <c r="BD49" s="694" t="s">
        <v>240</v>
      </c>
      <c r="BE49"/>
      <c r="BF49" s="62">
        <f t="shared" ref="BF49:BP49" si="30">BF36-BF46-BF48</f>
        <v>0</v>
      </c>
      <c r="BG49" s="62">
        <f t="shared" si="30"/>
        <v>0</v>
      </c>
      <c r="BH49" s="61">
        <f t="shared" si="30"/>
        <v>15129569.386107</v>
      </c>
      <c r="BI49" s="61">
        <f t="shared" si="30"/>
        <v>-15129569.386107</v>
      </c>
      <c r="BJ49" s="62">
        <f t="shared" si="30"/>
        <v>0</v>
      </c>
      <c r="BK49" s="62">
        <f t="shared" si="30"/>
        <v>0</v>
      </c>
      <c r="BL49" s="62">
        <f t="shared" si="30"/>
        <v>0</v>
      </c>
      <c r="BM49" s="62">
        <f t="shared" si="30"/>
        <v>0</v>
      </c>
      <c r="BN49" s="62">
        <f t="shared" si="30"/>
        <v>0</v>
      </c>
      <c r="BO49" s="62">
        <f t="shared" si="30"/>
        <v>0</v>
      </c>
      <c r="BP49" s="62">
        <f t="shared" si="30"/>
        <v>0</v>
      </c>
      <c r="BQ49"/>
      <c r="BR49"/>
      <c r="BS49"/>
      <c r="BT49"/>
      <c r="BU49" s="1016">
        <f>ROW()</f>
        <v>49</v>
      </c>
      <c r="BV49" s="1802" t="s">
        <v>987</v>
      </c>
      <c r="BW49" s="858"/>
      <c r="BX49" s="858"/>
      <c r="BY49" s="858"/>
      <c r="BZ49" s="858"/>
      <c r="CA49" s="1801"/>
      <c r="CB49" s="1801"/>
      <c r="CC49" s="1801"/>
      <c r="CD49" s="1801"/>
      <c r="CE49" s="1801"/>
      <c r="CF49" s="1801"/>
      <c r="CG49" s="1801"/>
      <c r="CH49" s="1801"/>
      <c r="CI49"/>
      <c r="CJ49"/>
      <c r="CK49"/>
      <c r="CL49"/>
      <c r="CM49" s="1016"/>
      <c r="CN49"/>
      <c r="CO49"/>
      <c r="CP49"/>
      <c r="CQ49"/>
      <c r="CR49"/>
      <c r="CS49"/>
      <c r="CT49"/>
      <c r="CU49"/>
      <c r="CV49"/>
      <c r="CW49"/>
      <c r="CX49"/>
      <c r="CY49"/>
      <c r="CZ49"/>
    </row>
    <row r="50" spans="1:104" ht="15.75" thickTop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 s="22">
        <f>ROW()</f>
        <v>50</v>
      </c>
      <c r="BD50" s="88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 s="858"/>
      <c r="BV50" s="858"/>
      <c r="BW50" s="858"/>
      <c r="BX50" s="858"/>
      <c r="BY50" s="858"/>
      <c r="BZ50" s="858"/>
      <c r="CA50" s="1801"/>
      <c r="CB50" s="1801"/>
      <c r="CC50" s="1801"/>
      <c r="CD50" s="1801"/>
      <c r="CE50" s="1801"/>
      <c r="CF50" s="1801"/>
      <c r="CG50" s="1801"/>
      <c r="CH50" s="1801"/>
      <c r="CI50"/>
      <c r="CJ50"/>
      <c r="CK50"/>
      <c r="CL50"/>
      <c r="CN50"/>
      <c r="CO50"/>
      <c r="CP50"/>
      <c r="CQ50"/>
      <c r="CR50"/>
      <c r="CS50"/>
      <c r="CT50"/>
      <c r="CU50"/>
      <c r="CV50"/>
      <c r="CW50"/>
      <c r="CX50"/>
      <c r="CY50"/>
      <c r="CZ50"/>
    </row>
    <row r="51" spans="1:104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 s="22">
        <f>ROW()</f>
        <v>51</v>
      </c>
      <c r="BD51" s="73" t="s">
        <v>986</v>
      </c>
      <c r="BE51"/>
      <c r="BF51"/>
      <c r="BG51"/>
      <c r="BH51"/>
      <c r="BI51" s="1800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 s="19"/>
      <c r="CB51" s="19"/>
      <c r="CC51" s="19"/>
      <c r="CD51" s="19"/>
      <c r="CE51" s="19"/>
      <c r="CF51" s="19"/>
      <c r="CG51" s="19"/>
      <c r="CH51" s="19"/>
      <c r="CI51"/>
      <c r="CJ51"/>
      <c r="CK51"/>
      <c r="CL51"/>
      <c r="CN51"/>
      <c r="CO51"/>
      <c r="CP51"/>
      <c r="CQ51"/>
      <c r="CR51"/>
      <c r="CS51"/>
      <c r="CT51"/>
      <c r="CU51"/>
      <c r="CV51"/>
      <c r="CW51"/>
      <c r="CX51"/>
      <c r="CY51"/>
      <c r="CZ51"/>
    </row>
    <row r="52" spans="1:104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 s="22">
        <f>ROW()</f>
        <v>52</v>
      </c>
      <c r="BD52" s="73" t="s">
        <v>985</v>
      </c>
      <c r="BE52"/>
      <c r="BF52"/>
      <c r="BG52"/>
      <c r="BH52"/>
      <c r="BI52" s="1660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 s="19"/>
      <c r="CB52" s="19"/>
      <c r="CC52" s="19"/>
      <c r="CD52" s="19"/>
      <c r="CE52" s="19"/>
      <c r="CF52" s="19"/>
      <c r="CG52" s="19"/>
      <c r="CH52" s="19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</row>
    <row r="53" spans="1:104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 s="22">
        <f>ROW()</f>
        <v>53</v>
      </c>
      <c r="BD53" s="73" t="s">
        <v>984</v>
      </c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 s="19"/>
      <c r="CB53" s="19"/>
      <c r="CC53" s="19"/>
      <c r="CD53" s="19"/>
      <c r="CE53" s="19"/>
      <c r="CF53" s="19"/>
      <c r="CG53" s="19"/>
      <c r="CH53" s="19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</row>
    <row r="54" spans="1:104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 s="22">
        <f>ROW()</f>
        <v>54</v>
      </c>
      <c r="BD54" s="73" t="s">
        <v>983</v>
      </c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 s="19"/>
      <c r="CB54" s="19"/>
      <c r="CC54" s="19"/>
      <c r="CD54" s="19"/>
      <c r="CE54" s="19"/>
      <c r="CF54" s="19"/>
      <c r="CG54" s="19"/>
      <c r="CH54" s="19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</row>
    <row r="55" spans="1:104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</row>
    <row r="56" spans="1:104" x14ac:dyDescent="0.25">
      <c r="A56" s="65" t="s">
        <v>30</v>
      </c>
      <c r="B56" s="65" t="s">
        <v>30</v>
      </c>
      <c r="C56" s="65" t="s">
        <v>30</v>
      </c>
      <c r="D56" s="65" t="s">
        <v>30</v>
      </c>
      <c r="E56" s="65" t="s">
        <v>30</v>
      </c>
      <c r="F56" s="65" t="s">
        <v>30</v>
      </c>
      <c r="G56" s="65" t="s">
        <v>30</v>
      </c>
      <c r="H56" s="65" t="s">
        <v>30</v>
      </c>
      <c r="I56" s="65" t="s">
        <v>30</v>
      </c>
      <c r="J56" s="65" t="s">
        <v>30</v>
      </c>
      <c r="K56" s="65" t="s">
        <v>30</v>
      </c>
      <c r="L56" s="65" t="s">
        <v>30</v>
      </c>
      <c r="M56" s="65" t="s">
        <v>30</v>
      </c>
      <c r="N56" s="65" t="s">
        <v>30</v>
      </c>
      <c r="O56" s="65" t="s">
        <v>30</v>
      </c>
      <c r="P56" s="65" t="s">
        <v>30</v>
      </c>
      <c r="Q56" s="65" t="s">
        <v>30</v>
      </c>
      <c r="R56" s="65" t="s">
        <v>30</v>
      </c>
      <c r="S56" s="65" t="s">
        <v>30</v>
      </c>
      <c r="T56" s="65" t="s">
        <v>30</v>
      </c>
      <c r="U56" s="65" t="s">
        <v>30</v>
      </c>
      <c r="V56" s="65" t="s">
        <v>30</v>
      </c>
      <c r="W56" s="65" t="s">
        <v>30</v>
      </c>
      <c r="X56" s="65" t="s">
        <v>30</v>
      </c>
      <c r="Y56" s="65" t="s">
        <v>30</v>
      </c>
      <c r="Z56" s="65" t="s">
        <v>30</v>
      </c>
      <c r="AA56" s="65" t="s">
        <v>30</v>
      </c>
      <c r="AB56" s="65" t="s">
        <v>30</v>
      </c>
      <c r="AC56" s="65" t="s">
        <v>30</v>
      </c>
      <c r="AD56" s="65" t="s">
        <v>30</v>
      </c>
      <c r="AE56" s="65" t="s">
        <v>30</v>
      </c>
      <c r="AF56" s="65" t="s">
        <v>30</v>
      </c>
      <c r="AG56" s="65" t="s">
        <v>30</v>
      </c>
      <c r="AH56" s="65" t="s">
        <v>30</v>
      </c>
      <c r="AI56" s="65" t="s">
        <v>30</v>
      </c>
      <c r="AJ56" s="65" t="s">
        <v>30</v>
      </c>
      <c r="AK56" s="65" t="s">
        <v>30</v>
      </c>
      <c r="AL56" s="65" t="s">
        <v>30</v>
      </c>
      <c r="AM56" s="65" t="s">
        <v>30</v>
      </c>
      <c r="AN56" s="65" t="s">
        <v>30</v>
      </c>
      <c r="AO56" s="65" t="s">
        <v>30</v>
      </c>
      <c r="AP56" s="65" t="s">
        <v>30</v>
      </c>
      <c r="AQ56" s="65" t="s">
        <v>30</v>
      </c>
      <c r="AR56" s="65" t="s">
        <v>30</v>
      </c>
      <c r="AS56" s="65" t="s">
        <v>30</v>
      </c>
      <c r="AT56" s="65" t="s">
        <v>30</v>
      </c>
      <c r="AU56" s="65" t="s">
        <v>30</v>
      </c>
      <c r="AV56" s="65" t="s">
        <v>30</v>
      </c>
      <c r="AW56" s="65" t="s">
        <v>30</v>
      </c>
      <c r="AX56" s="65" t="s">
        <v>30</v>
      </c>
      <c r="AY56" s="65" t="s">
        <v>30</v>
      </c>
      <c r="AZ56" s="65" t="s">
        <v>30</v>
      </c>
      <c r="BA56" s="65" t="s">
        <v>30</v>
      </c>
      <c r="BB56" s="65" t="s">
        <v>30</v>
      </c>
      <c r="BC56" s="65" t="s">
        <v>30</v>
      </c>
      <c r="BD56" s="523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</row>
    <row r="57" spans="1:104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 s="712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1799"/>
      <c r="BP57" s="1799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</row>
    <row r="58" spans="1:104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 s="712"/>
      <c r="BE58" s="99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</row>
    <row r="59" spans="1:104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 s="1161"/>
      <c r="BE59" s="99"/>
      <c r="BF59" s="1789"/>
      <c r="BG59" s="1789"/>
      <c r="BH59" s="980"/>
      <c r="BI59" s="980"/>
      <c r="BJ59" s="980"/>
      <c r="BK59" s="980"/>
      <c r="BL59" s="980"/>
      <c r="BM59" s="980"/>
      <c r="BN59" s="980"/>
      <c r="BO59" s="980"/>
      <c r="BP59" s="980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</row>
    <row r="60" spans="1:104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 s="1161"/>
      <c r="BE60" s="99"/>
      <c r="BF60" s="1789"/>
      <c r="BG60" s="1789"/>
      <c r="BH60" s="64"/>
      <c r="BI60" s="64"/>
      <c r="BJ60" s="64"/>
      <c r="BK60" s="64"/>
      <c r="BL60" s="64"/>
      <c r="BM60" s="1793"/>
      <c r="BN60" s="64"/>
      <c r="BO60" s="1793"/>
      <c r="BP60" s="64"/>
      <c r="BQ60"/>
      <c r="BR60"/>
      <c r="BS60"/>
      <c r="BT60"/>
      <c r="BU60"/>
      <c r="BV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</row>
    <row r="61" spans="1:104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C61"/>
      <c r="BD61" s="1161"/>
      <c r="BE61" s="99"/>
      <c r="BF61" s="1789"/>
      <c r="BG61" s="1789"/>
      <c r="BH61" s="64"/>
      <c r="BI61" s="64"/>
      <c r="BJ61" s="64"/>
      <c r="BK61" s="64"/>
      <c r="BL61" s="64"/>
      <c r="BM61" s="1793"/>
      <c r="BN61" s="64"/>
      <c r="BO61" s="1793"/>
      <c r="BP61" s="64"/>
      <c r="BQ61"/>
      <c r="BR61"/>
      <c r="BS61"/>
      <c r="BT61"/>
      <c r="BU61"/>
      <c r="BV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</row>
    <row r="62" spans="1:104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C62"/>
      <c r="BD62" s="1382"/>
      <c r="BE62" s="99"/>
      <c r="BF62" s="64"/>
      <c r="BG62" s="64"/>
      <c r="BH62" s="64"/>
      <c r="BI62" s="64"/>
      <c r="BJ62" s="64"/>
      <c r="BK62" s="64"/>
      <c r="BL62" s="64"/>
      <c r="BM62" s="1793"/>
      <c r="BN62" s="64"/>
      <c r="BO62" s="1793"/>
      <c r="BP62" s="64"/>
      <c r="BQ62"/>
      <c r="BR62"/>
      <c r="BS62"/>
      <c r="BT62"/>
      <c r="BU62"/>
      <c r="BV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</row>
    <row r="63" spans="1:104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C63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/>
      <c r="BR63"/>
      <c r="BS63"/>
      <c r="BT63"/>
      <c r="BU63"/>
      <c r="BV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</row>
    <row r="64" spans="1:104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BC64"/>
      <c r="BD64" s="712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/>
      <c r="BR64"/>
      <c r="BS64"/>
      <c r="BT64"/>
      <c r="BU64"/>
      <c r="BV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</row>
    <row r="65" spans="1:104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BC65"/>
      <c r="BD65" s="1161"/>
      <c r="BE65" s="99"/>
      <c r="BF65" s="1789"/>
      <c r="BG65" s="1789"/>
      <c r="BH65" s="980"/>
      <c r="BI65" s="980"/>
      <c r="BJ65" s="980"/>
      <c r="BK65" s="980"/>
      <c r="BL65" s="980"/>
      <c r="BM65" s="1798"/>
      <c r="BN65" s="980"/>
      <c r="BO65" s="980"/>
      <c r="BP65" s="980"/>
      <c r="BQ65"/>
      <c r="BR65"/>
      <c r="BS65"/>
      <c r="BT65"/>
      <c r="BU65"/>
      <c r="BV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</row>
    <row r="66" spans="1:104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BC66"/>
      <c r="BD66" s="1161"/>
      <c r="BE66" s="99"/>
      <c r="BF66" s="1789"/>
      <c r="BG66" s="1789"/>
      <c r="BH66" s="64"/>
      <c r="BI66" s="64"/>
      <c r="BJ66" s="64"/>
      <c r="BK66" s="64"/>
      <c r="BL66" s="64"/>
      <c r="BM66" s="1793"/>
      <c r="BN66" s="64"/>
      <c r="BO66" s="64"/>
      <c r="BP66" s="64"/>
      <c r="BQ66"/>
      <c r="BR66"/>
      <c r="BS66"/>
      <c r="BT66"/>
      <c r="BU66"/>
      <c r="BV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</row>
    <row r="67" spans="1:104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BC67"/>
      <c r="BD67" s="1161"/>
      <c r="BE67" s="99"/>
      <c r="BF67" s="1789"/>
      <c r="BG67" s="1789"/>
      <c r="BH67" s="64"/>
      <c r="BI67" s="64"/>
      <c r="BJ67" s="64"/>
      <c r="BK67" s="64"/>
      <c r="BL67" s="64"/>
      <c r="BM67" s="1793"/>
      <c r="BN67" s="64"/>
      <c r="BO67" s="64"/>
      <c r="BP67" s="64"/>
      <c r="BQ67"/>
      <c r="BR67"/>
      <c r="BS67"/>
      <c r="BT67"/>
      <c r="BU67"/>
      <c r="BV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</row>
    <row r="68" spans="1:104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BC68"/>
      <c r="BD68" s="1161"/>
      <c r="BE68" s="99"/>
      <c r="BF68" s="1789"/>
      <c r="BG68" s="1789"/>
      <c r="BH68" s="64"/>
      <c r="BI68" s="64"/>
      <c r="BJ68" s="64"/>
      <c r="BK68" s="64"/>
      <c r="BL68" s="64"/>
      <c r="BM68" s="1793"/>
      <c r="BN68" s="64"/>
      <c r="BO68" s="64"/>
      <c r="BP68" s="64"/>
      <c r="BQ68"/>
      <c r="BR68"/>
      <c r="BS68"/>
      <c r="BT68"/>
      <c r="BU68"/>
      <c r="BV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</row>
    <row r="69" spans="1:104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BC69"/>
      <c r="BD69" s="1161"/>
      <c r="BE69" s="99"/>
      <c r="BF69" s="1789"/>
      <c r="BG69" s="1789"/>
      <c r="BH69" s="64"/>
      <c r="BI69" s="64"/>
      <c r="BJ69" s="64"/>
      <c r="BK69" s="64"/>
      <c r="BL69" s="64"/>
      <c r="BM69" s="1793"/>
      <c r="BN69" s="64"/>
      <c r="BO69" s="64"/>
      <c r="BP69" s="64"/>
      <c r="BQ69"/>
      <c r="BR69"/>
      <c r="BS69"/>
      <c r="BT69"/>
      <c r="BU69"/>
      <c r="BV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</row>
    <row r="70" spans="1:104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BC70"/>
      <c r="BD70" s="1161"/>
      <c r="BE70" s="99"/>
      <c r="BF70" s="1789"/>
      <c r="BG70" s="1789"/>
      <c r="BH70" s="64"/>
      <c r="BI70" s="64"/>
      <c r="BJ70" s="64"/>
      <c r="BK70" s="64"/>
      <c r="BL70" s="64"/>
      <c r="BM70" s="1793"/>
      <c r="BN70" s="64"/>
      <c r="BO70" s="64"/>
      <c r="BP70" s="64"/>
      <c r="BQ70"/>
      <c r="BR70"/>
      <c r="BS70"/>
      <c r="BT70"/>
      <c r="BU70"/>
      <c r="BV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</row>
    <row r="71" spans="1:104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BC71"/>
      <c r="BD71" s="1217"/>
      <c r="BE71" s="99"/>
      <c r="BF71" s="64"/>
      <c r="BG71" s="64"/>
      <c r="BH71" s="64"/>
      <c r="BI71" s="64"/>
      <c r="BJ71" s="64"/>
      <c r="BK71" s="64"/>
      <c r="BL71" s="64"/>
      <c r="BM71" s="1793"/>
      <c r="BN71" s="64"/>
      <c r="BO71" s="64"/>
      <c r="BP71" s="64"/>
      <c r="BQ71"/>
      <c r="BR71"/>
      <c r="BS71"/>
      <c r="BT71"/>
      <c r="BU71"/>
      <c r="BV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</row>
    <row r="72" spans="1:104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BC72"/>
      <c r="BD72" s="1382"/>
      <c r="BE72" s="99"/>
      <c r="BF72" s="64"/>
      <c r="BG72" s="64"/>
      <c r="BH72" s="64"/>
      <c r="BI72" s="64"/>
      <c r="BJ72" s="64"/>
      <c r="BK72" s="64"/>
      <c r="BL72" s="64"/>
      <c r="BM72" s="1793"/>
      <c r="BN72" s="64"/>
      <c r="BO72" s="64"/>
      <c r="BP72" s="64"/>
      <c r="BQ72"/>
      <c r="BR72"/>
      <c r="BS72"/>
      <c r="BT72"/>
      <c r="BU72"/>
      <c r="BV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</row>
    <row r="73" spans="1:104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BC73"/>
      <c r="BD73" s="1382"/>
      <c r="BE73" s="99"/>
      <c r="BF73" s="647"/>
      <c r="BG73" s="647"/>
      <c r="BH73" s="647"/>
      <c r="BI73" s="647"/>
      <c r="BJ73" s="647"/>
      <c r="BK73" s="647"/>
      <c r="BL73" s="647"/>
      <c r="BM73" s="1797"/>
      <c r="BN73" s="647"/>
      <c r="BO73" s="647"/>
      <c r="BP73" s="647"/>
      <c r="BQ73"/>
      <c r="BR73"/>
      <c r="BS73"/>
      <c r="BT73"/>
      <c r="BU73"/>
      <c r="BV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</row>
    <row r="74" spans="1:104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BC74"/>
      <c r="BD74" s="1382"/>
      <c r="BE74" s="99"/>
      <c r="BF74" s="647"/>
      <c r="BG74" s="647"/>
      <c r="BH74" s="647"/>
      <c r="BI74" s="647"/>
      <c r="BJ74" s="647"/>
      <c r="BK74" s="647"/>
      <c r="BL74" s="647"/>
      <c r="BM74" s="1797"/>
      <c r="BN74" s="647"/>
      <c r="BO74" s="647"/>
      <c r="BP74" s="647"/>
      <c r="BQ74"/>
      <c r="BR74"/>
      <c r="BS74"/>
      <c r="BT74"/>
      <c r="BU74"/>
      <c r="BV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</row>
    <row r="75" spans="1:104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BC75"/>
      <c r="BD75" s="712"/>
      <c r="BE75" s="1796"/>
      <c r="BF75" s="1794"/>
      <c r="BG75" s="1794"/>
      <c r="BH75" s="1794"/>
      <c r="BI75" s="1794"/>
      <c r="BJ75" s="1794"/>
      <c r="BK75" s="1794"/>
      <c r="BL75" s="1794"/>
      <c r="BM75" s="1795"/>
      <c r="BN75" s="1794"/>
      <c r="BO75" s="1794"/>
      <c r="BP75" s="1794"/>
      <c r="BQ75"/>
      <c r="BR75"/>
      <c r="BS75"/>
      <c r="BT75"/>
      <c r="BU75"/>
      <c r="BV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</row>
    <row r="76" spans="1:104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BC76"/>
      <c r="BD76" s="1217"/>
      <c r="BE76" s="1796"/>
      <c r="BF76" s="1789"/>
      <c r="BG76" s="1789"/>
      <c r="BH76" s="980"/>
      <c r="BI76" s="64"/>
      <c r="BJ76" s="980"/>
      <c r="BK76" s="980"/>
      <c r="BL76" s="980"/>
      <c r="BM76" s="980"/>
      <c r="BN76" s="980"/>
      <c r="BO76" s="980"/>
      <c r="BP76" s="980"/>
      <c r="BQ76"/>
      <c r="BR76"/>
      <c r="BS76"/>
      <c r="BT76"/>
      <c r="BU76"/>
      <c r="BV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</row>
    <row r="77" spans="1:104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BC77"/>
      <c r="BD77" s="712"/>
      <c r="BE77" s="1796"/>
      <c r="BF77" s="1789"/>
      <c r="BG77" s="1789"/>
      <c r="BH77" s="1794"/>
      <c r="BI77" s="1794"/>
      <c r="BJ77" s="1794"/>
      <c r="BK77" s="1794"/>
      <c r="BL77" s="1794"/>
      <c r="BM77" s="1795"/>
      <c r="BN77" s="1794"/>
      <c r="BO77" s="1794"/>
      <c r="BP77" s="1794"/>
      <c r="BQ77"/>
      <c r="BR77"/>
      <c r="BS77"/>
      <c r="BT77"/>
      <c r="BU77"/>
      <c r="BV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</row>
    <row r="78" spans="1:104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BC78"/>
      <c r="BD78" s="1217"/>
      <c r="BE78" s="99"/>
      <c r="BF78" s="1789"/>
      <c r="BG78" s="1789"/>
      <c r="BH78" s="64"/>
      <c r="BI78" s="64"/>
      <c r="BJ78" s="64"/>
      <c r="BK78" s="64"/>
      <c r="BL78" s="64"/>
      <c r="BM78" s="64"/>
      <c r="BN78" s="64"/>
      <c r="BO78" s="64"/>
      <c r="BP78" s="64"/>
      <c r="BQ78"/>
      <c r="BR78"/>
      <c r="BS78"/>
      <c r="BT78"/>
      <c r="BU78"/>
      <c r="BV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</row>
    <row r="79" spans="1:104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BC79"/>
      <c r="BD79" s="1217"/>
      <c r="BE79" s="20"/>
      <c r="BF79" s="1789"/>
      <c r="BG79" s="1789"/>
      <c r="BH79" s="64"/>
      <c r="BI79" s="1793"/>
      <c r="BJ79" s="64"/>
      <c r="BK79" s="64"/>
      <c r="BL79" s="64"/>
      <c r="BM79" s="64"/>
      <c r="BN79" s="64"/>
      <c r="BO79" s="64"/>
      <c r="BP79" s="64"/>
      <c r="BQ79"/>
      <c r="BR79"/>
      <c r="BS79"/>
      <c r="BT79"/>
      <c r="BU79"/>
      <c r="BV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</row>
    <row r="80" spans="1:104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BC80"/>
      <c r="BD80" s="1217"/>
      <c r="BE80" s="1175"/>
      <c r="BF80" s="1789"/>
      <c r="BG80" s="1789"/>
      <c r="BH80" s="64"/>
      <c r="BI80" s="64"/>
      <c r="BJ80" s="64"/>
      <c r="BK80" s="64"/>
      <c r="BL80" s="64"/>
      <c r="BM80" s="64"/>
      <c r="BN80" s="64"/>
      <c r="BO80" s="64"/>
      <c r="BP80" s="64"/>
      <c r="BQ80"/>
      <c r="BR80"/>
      <c r="BS80"/>
      <c r="BT80"/>
      <c r="BU80"/>
      <c r="BV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</row>
    <row r="81" spans="55:104" x14ac:dyDescent="0.25">
      <c r="BC81"/>
      <c r="BD81" s="1217"/>
      <c r="BE81" s="1175"/>
      <c r="BF81" s="1789"/>
      <c r="BG81" s="1789"/>
      <c r="BH81" s="64"/>
      <c r="BI81" s="64"/>
      <c r="BJ81" s="64"/>
      <c r="BK81" s="64"/>
      <c r="BL81" s="64"/>
      <c r="BM81" s="64"/>
      <c r="BN81" s="64"/>
      <c r="BO81" s="64"/>
      <c r="BP81" s="64"/>
      <c r="BQ81"/>
      <c r="BR81"/>
      <c r="BS81"/>
      <c r="BT81"/>
      <c r="BU81"/>
      <c r="BV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</row>
    <row r="82" spans="55:104" x14ac:dyDescent="0.25">
      <c r="BC82"/>
      <c r="BD82" s="1217"/>
      <c r="BE82" s="99"/>
      <c r="BF82" s="1789"/>
      <c r="BG82" s="1789"/>
      <c r="BH82" s="64"/>
      <c r="BI82" s="64"/>
      <c r="BJ82" s="64"/>
      <c r="BK82" s="64"/>
      <c r="BL82" s="64"/>
      <c r="BM82" s="64"/>
      <c r="BN82" s="64"/>
      <c r="BO82" s="64"/>
      <c r="BP82" s="64"/>
      <c r="BQ82"/>
      <c r="BR82"/>
      <c r="BS82"/>
      <c r="BT82"/>
      <c r="BU82"/>
      <c r="BV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</row>
    <row r="83" spans="55:104" x14ac:dyDescent="0.25">
      <c r="BC83"/>
      <c r="BD83" s="1217"/>
      <c r="BE83" s="1175"/>
      <c r="BF83" s="1789"/>
      <c r="BG83" s="1789"/>
      <c r="BH83" s="64"/>
      <c r="BI83" s="64"/>
      <c r="BJ83" s="64"/>
      <c r="BK83" s="64"/>
      <c r="BL83" s="64"/>
      <c r="BM83" s="64"/>
      <c r="BN83" s="64"/>
      <c r="BO83" s="64"/>
      <c r="BP83" s="64"/>
      <c r="BQ83"/>
      <c r="BR83"/>
      <c r="BS83"/>
      <c r="BT83"/>
      <c r="BU83"/>
      <c r="BV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</row>
    <row r="84" spans="55:104" x14ac:dyDescent="0.25">
      <c r="BC84"/>
      <c r="BD84" s="1217"/>
      <c r="BE84" s="99"/>
      <c r="BF84" s="647"/>
      <c r="BG84" s="647"/>
      <c r="BH84" s="647"/>
      <c r="BI84" s="647"/>
      <c r="BJ84" s="647"/>
      <c r="BK84" s="647"/>
      <c r="BL84" s="647"/>
      <c r="BM84" s="647"/>
      <c r="BN84" s="647"/>
      <c r="BO84" s="647"/>
      <c r="BP84" s="647"/>
      <c r="BQ84"/>
      <c r="BR84"/>
      <c r="BS84"/>
      <c r="BT84"/>
      <c r="BU84"/>
      <c r="BV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</row>
    <row r="85" spans="55:104" ht="15.75" x14ac:dyDescent="0.25">
      <c r="BC85"/>
      <c r="BD85" s="1792"/>
      <c r="BE85" s="99"/>
      <c r="BF85" s="1790"/>
      <c r="BG85" s="1790"/>
      <c r="BH85" s="1790"/>
      <c r="BI85" s="1791"/>
      <c r="BJ85" s="1790"/>
      <c r="BK85" s="1790"/>
      <c r="BL85" s="1790"/>
      <c r="BM85" s="1791"/>
      <c r="BN85" s="1790"/>
      <c r="BO85" s="1790"/>
      <c r="BP85" s="1790"/>
      <c r="BQ85"/>
      <c r="BR85"/>
      <c r="BS85"/>
      <c r="BT85"/>
      <c r="BU85"/>
      <c r="BV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</row>
    <row r="86" spans="55:104" x14ac:dyDescent="0.25">
      <c r="BC86"/>
      <c r="BD86" s="694"/>
      <c r="BE86" s="99"/>
      <c r="BF86" s="1789"/>
      <c r="BG86" s="1789"/>
      <c r="BH86" s="647"/>
      <c r="BI86" s="647"/>
      <c r="BJ86" s="647"/>
      <c r="BK86" s="647"/>
      <c r="BL86" s="647"/>
      <c r="BM86" s="647"/>
      <c r="BN86" s="647"/>
      <c r="BO86" s="64"/>
      <c r="BP86" s="647"/>
      <c r="BQ86"/>
      <c r="BR86"/>
      <c r="BS86"/>
      <c r="BT86"/>
      <c r="BU86"/>
      <c r="BV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</row>
    <row r="87" spans="55:104" x14ac:dyDescent="0.25">
      <c r="BC87"/>
      <c r="BD87" s="694"/>
      <c r="BE87" s="99"/>
      <c r="BF87" s="1789"/>
      <c r="BG87" s="1789"/>
      <c r="BH87" s="64"/>
      <c r="BI87" s="64"/>
      <c r="BJ87" s="64"/>
      <c r="BK87" s="64"/>
      <c r="BL87" s="64"/>
      <c r="BM87" s="64"/>
      <c r="BN87" s="64"/>
      <c r="BO87" s="99"/>
      <c r="BP87" s="64"/>
      <c r="BQ87"/>
      <c r="BR87"/>
      <c r="BS87"/>
      <c r="BT87"/>
      <c r="BU87"/>
      <c r="BV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</row>
    <row r="88" spans="55:104" x14ac:dyDescent="0.25">
      <c r="BC88"/>
      <c r="BD88" s="694"/>
      <c r="BE88" s="695"/>
      <c r="BF88" s="1789"/>
      <c r="BG88" s="1789"/>
      <c r="BH88" s="1052"/>
      <c r="BI88" s="1052"/>
      <c r="BJ88" s="1052"/>
      <c r="BK88" s="1052"/>
      <c r="BL88" s="1052"/>
      <c r="BM88" s="1052"/>
      <c r="BN88" s="1052"/>
      <c r="BO88" s="1052"/>
      <c r="BP88" s="1052"/>
      <c r="BQ88"/>
      <c r="BR88"/>
      <c r="BS88"/>
      <c r="BT88"/>
      <c r="BU88"/>
      <c r="BV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</row>
    <row r="89" spans="55:104" x14ac:dyDescent="0.25">
      <c r="BC89"/>
      <c r="BD89" s="694"/>
      <c r="BE89" s="99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/>
      <c r="BR89"/>
      <c r="BS89"/>
      <c r="BT89"/>
      <c r="BU89"/>
      <c r="BV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</row>
    <row r="90" spans="55:104" x14ac:dyDescent="0.25">
      <c r="BC90"/>
      <c r="BD90" s="523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/>
      <c r="BR90"/>
      <c r="BS90"/>
      <c r="BT90"/>
      <c r="BU90"/>
      <c r="BV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</row>
    <row r="91" spans="55:104" x14ac:dyDescent="0.25">
      <c r="BC91"/>
      <c r="BD91" s="712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1799"/>
      <c r="BP91" s="1799"/>
      <c r="BQ91"/>
      <c r="BR91"/>
      <c r="BS91"/>
      <c r="BT91"/>
      <c r="BU91"/>
      <c r="BV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</row>
    <row r="92" spans="55:104" x14ac:dyDescent="0.25">
      <c r="BC92"/>
      <c r="BD92" s="712"/>
      <c r="BE92" s="99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/>
      <c r="BR92"/>
      <c r="BS92"/>
      <c r="BT92"/>
      <c r="BU92"/>
      <c r="BV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</row>
    <row r="93" spans="55:104" x14ac:dyDescent="0.25">
      <c r="BC93"/>
      <c r="BD93" s="1161"/>
      <c r="BE93" s="99"/>
      <c r="BF93" s="1789"/>
      <c r="BG93" s="1789"/>
      <c r="BH93" s="980"/>
      <c r="BI93" s="980"/>
      <c r="BJ93" s="980"/>
      <c r="BK93" s="980"/>
      <c r="BL93" s="980"/>
      <c r="BM93" s="980"/>
      <c r="BN93" s="980"/>
      <c r="BO93" s="980"/>
      <c r="BP93" s="980"/>
      <c r="BQ93"/>
      <c r="BR93"/>
      <c r="BS93"/>
      <c r="BT93"/>
      <c r="BU93"/>
      <c r="BV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</row>
    <row r="94" spans="55:104" x14ac:dyDescent="0.25">
      <c r="BC94"/>
      <c r="BD94" s="1161"/>
      <c r="BE94" s="99"/>
      <c r="BF94" s="1789"/>
      <c r="BG94" s="1789"/>
      <c r="BH94" s="64"/>
      <c r="BI94" s="64"/>
      <c r="BJ94" s="64"/>
      <c r="BK94" s="64"/>
      <c r="BL94" s="64"/>
      <c r="BM94" s="1793"/>
      <c r="BN94" s="64"/>
      <c r="BO94" s="1793"/>
      <c r="BP94" s="64"/>
      <c r="BQ94"/>
      <c r="BR94"/>
      <c r="BS94"/>
      <c r="BT94"/>
      <c r="BU94"/>
      <c r="BV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</row>
    <row r="95" spans="55:104" x14ac:dyDescent="0.25">
      <c r="BC95"/>
      <c r="BD95" s="1161"/>
      <c r="BE95" s="99"/>
      <c r="BF95" s="1789"/>
      <c r="BG95" s="1789"/>
      <c r="BH95" s="64"/>
      <c r="BI95" s="64"/>
      <c r="BJ95" s="64"/>
      <c r="BK95" s="64"/>
      <c r="BL95" s="64"/>
      <c r="BM95" s="1793"/>
      <c r="BN95" s="64"/>
      <c r="BO95" s="1793"/>
      <c r="BP95" s="64"/>
      <c r="BQ95"/>
      <c r="BR95"/>
      <c r="BS95"/>
      <c r="BT95"/>
      <c r="BU95"/>
      <c r="BV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</row>
    <row r="96" spans="55:104" x14ac:dyDescent="0.25">
      <c r="BC96"/>
      <c r="BD96" s="1382"/>
      <c r="BE96" s="99"/>
      <c r="BF96" s="64"/>
      <c r="BG96" s="64"/>
      <c r="BH96" s="64"/>
      <c r="BI96" s="64"/>
      <c r="BJ96" s="64"/>
      <c r="BK96" s="64"/>
      <c r="BL96" s="64"/>
      <c r="BM96" s="1793"/>
      <c r="BN96" s="64"/>
      <c r="BO96" s="1793"/>
      <c r="BP96" s="64"/>
      <c r="BQ96"/>
      <c r="BR96"/>
      <c r="BS96"/>
      <c r="BT96"/>
      <c r="BU96"/>
      <c r="BV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</row>
    <row r="97" spans="55:104" x14ac:dyDescent="0.25">
      <c r="BC97"/>
      <c r="BD97" s="99"/>
      <c r="BE97" s="99"/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/>
      <c r="BR97"/>
      <c r="BS97"/>
      <c r="BT97"/>
      <c r="BU97"/>
      <c r="BV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</row>
    <row r="98" spans="55:104" x14ac:dyDescent="0.25">
      <c r="BC98"/>
      <c r="BD98" s="712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/>
      <c r="BR98"/>
      <c r="BS98"/>
      <c r="BT98"/>
      <c r="BU98"/>
      <c r="BV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</row>
    <row r="99" spans="55:104" x14ac:dyDescent="0.25">
      <c r="BC99"/>
      <c r="BD99" s="1161"/>
      <c r="BE99" s="99"/>
      <c r="BF99" s="1789"/>
      <c r="BG99" s="1789"/>
      <c r="BH99" s="980"/>
      <c r="BI99" s="980"/>
      <c r="BJ99" s="980"/>
      <c r="BK99" s="980"/>
      <c r="BL99" s="980"/>
      <c r="BM99" s="1798"/>
      <c r="BN99" s="980"/>
      <c r="BO99" s="980"/>
      <c r="BP99" s="980"/>
      <c r="BQ99"/>
      <c r="BR99"/>
      <c r="BS99"/>
      <c r="BT99"/>
      <c r="BU99"/>
      <c r="BV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</row>
    <row r="100" spans="55:104" x14ac:dyDescent="0.25">
      <c r="BC100"/>
      <c r="BD100" s="1161"/>
      <c r="BE100" s="99"/>
      <c r="BF100" s="1789"/>
      <c r="BG100" s="1789"/>
      <c r="BH100" s="64"/>
      <c r="BI100" s="64"/>
      <c r="BJ100" s="64"/>
      <c r="BK100" s="64"/>
      <c r="BL100" s="64"/>
      <c r="BM100" s="1793"/>
      <c r="BN100" s="64"/>
      <c r="BO100" s="64"/>
      <c r="BP100" s="64"/>
      <c r="BQ100"/>
      <c r="BR100"/>
      <c r="BS100"/>
      <c r="BT100"/>
      <c r="BU100"/>
      <c r="BV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</row>
    <row r="101" spans="55:104" x14ac:dyDescent="0.25">
      <c r="BC101"/>
      <c r="BD101" s="1161"/>
      <c r="BE101" s="99"/>
      <c r="BF101" s="1789"/>
      <c r="BG101" s="1789"/>
      <c r="BH101" s="64"/>
      <c r="BI101" s="64"/>
      <c r="BJ101" s="64"/>
      <c r="BK101" s="64"/>
      <c r="BL101" s="64"/>
      <c r="BM101" s="1793"/>
      <c r="BN101" s="64"/>
      <c r="BO101" s="64"/>
      <c r="BP101" s="64"/>
      <c r="BQ101"/>
      <c r="BR101"/>
      <c r="BS101"/>
      <c r="BT101"/>
      <c r="BU101"/>
      <c r="BV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</row>
    <row r="102" spans="55:104" x14ac:dyDescent="0.25">
      <c r="BC102"/>
      <c r="BD102" s="1161"/>
      <c r="BE102" s="99"/>
      <c r="BF102" s="1789"/>
      <c r="BG102" s="1789"/>
      <c r="BH102" s="64"/>
      <c r="BI102" s="64"/>
      <c r="BJ102" s="64"/>
      <c r="BK102" s="64"/>
      <c r="BL102" s="64"/>
      <c r="BM102" s="1793"/>
      <c r="BN102" s="64"/>
      <c r="BO102" s="64"/>
      <c r="BP102" s="64"/>
      <c r="BQ102"/>
      <c r="BR102"/>
      <c r="BS102"/>
      <c r="BT102"/>
      <c r="BU102"/>
      <c r="BV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</row>
    <row r="103" spans="55:104" x14ac:dyDescent="0.25">
      <c r="BC103"/>
      <c r="BD103" s="1161"/>
      <c r="BE103" s="99"/>
      <c r="BF103" s="1789"/>
      <c r="BG103" s="1789"/>
      <c r="BH103" s="64"/>
      <c r="BI103" s="64"/>
      <c r="BJ103" s="64"/>
      <c r="BK103" s="64"/>
      <c r="BL103" s="64"/>
      <c r="BM103" s="1793"/>
      <c r="BN103" s="64"/>
      <c r="BO103" s="64"/>
      <c r="BP103" s="64"/>
      <c r="BQ103"/>
      <c r="BR103"/>
      <c r="BS103"/>
      <c r="BT103"/>
      <c r="BU103"/>
      <c r="BV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</row>
    <row r="104" spans="55:104" x14ac:dyDescent="0.25">
      <c r="BC104"/>
      <c r="BD104" s="1161"/>
      <c r="BE104" s="99"/>
      <c r="BF104" s="1789"/>
      <c r="BG104" s="1789"/>
      <c r="BH104" s="64"/>
      <c r="BI104" s="64"/>
      <c r="BJ104" s="64"/>
      <c r="BK104" s="64"/>
      <c r="BL104" s="64"/>
      <c r="BM104" s="1793"/>
      <c r="BN104" s="64"/>
      <c r="BO104" s="64"/>
      <c r="BP104" s="64"/>
      <c r="BQ104"/>
      <c r="BR104"/>
      <c r="BS104"/>
      <c r="BT104"/>
      <c r="BU104"/>
      <c r="BV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</row>
    <row r="105" spans="55:104" x14ac:dyDescent="0.25">
      <c r="BC105"/>
      <c r="BD105" s="1217"/>
      <c r="BE105" s="99"/>
      <c r="BF105" s="64"/>
      <c r="BG105" s="64"/>
      <c r="BH105" s="64"/>
      <c r="BI105" s="64"/>
      <c r="BJ105" s="64"/>
      <c r="BK105" s="64"/>
      <c r="BL105" s="64"/>
      <c r="BM105" s="1793"/>
      <c r="BN105" s="64"/>
      <c r="BO105" s="64"/>
      <c r="BP105" s="64"/>
      <c r="BQ105"/>
      <c r="BR105"/>
      <c r="BS105"/>
      <c r="BT105"/>
      <c r="BU105"/>
      <c r="BV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</row>
    <row r="106" spans="55:104" x14ac:dyDescent="0.25">
      <c r="BC106"/>
      <c r="BD106" s="1382"/>
      <c r="BE106" s="99"/>
      <c r="BF106" s="64"/>
      <c r="BG106" s="64"/>
      <c r="BH106" s="64"/>
      <c r="BI106" s="64"/>
      <c r="BJ106" s="64"/>
      <c r="BK106" s="64"/>
      <c r="BL106" s="64"/>
      <c r="BM106" s="1793"/>
      <c r="BN106" s="64"/>
      <c r="BO106" s="64"/>
      <c r="BP106" s="64"/>
      <c r="BQ106"/>
      <c r="BR106"/>
      <c r="BS106"/>
      <c r="BT106"/>
      <c r="BU106"/>
      <c r="BV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</row>
    <row r="107" spans="55:104" x14ac:dyDescent="0.25">
      <c r="BC107"/>
      <c r="BD107" s="1382"/>
      <c r="BE107" s="99"/>
      <c r="BF107" s="647"/>
      <c r="BG107" s="647"/>
      <c r="BH107" s="647"/>
      <c r="BI107" s="647"/>
      <c r="BJ107" s="647"/>
      <c r="BK107" s="647"/>
      <c r="BL107" s="647"/>
      <c r="BM107" s="1797"/>
      <c r="BN107" s="647"/>
      <c r="BO107" s="647"/>
      <c r="BP107" s="647"/>
      <c r="BQ107"/>
      <c r="BR107"/>
      <c r="BS107"/>
      <c r="BT107"/>
      <c r="BU107"/>
      <c r="BV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</row>
    <row r="108" spans="55:104" x14ac:dyDescent="0.25">
      <c r="BC108"/>
      <c r="BD108" s="1382"/>
      <c r="BE108" s="99"/>
      <c r="BF108" s="647"/>
      <c r="BG108" s="647"/>
      <c r="BH108" s="647"/>
      <c r="BI108" s="647"/>
      <c r="BJ108" s="647"/>
      <c r="BK108" s="647"/>
      <c r="BL108" s="647"/>
      <c r="BM108" s="1797"/>
      <c r="BN108" s="647"/>
      <c r="BO108" s="647"/>
      <c r="BP108" s="647"/>
      <c r="BQ108"/>
      <c r="BR108"/>
      <c r="BS108"/>
      <c r="BT108"/>
      <c r="BU108"/>
      <c r="BV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</row>
    <row r="109" spans="55:104" x14ac:dyDescent="0.25">
      <c r="BC109"/>
      <c r="BD109" s="712"/>
      <c r="BE109" s="1796"/>
      <c r="BF109" s="1794"/>
      <c r="BG109" s="1794"/>
      <c r="BH109" s="1794"/>
      <c r="BI109" s="1794"/>
      <c r="BJ109" s="1794"/>
      <c r="BK109" s="1794"/>
      <c r="BL109" s="1794"/>
      <c r="BM109" s="1795"/>
      <c r="BN109" s="1794"/>
      <c r="BO109" s="1794"/>
      <c r="BP109" s="1794"/>
      <c r="BQ109"/>
      <c r="BR109"/>
      <c r="BS109"/>
      <c r="BT109"/>
      <c r="BU109"/>
      <c r="BV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</row>
    <row r="110" spans="55:104" x14ac:dyDescent="0.25">
      <c r="BC110"/>
      <c r="BD110" s="1217"/>
      <c r="BE110" s="1796"/>
      <c r="BF110" s="1789"/>
      <c r="BG110" s="1789"/>
      <c r="BH110" s="980"/>
      <c r="BI110" s="64"/>
      <c r="BJ110" s="980"/>
      <c r="BK110" s="980"/>
      <c r="BL110" s="980"/>
      <c r="BM110" s="980"/>
      <c r="BN110" s="980"/>
      <c r="BO110" s="980"/>
      <c r="BP110" s="980"/>
      <c r="BQ110"/>
      <c r="BR110"/>
      <c r="BS110"/>
      <c r="BT110"/>
      <c r="BU110"/>
      <c r="BV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</row>
    <row r="111" spans="55:104" x14ac:dyDescent="0.25">
      <c r="BC111"/>
      <c r="BD111" s="712"/>
      <c r="BE111" s="1796"/>
      <c r="BF111" s="1789"/>
      <c r="BG111" s="1789"/>
      <c r="BH111" s="1794"/>
      <c r="BI111" s="1794"/>
      <c r="BJ111" s="1794"/>
      <c r="BK111" s="1794"/>
      <c r="BL111" s="1794"/>
      <c r="BM111" s="1795"/>
      <c r="BN111" s="1794"/>
      <c r="BO111" s="1794"/>
      <c r="BP111" s="1794"/>
      <c r="BQ111"/>
      <c r="BR111"/>
      <c r="BS111"/>
      <c r="BT111"/>
      <c r="BU111"/>
      <c r="BV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</row>
    <row r="112" spans="55:104" x14ac:dyDescent="0.25">
      <c r="BC112"/>
      <c r="BD112" s="1217"/>
      <c r="BE112" s="99"/>
      <c r="BF112" s="1789"/>
      <c r="BG112" s="1789"/>
      <c r="BH112" s="64"/>
      <c r="BI112" s="64"/>
      <c r="BJ112" s="64"/>
      <c r="BK112" s="64"/>
      <c r="BL112" s="64"/>
      <c r="BM112" s="64"/>
      <c r="BN112" s="64"/>
      <c r="BO112" s="64"/>
      <c r="BP112" s="64"/>
      <c r="BQ112"/>
      <c r="BR112"/>
      <c r="BS112"/>
      <c r="BT112"/>
      <c r="BU112"/>
      <c r="BV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</row>
    <row r="113" spans="55:104" x14ac:dyDescent="0.25">
      <c r="BC113"/>
      <c r="BD113" s="1217"/>
      <c r="BE113" s="20"/>
      <c r="BF113" s="1789"/>
      <c r="BG113" s="1789"/>
      <c r="BH113" s="64"/>
      <c r="BI113" s="1793"/>
      <c r="BJ113" s="64"/>
      <c r="BK113" s="64"/>
      <c r="BL113" s="64"/>
      <c r="BM113" s="64"/>
      <c r="BN113" s="64"/>
      <c r="BO113" s="64"/>
      <c r="BP113" s="64"/>
      <c r="BQ113"/>
      <c r="BR113"/>
      <c r="BS113"/>
      <c r="BT113"/>
      <c r="BU113"/>
      <c r="BV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</row>
    <row r="114" spans="55:104" x14ac:dyDescent="0.25">
      <c r="BC114"/>
      <c r="BD114" s="1217"/>
      <c r="BE114" s="1175"/>
      <c r="BF114" s="1789"/>
      <c r="BG114" s="1789"/>
      <c r="BH114" s="64"/>
      <c r="BI114" s="64"/>
      <c r="BJ114" s="64"/>
      <c r="BK114" s="64"/>
      <c r="BL114" s="64"/>
      <c r="BM114" s="64"/>
      <c r="BN114" s="64"/>
      <c r="BO114" s="64"/>
      <c r="BP114" s="64"/>
      <c r="BQ114"/>
      <c r="BR114"/>
      <c r="BS114"/>
      <c r="BT114"/>
      <c r="BU114"/>
      <c r="BV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</row>
    <row r="115" spans="55:104" x14ac:dyDescent="0.25">
      <c r="BC115"/>
      <c r="BD115" s="1217"/>
      <c r="BE115" s="1175"/>
      <c r="BF115" s="1789"/>
      <c r="BG115" s="1789"/>
      <c r="BH115" s="64"/>
      <c r="BI115" s="64"/>
      <c r="BJ115" s="64"/>
      <c r="BK115" s="64"/>
      <c r="BL115" s="64"/>
      <c r="BM115" s="64"/>
      <c r="BN115" s="64"/>
      <c r="BO115" s="64"/>
      <c r="BP115" s="64"/>
      <c r="BQ115"/>
      <c r="BR115"/>
      <c r="BS115"/>
      <c r="BT115"/>
      <c r="BU115"/>
      <c r="BV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</row>
    <row r="116" spans="55:104" x14ac:dyDescent="0.25">
      <c r="BC116"/>
      <c r="BD116" s="1217"/>
      <c r="BE116" s="99"/>
      <c r="BF116" s="1789"/>
      <c r="BG116" s="1789"/>
      <c r="BH116" s="64"/>
      <c r="BI116" s="64"/>
      <c r="BJ116" s="64"/>
      <c r="BK116" s="64"/>
      <c r="BL116" s="64"/>
      <c r="BM116" s="64"/>
      <c r="BN116" s="64"/>
      <c r="BO116" s="64"/>
      <c r="BP116" s="64"/>
      <c r="BQ116"/>
      <c r="BR116"/>
      <c r="BS116"/>
      <c r="BT116"/>
      <c r="BU116"/>
      <c r="BV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</row>
    <row r="117" spans="55:104" x14ac:dyDescent="0.25">
      <c r="BC117"/>
      <c r="BD117" s="1217"/>
      <c r="BE117" s="1175"/>
      <c r="BF117" s="1789"/>
      <c r="BG117" s="1789"/>
      <c r="BH117" s="64"/>
      <c r="BI117" s="64"/>
      <c r="BJ117" s="64"/>
      <c r="BK117" s="64"/>
      <c r="BL117" s="64"/>
      <c r="BM117" s="64"/>
      <c r="BN117" s="64"/>
      <c r="BO117" s="64"/>
      <c r="BP117" s="64"/>
      <c r="BQ117"/>
      <c r="BR117"/>
      <c r="BS117"/>
      <c r="BT117"/>
      <c r="BU117"/>
      <c r="BV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</row>
    <row r="118" spans="55:104" x14ac:dyDescent="0.25">
      <c r="BC118"/>
      <c r="BD118" s="1217"/>
      <c r="BE118" s="99"/>
      <c r="BF118" s="647"/>
      <c r="BG118" s="647"/>
      <c r="BH118" s="647"/>
      <c r="BI118" s="647"/>
      <c r="BJ118" s="647"/>
      <c r="BK118" s="647"/>
      <c r="BL118" s="647"/>
      <c r="BM118" s="647"/>
      <c r="BN118" s="647"/>
      <c r="BO118" s="647"/>
      <c r="BP118" s="647"/>
      <c r="BQ118"/>
      <c r="BR118"/>
      <c r="BS118"/>
      <c r="BT118"/>
      <c r="BU118"/>
      <c r="BV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</row>
    <row r="119" spans="55:104" ht="15.75" x14ac:dyDescent="0.25">
      <c r="BC119"/>
      <c r="BD119" s="1792"/>
      <c r="BE119" s="99"/>
      <c r="BF119" s="1790"/>
      <c r="BG119" s="1790"/>
      <c r="BH119" s="1790"/>
      <c r="BI119" s="1791"/>
      <c r="BJ119" s="1790"/>
      <c r="BK119" s="1790"/>
      <c r="BL119" s="1790"/>
      <c r="BM119" s="1791"/>
      <c r="BN119" s="1790"/>
      <c r="BO119" s="1790"/>
      <c r="BP119" s="1790"/>
      <c r="BQ119"/>
      <c r="BR119"/>
      <c r="BS119"/>
      <c r="BT119"/>
      <c r="BU119"/>
      <c r="BV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</row>
    <row r="120" spans="55:104" x14ac:dyDescent="0.25">
      <c r="BC120"/>
      <c r="BD120" s="694"/>
      <c r="BE120" s="99"/>
      <c r="BF120" s="1789"/>
      <c r="BG120" s="1789"/>
      <c r="BH120" s="647"/>
      <c r="BI120" s="647"/>
      <c r="BJ120" s="647"/>
      <c r="BK120" s="647"/>
      <c r="BL120" s="647"/>
      <c r="BM120" s="647"/>
      <c r="BN120" s="647"/>
      <c r="BO120" s="64"/>
      <c r="BP120" s="647"/>
      <c r="BQ120"/>
      <c r="BR120"/>
      <c r="BS120"/>
      <c r="BT120"/>
      <c r="BU120"/>
      <c r="BV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</row>
    <row r="121" spans="55:104" x14ac:dyDescent="0.25">
      <c r="BC121"/>
      <c r="BD121" s="694"/>
      <c r="BE121" s="99"/>
      <c r="BF121" s="1789"/>
      <c r="BG121" s="1789"/>
      <c r="BH121" s="64"/>
      <c r="BI121" s="64"/>
      <c r="BJ121" s="64"/>
      <c r="BK121" s="64"/>
      <c r="BL121" s="64"/>
      <c r="BM121" s="64"/>
      <c r="BN121" s="64"/>
      <c r="BO121" s="99"/>
      <c r="BP121" s="64"/>
      <c r="BQ121"/>
      <c r="BR121"/>
      <c r="BS121"/>
      <c r="BT121"/>
      <c r="BU121"/>
      <c r="BV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</row>
    <row r="122" spans="55:104" x14ac:dyDescent="0.25">
      <c r="BC122"/>
      <c r="BD122" s="694"/>
      <c r="BE122" s="695"/>
      <c r="BF122" s="1789"/>
      <c r="BG122" s="1789"/>
      <c r="BH122" s="1052"/>
      <c r="BI122" s="1052"/>
      <c r="BJ122" s="1052"/>
      <c r="BK122" s="1052"/>
      <c r="BL122" s="1052"/>
      <c r="BM122" s="1052"/>
      <c r="BN122" s="1052"/>
      <c r="BO122" s="1052"/>
      <c r="BP122" s="1052"/>
      <c r="BQ122"/>
      <c r="BR122"/>
      <c r="BS122"/>
      <c r="BT122"/>
      <c r="BU122"/>
      <c r="BV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</row>
    <row r="123" spans="55:104" x14ac:dyDescent="0.25">
      <c r="BC123"/>
      <c r="BD123" s="694"/>
      <c r="BE123" s="99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/>
      <c r="BR123"/>
      <c r="BS123"/>
      <c r="BT123"/>
      <c r="BU123"/>
      <c r="BV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</row>
    <row r="124" spans="55:104" x14ac:dyDescent="0.25">
      <c r="BC124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/>
      <c r="BR124"/>
      <c r="BS124"/>
      <c r="BT124"/>
      <c r="BU124"/>
      <c r="BV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</row>
    <row r="125" spans="55:104" x14ac:dyDescent="0.25">
      <c r="BC125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/>
      <c r="BR125"/>
      <c r="BS125"/>
      <c r="BT125"/>
      <c r="BU125"/>
      <c r="BV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</row>
    <row r="126" spans="55:104" x14ac:dyDescent="0.25">
      <c r="BC126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/>
      <c r="BR126"/>
      <c r="BS126"/>
      <c r="BT126"/>
      <c r="BU126"/>
      <c r="BV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</row>
    <row r="127" spans="55:104" x14ac:dyDescent="0.25">
      <c r="BC127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/>
      <c r="BR127"/>
      <c r="BS127"/>
      <c r="BT127"/>
      <c r="BU127"/>
      <c r="BV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</row>
    <row r="128" spans="55:104" x14ac:dyDescent="0.25">
      <c r="BC128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/>
      <c r="BR128"/>
      <c r="BS128"/>
      <c r="BT128"/>
      <c r="BU128"/>
      <c r="BV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</row>
    <row r="129" spans="55:104" x14ac:dyDescent="0.25">
      <c r="BC12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/>
      <c r="BR129"/>
      <c r="BS129"/>
      <c r="BT129"/>
      <c r="BU129"/>
      <c r="BV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</row>
    <row r="130" spans="55:104" x14ac:dyDescent="0.25">
      <c r="BC130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/>
      <c r="BR130"/>
      <c r="BS130"/>
      <c r="BT130"/>
      <c r="BU130"/>
      <c r="BV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</row>
    <row r="131" spans="55:104" x14ac:dyDescent="0.25">
      <c r="BC131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/>
      <c r="BR131"/>
      <c r="BS131"/>
      <c r="BT131"/>
      <c r="BU131"/>
      <c r="BV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</row>
    <row r="132" spans="55:104" x14ac:dyDescent="0.25">
      <c r="BC132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/>
      <c r="BR132"/>
      <c r="BS132"/>
      <c r="BT132"/>
      <c r="BU132"/>
      <c r="BV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</row>
    <row r="133" spans="55:104" x14ac:dyDescent="0.25">
      <c r="BC133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/>
      <c r="BR133"/>
      <c r="BS133"/>
      <c r="BT133"/>
      <c r="BU133"/>
      <c r="BV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</row>
    <row r="134" spans="55:104" x14ac:dyDescent="0.25">
      <c r="BC134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/>
      <c r="BR134"/>
      <c r="BS134"/>
      <c r="BT134"/>
      <c r="BU134"/>
      <c r="BV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</row>
    <row r="135" spans="55:104" x14ac:dyDescent="0.25">
      <c r="BC135"/>
      <c r="BD135" s="99"/>
      <c r="BE135" s="99"/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/>
      <c r="BR135"/>
      <c r="BS135"/>
      <c r="BT135"/>
      <c r="BU135"/>
      <c r="BV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</row>
    <row r="136" spans="55:104" x14ac:dyDescent="0.25">
      <c r="BC136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/>
      <c r="BR136"/>
      <c r="BS136"/>
      <c r="BT136"/>
      <c r="BU136"/>
      <c r="BV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</row>
    <row r="137" spans="55:104" x14ac:dyDescent="0.25">
      <c r="BC137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/>
      <c r="BR137"/>
      <c r="BS137"/>
      <c r="BT137"/>
      <c r="BU137"/>
      <c r="BV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</row>
    <row r="138" spans="55:104" x14ac:dyDescent="0.25">
      <c r="BC138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/>
      <c r="BR138"/>
      <c r="BS138"/>
      <c r="BT138"/>
      <c r="BU138"/>
      <c r="BV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</row>
    <row r="139" spans="55:104" x14ac:dyDescent="0.25">
      <c r="BC13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/>
      <c r="BR139"/>
      <c r="BS139"/>
      <c r="BT139"/>
      <c r="BU139"/>
      <c r="BV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</row>
    <row r="140" spans="55:104" x14ac:dyDescent="0.25">
      <c r="BC140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/>
      <c r="BR140"/>
      <c r="BS140"/>
      <c r="BT140"/>
      <c r="BU140"/>
      <c r="BV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</row>
    <row r="141" spans="55:104" x14ac:dyDescent="0.25">
      <c r="BC141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/>
      <c r="BR141"/>
      <c r="BS141"/>
      <c r="BT141"/>
      <c r="BU141"/>
      <c r="BV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</row>
    <row r="142" spans="55:104" x14ac:dyDescent="0.25">
      <c r="BC142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/>
      <c r="BR142"/>
      <c r="BS142"/>
      <c r="BT142"/>
      <c r="BU142"/>
      <c r="BV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</row>
    <row r="143" spans="55:104" x14ac:dyDescent="0.25">
      <c r="BC143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/>
      <c r="BR143"/>
      <c r="BS143"/>
      <c r="BT143"/>
      <c r="BU143"/>
      <c r="BV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</row>
    <row r="144" spans="55:104" x14ac:dyDescent="0.25">
      <c r="BC144"/>
      <c r="BD144" s="99"/>
      <c r="BE144" s="99"/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/>
      <c r="BR144"/>
      <c r="BS144"/>
      <c r="BT144"/>
      <c r="BU144"/>
      <c r="BV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</row>
    <row r="145" spans="55:104" x14ac:dyDescent="0.25">
      <c r="BC145"/>
      <c r="BD145" s="99"/>
      <c r="BE145" s="99"/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  <c r="BP145" s="99"/>
      <c r="BQ145"/>
      <c r="BR145"/>
      <c r="BS145"/>
      <c r="BT145"/>
      <c r="BU145"/>
      <c r="BV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</row>
    <row r="146" spans="55:104" x14ac:dyDescent="0.25">
      <c r="BC146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/>
      <c r="BR146"/>
      <c r="BS146"/>
      <c r="BT146"/>
      <c r="BU146"/>
      <c r="BV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</row>
    <row r="147" spans="55:104" x14ac:dyDescent="0.25">
      <c r="BC147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/>
      <c r="BR147"/>
      <c r="BS147"/>
      <c r="BT147"/>
      <c r="BU147"/>
      <c r="BV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</row>
    <row r="148" spans="55:104" x14ac:dyDescent="0.25">
      <c r="BC148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/>
      <c r="BR148"/>
      <c r="BS148"/>
      <c r="BT148"/>
      <c r="BU148"/>
      <c r="BV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</row>
    <row r="149" spans="55:104" x14ac:dyDescent="0.25">
      <c r="BC14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/>
      <c r="BR149"/>
      <c r="BS149"/>
      <c r="BT149"/>
      <c r="BU149"/>
      <c r="BV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</row>
    <row r="150" spans="55:104" x14ac:dyDescent="0.25">
      <c r="BC150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/>
      <c r="BR150"/>
      <c r="BS150"/>
      <c r="BT150"/>
      <c r="BU150"/>
      <c r="BV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</row>
    <row r="151" spans="55:104" x14ac:dyDescent="0.25">
      <c r="BC151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/>
      <c r="BR151"/>
      <c r="BS151"/>
      <c r="BT151"/>
      <c r="BU151"/>
      <c r="BV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</row>
    <row r="152" spans="55:104" x14ac:dyDescent="0.25">
      <c r="BC152"/>
      <c r="BD152" s="99"/>
      <c r="BE152" s="99"/>
      <c r="BF152" s="99"/>
      <c r="BG152" s="99"/>
      <c r="BH152" s="99"/>
      <c r="BI152" s="99"/>
      <c r="BJ152" s="99"/>
      <c r="BK152" s="99"/>
      <c r="BL152" s="99"/>
      <c r="BM152" s="99"/>
      <c r="BN152" s="99"/>
      <c r="BO152" s="99"/>
      <c r="BP152" s="99"/>
      <c r="BQ152"/>
      <c r="BR152"/>
      <c r="BS152"/>
      <c r="BT152"/>
      <c r="BU152"/>
      <c r="BV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</row>
    <row r="153" spans="55:104" x14ac:dyDescent="0.25">
      <c r="BC153"/>
      <c r="BD153" s="99"/>
      <c r="BE153" s="99"/>
      <c r="BF153" s="99"/>
      <c r="BG153" s="99"/>
      <c r="BH153" s="99"/>
      <c r="BI153" s="99"/>
      <c r="BJ153" s="99"/>
      <c r="BK153" s="99"/>
      <c r="BL153" s="99"/>
      <c r="BM153" s="99"/>
      <c r="BN153" s="99"/>
      <c r="BO153" s="99"/>
      <c r="BP153" s="99"/>
      <c r="BQ153"/>
      <c r="BR153"/>
      <c r="BS153"/>
      <c r="BT153"/>
      <c r="BU153"/>
      <c r="BV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</row>
    <row r="154" spans="55:104" x14ac:dyDescent="0.25">
      <c r="BC154"/>
      <c r="BD154" s="99"/>
      <c r="BE154" s="99"/>
      <c r="BF154" s="99"/>
      <c r="BG154" s="99"/>
      <c r="BH154" s="99"/>
      <c r="BI154" s="99"/>
      <c r="BJ154" s="99"/>
      <c r="BK154" s="99"/>
      <c r="BL154" s="99"/>
      <c r="BM154" s="99"/>
      <c r="BN154" s="99"/>
      <c r="BO154" s="99"/>
      <c r="BP154" s="99"/>
      <c r="BQ154"/>
      <c r="BR154"/>
      <c r="BS154"/>
      <c r="BT154"/>
      <c r="BU154"/>
      <c r="BV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</row>
    <row r="155" spans="55:104" x14ac:dyDescent="0.25">
      <c r="BC155"/>
      <c r="BD155" s="99"/>
      <c r="BE155" s="99"/>
      <c r="BF155" s="99"/>
      <c r="BG155" s="99"/>
      <c r="BH155" s="99"/>
      <c r="BI155" s="99"/>
      <c r="BJ155" s="99"/>
      <c r="BK155" s="99"/>
      <c r="BL155" s="99"/>
      <c r="BM155" s="99"/>
      <c r="BN155" s="99"/>
      <c r="BO155" s="99"/>
      <c r="BP155" s="99"/>
      <c r="BQ155"/>
      <c r="BR155"/>
      <c r="BS155"/>
      <c r="BT155"/>
      <c r="BU155"/>
      <c r="BV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</row>
    <row r="156" spans="55:104" x14ac:dyDescent="0.25">
      <c r="BC156"/>
      <c r="BD156" s="99"/>
      <c r="BE156" s="99"/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/>
      <c r="BR156"/>
      <c r="BS156"/>
      <c r="BT156"/>
      <c r="BU156"/>
      <c r="BV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</row>
    <row r="157" spans="55:104" x14ac:dyDescent="0.25"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</row>
    <row r="158" spans="55:104" x14ac:dyDescent="0.25"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</row>
    <row r="159" spans="55:104" x14ac:dyDescent="0.25"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</row>
    <row r="160" spans="55:104" x14ac:dyDescent="0.25"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</row>
    <row r="161" spans="55:104" x14ac:dyDescent="0.25"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</row>
    <row r="162" spans="55:104" x14ac:dyDescent="0.25"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</row>
    <row r="163" spans="55:104" x14ac:dyDescent="0.25"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</row>
    <row r="164" spans="55:104" x14ac:dyDescent="0.25"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</row>
    <row r="165" spans="55:104" x14ac:dyDescent="0.25"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</row>
    <row r="166" spans="55:104" x14ac:dyDescent="0.25"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</row>
    <row r="167" spans="55:104" x14ac:dyDescent="0.25"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</row>
    <row r="168" spans="55:104" x14ac:dyDescent="0.25"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</row>
    <row r="169" spans="55:104" x14ac:dyDescent="0.25"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</row>
    <row r="170" spans="55:104" x14ac:dyDescent="0.25"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</row>
    <row r="171" spans="55:104" x14ac:dyDescent="0.25"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</row>
    <row r="172" spans="55:104" x14ac:dyDescent="0.25"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</row>
    <row r="173" spans="55:104" x14ac:dyDescent="0.25"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</row>
    <row r="174" spans="55:104" x14ac:dyDescent="0.25"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</row>
    <row r="175" spans="55:104" x14ac:dyDescent="0.25"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</row>
    <row r="176" spans="55:104" x14ac:dyDescent="0.25"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</row>
    <row r="177" spans="55:72" x14ac:dyDescent="0.25"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</row>
    <row r="178" spans="55:72" x14ac:dyDescent="0.25"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pans="55:72" x14ac:dyDescent="0.25"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</row>
    <row r="180" spans="55:72" x14ac:dyDescent="0.25"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</row>
    <row r="181" spans="55:72" x14ac:dyDescent="0.25"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</row>
    <row r="182" spans="55:72" x14ac:dyDescent="0.25"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</row>
  </sheetData>
  <pageMargins left="0.7" right="0.7" top="0.75" bottom="0.75" header="0.3" footer="0.3"/>
  <pageSetup scale="56" orientation="landscape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zoomScaleNormal="100" zoomScalePageLayoutView="40" workbookViewId="0">
      <pane xSplit="2" ySplit="3" topLeftCell="C4" activePane="bottomRight" state="frozen"/>
      <selection activeCell="H26" sqref="H26"/>
      <selection pane="topRight" activeCell="H26" sqref="H26"/>
      <selection pane="bottomLeft" activeCell="H26" sqref="H26"/>
      <selection pane="bottomRight" activeCell="C18" sqref="C18"/>
    </sheetView>
  </sheetViews>
  <sheetFormatPr defaultColWidth="9.140625" defaultRowHeight="15" outlineLevelCol="1" x14ac:dyDescent="0.25"/>
  <cols>
    <col min="1" max="1" width="9.140625" style="19"/>
    <col min="2" max="2" width="45.85546875" style="19" customWidth="1"/>
    <col min="3" max="3" width="15" style="19" customWidth="1" outlineLevel="1"/>
    <col min="4" max="4" width="13.7109375" style="19" customWidth="1" outlineLevel="1" collapsed="1"/>
    <col min="5" max="5" width="13.7109375" style="19" customWidth="1" outlineLevel="1"/>
    <col min="6" max="6" width="14.28515625" style="19" customWidth="1" outlineLevel="1"/>
    <col min="7" max="8" width="14.28515625" style="19" customWidth="1"/>
    <col min="9" max="9" width="15.85546875" style="19" bestFit="1" customWidth="1" outlineLevel="1"/>
    <col min="10" max="10" width="15.28515625" style="19" customWidth="1" outlineLevel="1" collapsed="1"/>
    <col min="11" max="12" width="15.28515625" style="19" customWidth="1" outlineLevel="1"/>
    <col min="13" max="13" width="16" style="19" bestFit="1" customWidth="1"/>
    <col min="14" max="14" width="16" style="19" bestFit="1" customWidth="1" collapsed="1"/>
    <col min="15" max="15" width="14.28515625" style="19" customWidth="1" collapsed="1"/>
    <col min="16" max="16" width="15.28515625" style="19" bestFit="1" customWidth="1" collapsed="1"/>
    <col min="17" max="17" width="14.28515625" style="19" customWidth="1"/>
    <col min="18" max="18" width="15.28515625" style="19" bestFit="1" customWidth="1"/>
    <col min="19" max="19" width="14.28515625" style="19" customWidth="1"/>
    <col min="20" max="20" width="15.28515625" style="19" bestFit="1" customWidth="1"/>
    <col min="21" max="16384" width="9.140625" style="19"/>
  </cols>
  <sheetData>
    <row r="1" spans="1:14" x14ac:dyDescent="0.25">
      <c r="A1" s="1106" t="s">
        <v>619</v>
      </c>
    </row>
    <row r="2" spans="1:14" x14ac:dyDescent="0.25">
      <c r="A2" s="1107"/>
      <c r="B2" s="1108"/>
      <c r="C2" s="1109" t="s">
        <v>620</v>
      </c>
      <c r="D2" s="1110"/>
      <c r="E2" s="1110"/>
      <c r="F2" s="1110"/>
      <c r="G2" s="1111" t="s">
        <v>621</v>
      </c>
      <c r="H2" s="1112"/>
      <c r="I2" s="1109" t="s">
        <v>622</v>
      </c>
      <c r="J2" s="1110"/>
      <c r="K2" s="1110"/>
      <c r="L2" s="1110"/>
      <c r="M2" s="1111" t="s">
        <v>623</v>
      </c>
      <c r="N2" s="1112"/>
    </row>
    <row r="3" spans="1:14" ht="45" x14ac:dyDescent="0.25">
      <c r="A3" s="1113" t="s">
        <v>624</v>
      </c>
      <c r="B3" s="1114" t="s">
        <v>625</v>
      </c>
      <c r="C3" s="1113" t="s">
        <v>626</v>
      </c>
      <c r="D3" s="1115" t="s">
        <v>627</v>
      </c>
      <c r="E3" s="1115" t="s">
        <v>628</v>
      </c>
      <c r="F3" s="1115" t="s">
        <v>629</v>
      </c>
      <c r="G3" s="1113" t="s">
        <v>630</v>
      </c>
      <c r="H3" s="1114" t="s">
        <v>631</v>
      </c>
      <c r="I3" s="1113" t="s">
        <v>632</v>
      </c>
      <c r="J3" s="1115" t="s">
        <v>633</v>
      </c>
      <c r="K3" s="1115" t="s">
        <v>634</v>
      </c>
      <c r="L3" s="1115" t="s">
        <v>635</v>
      </c>
      <c r="M3" s="1113" t="s">
        <v>636</v>
      </c>
      <c r="N3" s="1114" t="s">
        <v>637</v>
      </c>
    </row>
    <row r="4" spans="1:14" x14ac:dyDescent="0.25">
      <c r="A4" s="1116"/>
      <c r="B4" s="1117" t="s">
        <v>638</v>
      </c>
      <c r="C4" s="1118">
        <f>'SEF-30 pg 2 - 36 '!D47</f>
        <v>311728415.28999996</v>
      </c>
      <c r="D4" s="1119">
        <f>C54</f>
        <v>304897458.18115467</v>
      </c>
      <c r="E4" s="1119">
        <f>D54</f>
        <v>112656090.11743008</v>
      </c>
      <c r="F4" s="1119">
        <f>E54</f>
        <v>95938723.658211976</v>
      </c>
      <c r="G4" s="1118">
        <f>C4</f>
        <v>311728415.28999996</v>
      </c>
      <c r="H4" s="1120">
        <f>G54</f>
        <v>-83596979.748764247</v>
      </c>
      <c r="I4" s="1118">
        <f>'SEF-30 pg 2 - 36 '!D49</f>
        <v>5583764449.6288252</v>
      </c>
      <c r="J4" s="1121">
        <f>I54</f>
        <v>5591510735.8894997</v>
      </c>
      <c r="K4" s="1121">
        <f>J54</f>
        <v>6109996433.9809561</v>
      </c>
      <c r="L4" s="1121">
        <f>K54</f>
        <v>6555542930.3883772</v>
      </c>
      <c r="M4" s="1118">
        <f>I4</f>
        <v>5583764449.6288252</v>
      </c>
      <c r="N4" s="1122">
        <f>M54</f>
        <v>6606402751.5608759</v>
      </c>
    </row>
    <row r="5" spans="1:14" x14ac:dyDescent="0.25">
      <c r="A5" s="1123" t="s">
        <v>639</v>
      </c>
      <c r="B5" s="1117" t="s">
        <v>640</v>
      </c>
      <c r="C5" s="1124">
        <f>HLOOKUP($B5,'SEF-30 pg 2 - 36 '!$E$10:$BF$67,38,FALSE)</f>
        <v>75591217.506147563</v>
      </c>
      <c r="D5" s="1125">
        <f>HLOOKUP($B5,'SEF-30 pg 2 - 36 '!$E$10:$BF$128,99,FALSE)</f>
        <v>-180573118.84874183</v>
      </c>
      <c r="E5" s="1125">
        <f>HLOOKUP($B5,'SEF-30 pg 2 - 36 '!$E$10:$BF$189,160,FALSE)</f>
        <v>9089769.3123887423</v>
      </c>
      <c r="F5" s="1125">
        <f>HLOOKUP($B5,'SEF-30 pg 2 - 36 '!$E$10:$BF$250,221,FALSE)</f>
        <v>5864385.0230842121</v>
      </c>
      <c r="G5" s="1124">
        <f>SUM(C5:F5)</f>
        <v>-90027747.00712131</v>
      </c>
      <c r="H5" s="1126">
        <f>HLOOKUP($B5,'SEF-30 pg 2 - 36 '!$E$10:$BF$311,282,FALSE)</f>
        <v>20437052.072853372</v>
      </c>
      <c r="I5" s="1127">
        <f>HLOOKUP($B5,'SEF-30 pg 2 - 36 '!$E$10:$BF$67,40,FALSE)</f>
        <v>0</v>
      </c>
      <c r="J5" s="1128">
        <f>HLOOKUP($B5,'SEF-30 pg 2 - 36 '!$E$10:$BF$128,101,FALSE)</f>
        <v>0</v>
      </c>
      <c r="K5" s="1128">
        <f>HLOOKUP($B5,'SEF-30 pg 2 - 36 '!$E$10:$BF$189,162,FALSE)</f>
        <v>0</v>
      </c>
      <c r="L5" s="1128">
        <f>HLOOKUP($B5,'SEF-30 pg 2 - 36 '!$E$10:$BF$250,223,FALSE)</f>
        <v>0</v>
      </c>
      <c r="M5" s="1127">
        <f>SUM(I5:L5)</f>
        <v>0</v>
      </c>
      <c r="N5" s="1129">
        <f>HLOOKUP($B5,'SEF-30 pg 2 - 36 '!$E$10:$BF$311,284,FALSE)</f>
        <v>0</v>
      </c>
    </row>
    <row r="6" spans="1:14" x14ac:dyDescent="0.25">
      <c r="A6" s="1123" t="s">
        <v>641</v>
      </c>
      <c r="B6" s="1117" t="s">
        <v>642</v>
      </c>
      <c r="C6" s="1124">
        <f>HLOOKUP($B6,'SEF-30 pg 2 - 36 '!$E$10:$BF$67,38,FALSE)</f>
        <v>-121458.45224589109</v>
      </c>
      <c r="D6" s="1125">
        <f>HLOOKUP($B6,'SEF-30 pg 2 - 36 '!$E$10:$BF$128,99,FALSE)</f>
        <v>-11287816.360313492</v>
      </c>
      <c r="E6" s="1128">
        <f>HLOOKUP($B6,'SEF-30 pg 2 - 36 '!$E$10:$BF$189,160,FALSE)</f>
        <v>0</v>
      </c>
      <c r="F6" s="1128">
        <f>HLOOKUP($B6,'SEF-30 pg 2 - 36 '!$E$10:$BF$250,221,FALSE)</f>
        <v>0</v>
      </c>
      <c r="G6" s="1124">
        <f t="shared" ref="G6:G53" si="0">SUM(C6:F6)</f>
        <v>-11409274.812559383</v>
      </c>
      <c r="H6" s="1129">
        <f>HLOOKUP($B6,'SEF-30 pg 2 - 36 '!$E$10:$BF$311,282,FALSE)</f>
        <v>0</v>
      </c>
      <c r="I6" s="1127">
        <f>HLOOKUP($B6,'SEF-30 pg 2 - 36 '!$E$10:$BF$67,40,FALSE)</f>
        <v>0</v>
      </c>
      <c r="J6" s="1128">
        <f>HLOOKUP($B6,'SEF-30 pg 2 - 36 '!$E$10:$BF$128,101,FALSE)</f>
        <v>0</v>
      </c>
      <c r="K6" s="1128">
        <f>HLOOKUP($B6,'SEF-30 pg 2 - 36 '!$E$10:$BF$189,162,FALSE)</f>
        <v>0</v>
      </c>
      <c r="L6" s="1128">
        <f>HLOOKUP($B6,'SEF-30 pg 2 - 36 '!$E$10:$BF$250,223,FALSE)</f>
        <v>0</v>
      </c>
      <c r="M6" s="1127">
        <f t="shared" ref="M6:M53" si="1">SUM(I6:L6)</f>
        <v>0</v>
      </c>
      <c r="N6" s="1129">
        <f>HLOOKUP($B6,'SEF-30 pg 2 - 36 '!$E$10:$BF$311,284,FALSE)</f>
        <v>0</v>
      </c>
    </row>
    <row r="7" spans="1:14" x14ac:dyDescent="0.25">
      <c r="A7" s="1123" t="s">
        <v>643</v>
      </c>
      <c r="B7" s="1117" t="s">
        <v>644</v>
      </c>
      <c r="C7" s="1124">
        <f>HLOOKUP($B7,'SEF-30 pg 2 - 36 '!$E$10:$BF$67,38,FALSE)</f>
        <v>-45679111.89642968</v>
      </c>
      <c r="D7" s="1128">
        <f>HLOOKUP($B7,'SEF-30 pg 2 - 36 '!$E$10:$BF$128,99,FALSE)</f>
        <v>0</v>
      </c>
      <c r="E7" s="1128">
        <f>HLOOKUP($B7,'SEF-30 pg 2 - 36 '!$E$10:$BF$189,160,FALSE)</f>
        <v>0</v>
      </c>
      <c r="F7" s="1128">
        <f>HLOOKUP($B7,'SEF-30 pg 2 - 36 '!$E$10:$BF$250,221,FALSE)</f>
        <v>0</v>
      </c>
      <c r="G7" s="1124">
        <f t="shared" si="0"/>
        <v>-45679111.89642968</v>
      </c>
      <c r="H7" s="1129">
        <f>HLOOKUP($B7,'SEF-30 pg 2 - 36 '!$E$10:$BF$311,282,FALSE)</f>
        <v>0</v>
      </c>
      <c r="I7" s="1127">
        <f>HLOOKUP($B7,'SEF-30 pg 2 - 36 '!$E$10:$BF$67,40,FALSE)</f>
        <v>0</v>
      </c>
      <c r="J7" s="1128">
        <f>HLOOKUP($B7,'SEF-30 pg 2 - 36 '!$E$10:$BF$128,101,FALSE)</f>
        <v>0</v>
      </c>
      <c r="K7" s="1128">
        <f>HLOOKUP($B7,'SEF-30 pg 2 - 36 '!$E$10:$BF$189,162,FALSE)</f>
        <v>0</v>
      </c>
      <c r="L7" s="1128">
        <f>HLOOKUP($B7,'SEF-30 pg 2 - 36 '!$E$10:$BF$250,223,FALSE)</f>
        <v>0</v>
      </c>
      <c r="M7" s="1127">
        <f t="shared" si="1"/>
        <v>0</v>
      </c>
      <c r="N7" s="1129">
        <f>HLOOKUP($B7,'SEF-30 pg 2 - 36 '!$E$10:$BF$311,284,FALSE)</f>
        <v>0</v>
      </c>
    </row>
    <row r="8" spans="1:14" x14ac:dyDescent="0.25">
      <c r="A8" s="1123" t="s">
        <v>645</v>
      </c>
      <c r="B8" s="1117" t="s">
        <v>646</v>
      </c>
      <c r="C8" s="1127">
        <f>HLOOKUP($B8,'SEF-30 pg 2 - 36 '!$E$10:$BF$67,38,FALSE)</f>
        <v>2711360.7719267979</v>
      </c>
      <c r="D8" s="1128">
        <f>HLOOKUP($B8,'SEF-30 pg 2 - 36 '!$E$10:$BF$128,99,FALSE)</f>
        <v>3832342.7665624972</v>
      </c>
      <c r="E8" s="1128">
        <f>HLOOKUP($B8,'SEF-30 pg 2 - 36 '!$E$10:$BF$189,160,FALSE)</f>
        <v>-1299233.3888071019</v>
      </c>
      <c r="F8" s="1128">
        <f>HLOOKUP($B8,'SEF-30 pg 2 - 36 '!$E$10:$BF$250,221,FALSE)</f>
        <v>455130.5393555006</v>
      </c>
      <c r="G8" s="1127">
        <f t="shared" si="0"/>
        <v>5699600.6890376937</v>
      </c>
      <c r="H8" s="1129">
        <f>HLOOKUP($B8,'SEF-30 pg 2 - 36 '!$E$10:$BF$311,282,FALSE)</f>
        <v>560044.45140025904</v>
      </c>
      <c r="I8" s="1127">
        <f>HLOOKUP($B8,'SEF-30 pg 2 - 36 '!$E$10:$BF$67,40,FALSE)</f>
        <v>0</v>
      </c>
      <c r="J8" s="1128">
        <f>HLOOKUP($B8,'SEF-30 pg 2 - 36 '!$E$10:$BF$128,101,FALSE)</f>
        <v>0</v>
      </c>
      <c r="K8" s="1128">
        <f>HLOOKUP($B8,'SEF-30 pg 2 - 36 '!$E$10:$BF$189,162,FALSE)</f>
        <v>0</v>
      </c>
      <c r="L8" s="1128">
        <f>HLOOKUP($B8,'SEF-30 pg 2 - 36 '!$E$10:$BF$250,223,FALSE)</f>
        <v>0</v>
      </c>
      <c r="M8" s="1127">
        <f t="shared" si="1"/>
        <v>0</v>
      </c>
      <c r="N8" s="1129">
        <f>HLOOKUP($B8,'SEF-30 pg 2 - 36 '!$E$10:$BF$311,284,FALSE)</f>
        <v>0</v>
      </c>
    </row>
    <row r="9" spans="1:14" x14ac:dyDescent="0.25">
      <c r="A9" s="1123" t="s">
        <v>647</v>
      </c>
      <c r="B9" s="1117" t="s">
        <v>648</v>
      </c>
      <c r="C9" s="1127">
        <f>HLOOKUP($B9,'SEF-30 pg 2 - 36 '!$E$10:$BF$67,38,FALSE)</f>
        <v>30881913.7943177</v>
      </c>
      <c r="D9" s="1128">
        <f>HLOOKUP($B9,'SEF-30 pg 2 - 36 '!$E$10:$BF$128,99,FALSE)</f>
        <v>2863596.510559116</v>
      </c>
      <c r="E9" s="1128">
        <f>HLOOKUP($B9,'SEF-30 pg 2 - 36 '!$E$10:$BF$189,160,FALSE)</f>
        <v>2460753.2996581821</v>
      </c>
      <c r="F9" s="1128">
        <f>HLOOKUP($B9,'SEF-30 pg 2 - 36 '!$E$10:$BF$250,221,FALSE)</f>
        <v>835836.62346682185</v>
      </c>
      <c r="G9" s="1127">
        <f t="shared" si="0"/>
        <v>37042100.228001818</v>
      </c>
      <c r="H9" s="1129">
        <f>HLOOKUP($B9,'SEF-30 pg 2 - 36 '!$E$10:$BF$311,282,FALSE)</f>
        <v>3921908.0189300617</v>
      </c>
      <c r="I9" s="1127">
        <f>HLOOKUP($B9,'SEF-30 pg 2 - 36 '!$E$10:$BF$67,40,FALSE)</f>
        <v>0</v>
      </c>
      <c r="J9" s="1128">
        <f>HLOOKUP($B9,'SEF-30 pg 2 - 36 '!$E$10:$BF$128,101,FALSE)</f>
        <v>0</v>
      </c>
      <c r="K9" s="1128">
        <f>HLOOKUP($B9,'SEF-30 pg 2 - 36 '!$E$10:$BF$189,162,FALSE)</f>
        <v>0</v>
      </c>
      <c r="L9" s="1128">
        <f>HLOOKUP($B9,'SEF-30 pg 2 - 36 '!$E$10:$BF$250,223,FALSE)</f>
        <v>0</v>
      </c>
      <c r="M9" s="1127">
        <f t="shared" si="1"/>
        <v>0</v>
      </c>
      <c r="N9" s="1129">
        <f>HLOOKUP($B9,'SEF-30 pg 2 - 36 '!$E$10:$BF$311,284,FALSE)</f>
        <v>0</v>
      </c>
    </row>
    <row r="10" spans="1:14" x14ac:dyDescent="0.25">
      <c r="A10" s="1123" t="s">
        <v>649</v>
      </c>
      <c r="B10" s="1117" t="s">
        <v>650</v>
      </c>
      <c r="C10" s="1127">
        <f>HLOOKUP($B10,'SEF-30 pg 2 - 36 '!$E$10:$BF$67,38,FALSE)</f>
        <v>359714.48081359779</v>
      </c>
      <c r="D10" s="1128">
        <f>HLOOKUP($B10,'SEF-30 pg 2 - 36 '!$E$10:$BF$128,99,FALSE)</f>
        <v>0</v>
      </c>
      <c r="E10" s="1128">
        <f>HLOOKUP($B10,'SEF-30 pg 2 - 36 '!$E$10:$BF$189,160,FALSE)</f>
        <v>0</v>
      </c>
      <c r="F10" s="1128">
        <f>HLOOKUP($B10,'SEF-30 pg 2 - 36 '!$E$10:$BF$250,221,FALSE)</f>
        <v>0</v>
      </c>
      <c r="G10" s="1127">
        <f t="shared" si="0"/>
        <v>359714.48081359779</v>
      </c>
      <c r="H10" s="1129">
        <f>HLOOKUP($B10,'SEF-30 pg 2 - 36 '!$E$10:$BF$311,282,FALSE)</f>
        <v>0</v>
      </c>
      <c r="I10" s="1127">
        <f>HLOOKUP($B10,'SEF-30 pg 2 - 36 '!$E$10:$BF$67,40,FALSE)</f>
        <v>0</v>
      </c>
      <c r="J10" s="1128">
        <f>HLOOKUP($B10,'SEF-30 pg 2 - 36 '!$E$10:$BF$128,101,FALSE)</f>
        <v>0</v>
      </c>
      <c r="K10" s="1128">
        <f>HLOOKUP($B10,'SEF-30 pg 2 - 36 '!$E$10:$BF$189,162,FALSE)</f>
        <v>0</v>
      </c>
      <c r="L10" s="1128">
        <f>HLOOKUP($B10,'SEF-30 pg 2 - 36 '!$E$10:$BF$250,223,FALSE)</f>
        <v>0</v>
      </c>
      <c r="M10" s="1127">
        <f t="shared" si="1"/>
        <v>0</v>
      </c>
      <c r="N10" s="1129">
        <f>HLOOKUP($B10,'SEF-30 pg 2 - 36 '!$E$10:$BF$311,284,FALSE)</f>
        <v>0</v>
      </c>
    </row>
    <row r="11" spans="1:14" x14ac:dyDescent="0.25">
      <c r="A11" s="1123" t="s">
        <v>651</v>
      </c>
      <c r="B11" s="1117" t="s">
        <v>652</v>
      </c>
      <c r="C11" s="1127">
        <f>HLOOKUP($B11,'SEF-30 pg 2 - 36 '!$E$10:$BF$67,38,FALSE)</f>
        <v>179028.76622970021</v>
      </c>
      <c r="D11" s="1128">
        <f>HLOOKUP($B11,'SEF-30 pg 2 - 36 '!$E$10:$BF$128,99,FALSE)</f>
        <v>0</v>
      </c>
      <c r="E11" s="1128">
        <f>HLOOKUP($B11,'SEF-30 pg 2 - 36 '!$E$10:$BF$189,160,FALSE)</f>
        <v>0</v>
      </c>
      <c r="F11" s="1128">
        <f>HLOOKUP($B11,'SEF-30 pg 2 - 36 '!$E$10:$BF$250,221,FALSE)</f>
        <v>0</v>
      </c>
      <c r="G11" s="1127">
        <f t="shared" si="0"/>
        <v>179028.76622970021</v>
      </c>
      <c r="H11" s="1129">
        <f>HLOOKUP($B11,'SEF-30 pg 2 - 36 '!$E$10:$BF$311,282,FALSE)</f>
        <v>0</v>
      </c>
      <c r="I11" s="1127">
        <f>HLOOKUP($B11,'SEF-30 pg 2 - 36 '!$E$10:$BF$67,40,FALSE)</f>
        <v>0</v>
      </c>
      <c r="J11" s="1128">
        <f>HLOOKUP($B11,'SEF-30 pg 2 - 36 '!$E$10:$BF$128,101,FALSE)</f>
        <v>0</v>
      </c>
      <c r="K11" s="1128">
        <f>HLOOKUP($B11,'SEF-30 pg 2 - 36 '!$E$10:$BF$189,162,FALSE)</f>
        <v>0</v>
      </c>
      <c r="L11" s="1128">
        <f>HLOOKUP($B11,'SEF-30 pg 2 - 36 '!$E$10:$BF$250,223,FALSE)</f>
        <v>0</v>
      </c>
      <c r="M11" s="1127">
        <f t="shared" si="1"/>
        <v>0</v>
      </c>
      <c r="N11" s="1129">
        <f>HLOOKUP($B11,'SEF-30 pg 2 - 36 '!$E$10:$BF$311,284,FALSE)</f>
        <v>0</v>
      </c>
    </row>
    <row r="12" spans="1:14" x14ac:dyDescent="0.25">
      <c r="A12" s="1123" t="s">
        <v>653</v>
      </c>
      <c r="B12" s="1117" t="s">
        <v>654</v>
      </c>
      <c r="C12" s="1127">
        <f>HLOOKUP($B12,'SEF-30 pg 2 - 36 '!$E$10:$BF$67,38,FALSE)</f>
        <v>-21645.139784809799</v>
      </c>
      <c r="D12" s="1128">
        <f>HLOOKUP($B12,'SEF-30 pg 2 - 36 '!$E$10:$BF$128,99,FALSE)</f>
        <v>0</v>
      </c>
      <c r="E12" s="1128">
        <f>HLOOKUP($B12,'SEF-30 pg 2 - 36 '!$E$10:$BF$189,160,FALSE)</f>
        <v>0</v>
      </c>
      <c r="F12" s="1128">
        <f>HLOOKUP($B12,'SEF-30 pg 2 - 36 '!$E$10:$BF$250,221,FALSE)</f>
        <v>0</v>
      </c>
      <c r="G12" s="1127">
        <f t="shared" si="0"/>
        <v>-21645.139784809799</v>
      </c>
      <c r="H12" s="1129">
        <f>HLOOKUP($B12,'SEF-30 pg 2 - 36 '!$E$10:$BF$311,282,FALSE)</f>
        <v>0</v>
      </c>
      <c r="I12" s="1127">
        <f>HLOOKUP($B12,'SEF-30 pg 2 - 36 '!$E$10:$BF$67,40,FALSE)</f>
        <v>0</v>
      </c>
      <c r="J12" s="1128">
        <f>HLOOKUP($B12,'SEF-30 pg 2 - 36 '!$E$10:$BF$128,101,FALSE)</f>
        <v>0</v>
      </c>
      <c r="K12" s="1128">
        <f>HLOOKUP($B12,'SEF-30 pg 2 - 36 '!$E$10:$BF$189,162,FALSE)</f>
        <v>0</v>
      </c>
      <c r="L12" s="1128">
        <f>HLOOKUP($B12,'SEF-30 pg 2 - 36 '!$E$10:$BF$250,223,FALSE)</f>
        <v>0</v>
      </c>
      <c r="M12" s="1127">
        <f t="shared" si="1"/>
        <v>0</v>
      </c>
      <c r="N12" s="1129">
        <f>HLOOKUP($B12,'SEF-30 pg 2 - 36 '!$E$10:$BF$311,284,FALSE)</f>
        <v>0</v>
      </c>
    </row>
    <row r="13" spans="1:14" x14ac:dyDescent="0.25">
      <c r="A13" s="1123" t="s">
        <v>655</v>
      </c>
      <c r="B13" s="1117" t="s">
        <v>656</v>
      </c>
      <c r="C13" s="1127">
        <f>HLOOKUP($B13,'SEF-30 pg 2 - 36 '!$E$10:$BF$67,38,FALSE)</f>
        <v>35900.509910939894</v>
      </c>
      <c r="D13" s="1128">
        <f>HLOOKUP($B13,'SEF-30 pg 2 - 36 '!$E$10:$BF$128,99,FALSE)</f>
        <v>-535106.21265837201</v>
      </c>
      <c r="E13" s="1128">
        <f>HLOOKUP($B13,'SEF-30 pg 2 - 36 '!$E$10:$BF$189,160,FALSE)</f>
        <v>0</v>
      </c>
      <c r="F13" s="1128">
        <f>HLOOKUP($B13,'SEF-30 pg 2 - 36 '!$E$10:$BF$250,221,FALSE)</f>
        <v>0</v>
      </c>
      <c r="G13" s="1127">
        <f t="shared" si="0"/>
        <v>-499205.70274743211</v>
      </c>
      <c r="H13" s="1129">
        <f>HLOOKUP($B13,'SEF-30 pg 2 - 36 '!$E$10:$BF$311,282,FALSE)</f>
        <v>0</v>
      </c>
      <c r="I13" s="1127">
        <f>HLOOKUP($B13,'SEF-30 pg 2 - 36 '!$E$10:$BF$67,40,FALSE)</f>
        <v>0</v>
      </c>
      <c r="J13" s="1128">
        <f>HLOOKUP($B13,'SEF-30 pg 2 - 36 '!$E$10:$BF$128,101,FALSE)</f>
        <v>0</v>
      </c>
      <c r="K13" s="1128">
        <f>HLOOKUP($B13,'SEF-30 pg 2 - 36 '!$E$10:$BF$189,162,FALSE)</f>
        <v>0</v>
      </c>
      <c r="L13" s="1128">
        <f>HLOOKUP($B13,'SEF-30 pg 2 - 36 '!$E$10:$BF$250,223,FALSE)</f>
        <v>0</v>
      </c>
      <c r="M13" s="1127">
        <f t="shared" si="1"/>
        <v>0</v>
      </c>
      <c r="N13" s="1129">
        <f>HLOOKUP($B13,'SEF-30 pg 2 - 36 '!$E$10:$BF$311,284,FALSE)</f>
        <v>0</v>
      </c>
    </row>
    <row r="14" spans="1:14" x14ac:dyDescent="0.25">
      <c r="A14" s="1123" t="s">
        <v>657</v>
      </c>
      <c r="B14" s="1117" t="s">
        <v>658</v>
      </c>
      <c r="C14" s="1127">
        <f>HLOOKUP($B14,'SEF-30 pg 2 - 36 '!$E$10:$BF$67,38,FALSE)</f>
        <v>131970.01726178749</v>
      </c>
      <c r="D14" s="1128">
        <f>HLOOKUP($B14,'SEF-30 pg 2 - 36 '!$E$10:$BF$128,99,FALSE)</f>
        <v>0</v>
      </c>
      <c r="E14" s="1128">
        <f>HLOOKUP($B14,'SEF-30 pg 2 - 36 '!$E$10:$BF$189,160,FALSE)</f>
        <v>0</v>
      </c>
      <c r="F14" s="1128">
        <f>HLOOKUP($B14,'SEF-30 pg 2 - 36 '!$E$10:$BF$250,221,FALSE)</f>
        <v>0</v>
      </c>
      <c r="G14" s="1127">
        <f t="shared" si="0"/>
        <v>131970.01726178749</v>
      </c>
      <c r="H14" s="1129">
        <f>HLOOKUP($B14,'SEF-30 pg 2 - 36 '!$E$10:$BF$311,282,FALSE)</f>
        <v>0</v>
      </c>
      <c r="I14" s="1127">
        <f>HLOOKUP($B14,'SEF-30 pg 2 - 36 '!$E$10:$BF$67,40,FALSE)</f>
        <v>0</v>
      </c>
      <c r="J14" s="1128">
        <f>HLOOKUP($B14,'SEF-30 pg 2 - 36 '!$E$10:$BF$128,101,FALSE)</f>
        <v>0</v>
      </c>
      <c r="K14" s="1128">
        <f>HLOOKUP($B14,'SEF-30 pg 2 - 36 '!$E$10:$BF$189,162,FALSE)</f>
        <v>0</v>
      </c>
      <c r="L14" s="1128">
        <f>HLOOKUP($B14,'SEF-30 pg 2 - 36 '!$E$10:$BF$250,223,FALSE)</f>
        <v>0</v>
      </c>
      <c r="M14" s="1127">
        <f t="shared" si="1"/>
        <v>0</v>
      </c>
      <c r="N14" s="1129">
        <f>HLOOKUP($B14,'SEF-30 pg 2 - 36 '!$E$10:$BF$311,284,FALSE)</f>
        <v>0</v>
      </c>
    </row>
    <row r="15" spans="1:14" x14ac:dyDescent="0.25">
      <c r="A15" s="1123" t="s">
        <v>659</v>
      </c>
      <c r="B15" s="1117" t="s">
        <v>660</v>
      </c>
      <c r="C15" s="1127">
        <f>HLOOKUP($B15,'SEF-30 pg 2 - 36 '!$E$10:$BF$67,38,FALSE)</f>
        <v>3219883.4385292572</v>
      </c>
      <c r="D15" s="1128">
        <f>HLOOKUP($B15,'SEF-30 pg 2 - 36 '!$E$10:$BF$128,99,FALSE)</f>
        <v>-754321.79533689353</v>
      </c>
      <c r="E15" s="1128">
        <f>HLOOKUP($B15,'SEF-30 pg 2 - 36 '!$E$10:$BF$189,160,FALSE)</f>
        <v>-313832.77429169288</v>
      </c>
      <c r="F15" s="1128">
        <f>HLOOKUP($B15,'SEF-30 pg 2 - 36 '!$E$10:$BF$250,221,FALSE)</f>
        <v>-69979.760459128389</v>
      </c>
      <c r="G15" s="1127">
        <f t="shared" si="0"/>
        <v>2081749.1084415428</v>
      </c>
      <c r="H15" s="1129">
        <f>HLOOKUP($B15,'SEF-30 pg 2 - 36 '!$E$10:$BF$311,282,FALSE)</f>
        <v>-4069.3607009257348</v>
      </c>
      <c r="I15" s="1127">
        <f>HLOOKUP($B15,'SEF-30 pg 2 - 36 '!$E$10:$BF$67,40,FALSE)</f>
        <v>0</v>
      </c>
      <c r="J15" s="1128">
        <f>HLOOKUP($B15,'SEF-30 pg 2 - 36 '!$E$10:$BF$128,101,FALSE)</f>
        <v>0</v>
      </c>
      <c r="K15" s="1128">
        <f>HLOOKUP($B15,'SEF-30 pg 2 - 36 '!$E$10:$BF$189,162,FALSE)</f>
        <v>0</v>
      </c>
      <c r="L15" s="1128">
        <f>HLOOKUP($B15,'SEF-30 pg 2 - 36 '!$E$10:$BF$250,223,FALSE)</f>
        <v>0</v>
      </c>
      <c r="M15" s="1127">
        <f t="shared" si="1"/>
        <v>0</v>
      </c>
      <c r="N15" s="1129">
        <f>HLOOKUP($B15,'SEF-30 pg 2 - 36 '!$E$10:$BF$311,284,FALSE)</f>
        <v>0</v>
      </c>
    </row>
    <row r="16" spans="1:14" x14ac:dyDescent="0.25">
      <c r="A16" s="1123" t="s">
        <v>661</v>
      </c>
      <c r="B16" s="1117" t="s">
        <v>662</v>
      </c>
      <c r="C16" s="1127">
        <f>HLOOKUP($B16,'SEF-30 pg 2 - 36 '!$E$10:$BF$67,38,FALSE)</f>
        <v>-397201.36744354269</v>
      </c>
      <c r="D16" s="1128">
        <f>HLOOKUP($B16,'SEF-30 pg 2 - 36 '!$E$10:$BF$128,99,FALSE)</f>
        <v>0</v>
      </c>
      <c r="E16" s="1128">
        <f>HLOOKUP($B16,'SEF-30 pg 2 - 36 '!$E$10:$BF$189,160,FALSE)</f>
        <v>0</v>
      </c>
      <c r="F16" s="1128">
        <f>HLOOKUP($B16,'SEF-30 pg 2 - 36 '!$E$10:$BF$250,221,FALSE)</f>
        <v>0</v>
      </c>
      <c r="G16" s="1127">
        <f t="shared" si="0"/>
        <v>-397201.36744354269</v>
      </c>
      <c r="H16" s="1129">
        <f>HLOOKUP($B16,'SEF-30 pg 2 - 36 '!$E$10:$BF$311,282,FALSE)</f>
        <v>0</v>
      </c>
      <c r="I16" s="1127">
        <f>HLOOKUP($B16,'SEF-30 pg 2 - 36 '!$E$10:$BF$67,40,FALSE)</f>
        <v>0</v>
      </c>
      <c r="J16" s="1128">
        <f>HLOOKUP($B16,'SEF-30 pg 2 - 36 '!$E$10:$BF$128,101,FALSE)</f>
        <v>0</v>
      </c>
      <c r="K16" s="1128">
        <f>HLOOKUP($B16,'SEF-30 pg 2 - 36 '!$E$10:$BF$189,162,FALSE)</f>
        <v>0</v>
      </c>
      <c r="L16" s="1128">
        <f>HLOOKUP($B16,'SEF-30 pg 2 - 36 '!$E$10:$BF$250,223,FALSE)</f>
        <v>0</v>
      </c>
      <c r="M16" s="1127">
        <f t="shared" si="1"/>
        <v>0</v>
      </c>
      <c r="N16" s="1129">
        <f>HLOOKUP($B16,'SEF-30 pg 2 - 36 '!$E$10:$BF$311,284,FALSE)</f>
        <v>0</v>
      </c>
    </row>
    <row r="17" spans="1:14" x14ac:dyDescent="0.25">
      <c r="A17" s="1123" t="s">
        <v>663</v>
      </c>
      <c r="B17" s="1117" t="s">
        <v>664</v>
      </c>
      <c r="C17" s="1127">
        <f>HLOOKUP($B17,'SEF-30 pg 2 - 36 '!$E$10:$BF$67,38,FALSE)</f>
        <v>-131317.93692733094</v>
      </c>
      <c r="D17" s="1128">
        <f>HLOOKUP($B17,'SEF-30 pg 2 - 36 '!$E$10:$BF$128,99,FALSE)</f>
        <v>0</v>
      </c>
      <c r="E17" s="1128">
        <f>HLOOKUP($B17,'SEF-30 pg 2 - 36 '!$E$10:$BF$189,160,FALSE)</f>
        <v>0</v>
      </c>
      <c r="F17" s="1128">
        <f>HLOOKUP($B17,'SEF-30 pg 2 - 36 '!$E$10:$BF$250,221,FALSE)</f>
        <v>0</v>
      </c>
      <c r="G17" s="1127">
        <f t="shared" si="0"/>
        <v>-131317.93692733094</v>
      </c>
      <c r="H17" s="1129">
        <f>HLOOKUP($B17,'SEF-30 pg 2 - 36 '!$E$10:$BF$311,282,FALSE)</f>
        <v>0</v>
      </c>
      <c r="I17" s="1127">
        <f>HLOOKUP($B17,'SEF-30 pg 2 - 36 '!$E$10:$BF$67,40,FALSE)</f>
        <v>0</v>
      </c>
      <c r="J17" s="1128">
        <f>HLOOKUP($B17,'SEF-30 pg 2 - 36 '!$E$10:$BF$128,101,FALSE)</f>
        <v>0</v>
      </c>
      <c r="K17" s="1128">
        <f>HLOOKUP($B17,'SEF-30 pg 2 - 36 '!$E$10:$BF$189,162,FALSE)</f>
        <v>0</v>
      </c>
      <c r="L17" s="1128">
        <f>HLOOKUP($B17,'SEF-30 pg 2 - 36 '!$E$10:$BF$250,223,FALSE)</f>
        <v>0</v>
      </c>
      <c r="M17" s="1127">
        <f t="shared" si="1"/>
        <v>0</v>
      </c>
      <c r="N17" s="1129">
        <f>HLOOKUP($B17,'SEF-30 pg 2 - 36 '!$E$10:$BF$311,284,FALSE)</f>
        <v>0</v>
      </c>
    </row>
    <row r="18" spans="1:14" x14ac:dyDescent="0.25">
      <c r="A18" s="1123" t="s">
        <v>665</v>
      </c>
      <c r="B18" s="1117" t="s">
        <v>666</v>
      </c>
      <c r="C18" s="1127">
        <f>HLOOKUP($B18,'SEF-30 pg 2 - 36 '!$E$10:$BF$67,38,FALSE)</f>
        <v>-818378.23092293227</v>
      </c>
      <c r="D18" s="1128">
        <f>HLOOKUP($B18,'SEF-30 pg 2 - 36 '!$E$10:$BF$128,99,FALSE)</f>
        <v>0</v>
      </c>
      <c r="E18" s="1128">
        <f>HLOOKUP($B18,'SEF-30 pg 2 - 36 '!$E$10:$BF$189,160,FALSE)</f>
        <v>0</v>
      </c>
      <c r="F18" s="1128">
        <f>HLOOKUP($B18,'SEF-30 pg 2 - 36 '!$E$10:$BF$250,221,FALSE)</f>
        <v>0</v>
      </c>
      <c r="G18" s="1127">
        <f t="shared" si="0"/>
        <v>-818378.23092293227</v>
      </c>
      <c r="H18" s="1129">
        <f>HLOOKUP($B18,'SEF-30 pg 2 - 36 '!$E$10:$BF$311,282,FALSE)</f>
        <v>0</v>
      </c>
      <c r="I18" s="1127">
        <f>HLOOKUP($B18,'SEF-30 pg 2 - 36 '!$E$10:$BF$67,40,FALSE)</f>
        <v>0</v>
      </c>
      <c r="J18" s="1128">
        <f>HLOOKUP($B18,'SEF-30 pg 2 - 36 '!$E$10:$BF$128,101,FALSE)</f>
        <v>0</v>
      </c>
      <c r="K18" s="1128">
        <f>HLOOKUP($B18,'SEF-30 pg 2 - 36 '!$E$10:$BF$189,162,FALSE)</f>
        <v>0</v>
      </c>
      <c r="L18" s="1128">
        <f>HLOOKUP($B18,'SEF-30 pg 2 - 36 '!$E$10:$BF$250,223,FALSE)</f>
        <v>0</v>
      </c>
      <c r="M18" s="1127">
        <f t="shared" si="1"/>
        <v>0</v>
      </c>
      <c r="N18" s="1129">
        <f>HLOOKUP($B18,'SEF-30 pg 2 - 36 '!$E$10:$BF$311,284,FALSE)</f>
        <v>0</v>
      </c>
    </row>
    <row r="19" spans="1:14" x14ac:dyDescent="0.25">
      <c r="A19" s="1123" t="s">
        <v>667</v>
      </c>
      <c r="B19" s="1117" t="s">
        <v>668</v>
      </c>
      <c r="C19" s="1127">
        <f>HLOOKUP($B19,'SEF-30 pg 2 - 36 '!$E$10:$BF$67,38,FALSE)</f>
        <v>-1161336.9166999999</v>
      </c>
      <c r="D19" s="1128">
        <f>HLOOKUP($B19,'SEF-30 pg 2 - 36 '!$E$10:$BF$128,99,FALSE)</f>
        <v>0</v>
      </c>
      <c r="E19" s="1128">
        <f>HLOOKUP($B19,'SEF-30 pg 2 - 36 '!$E$10:$BF$189,160,FALSE)</f>
        <v>0</v>
      </c>
      <c r="F19" s="1128">
        <f>HLOOKUP($B19,'SEF-30 pg 2 - 36 '!$E$10:$BF$250,221,FALSE)</f>
        <v>16099.415266666794</v>
      </c>
      <c r="G19" s="1127">
        <f t="shared" si="0"/>
        <v>-1145237.5014333331</v>
      </c>
      <c r="H19" s="1129">
        <f>HLOOKUP($B19,'SEF-30 pg 2 - 36 '!$E$10:$BF$311,282,FALSE)</f>
        <v>0</v>
      </c>
      <c r="I19" s="1127">
        <f>HLOOKUP($B19,'SEF-30 pg 2 - 36 '!$E$10:$BF$67,40,FALSE)</f>
        <v>0</v>
      </c>
      <c r="J19" s="1128">
        <f>HLOOKUP($B19,'SEF-30 pg 2 - 36 '!$E$10:$BF$128,101,FALSE)</f>
        <v>0</v>
      </c>
      <c r="K19" s="1128">
        <f>HLOOKUP($B19,'SEF-30 pg 2 - 36 '!$E$10:$BF$189,162,FALSE)</f>
        <v>0</v>
      </c>
      <c r="L19" s="1128">
        <f>HLOOKUP($B19,'SEF-30 pg 2 - 36 '!$E$10:$BF$250,223,FALSE)</f>
        <v>0</v>
      </c>
      <c r="M19" s="1127">
        <f t="shared" si="1"/>
        <v>0</v>
      </c>
      <c r="N19" s="1129">
        <f>HLOOKUP($B19,'SEF-30 pg 2 - 36 '!$E$10:$BF$311,284,FALSE)</f>
        <v>0</v>
      </c>
    </row>
    <row r="20" spans="1:14" x14ac:dyDescent="0.25">
      <c r="A20" s="1123" t="s">
        <v>669</v>
      </c>
      <c r="B20" s="1117" t="s">
        <v>670</v>
      </c>
      <c r="C20" s="1127">
        <f>HLOOKUP($B20,'SEF-30 pg 2 - 36 '!$E$10:$BF$67,38,FALSE)</f>
        <v>18267.632184394755</v>
      </c>
      <c r="D20" s="1128">
        <f>HLOOKUP($B20,'SEF-30 pg 2 - 36 '!$E$10:$BF$128,99,FALSE)</f>
        <v>0</v>
      </c>
      <c r="E20" s="1128">
        <f>HLOOKUP($B20,'SEF-30 pg 2 - 36 '!$E$10:$BF$189,160,FALSE)</f>
        <v>0</v>
      </c>
      <c r="F20" s="1128">
        <f>HLOOKUP($B20,'SEF-30 pg 2 - 36 '!$E$10:$BF$250,221,FALSE)</f>
        <v>0</v>
      </c>
      <c r="G20" s="1127">
        <f t="shared" si="0"/>
        <v>18267.632184394755</v>
      </c>
      <c r="H20" s="1129">
        <f>HLOOKUP($B20,'SEF-30 pg 2 - 36 '!$E$10:$BF$311,282,FALSE)</f>
        <v>0</v>
      </c>
      <c r="I20" s="1127">
        <f>HLOOKUP($B20,'SEF-30 pg 2 - 36 '!$E$10:$BF$67,40,FALSE)</f>
        <v>0</v>
      </c>
      <c r="J20" s="1128">
        <f>HLOOKUP($B20,'SEF-30 pg 2 - 36 '!$E$10:$BF$128,101,FALSE)</f>
        <v>0</v>
      </c>
      <c r="K20" s="1128">
        <f>HLOOKUP($B20,'SEF-30 pg 2 - 36 '!$E$10:$BF$189,162,FALSE)</f>
        <v>0</v>
      </c>
      <c r="L20" s="1128">
        <f>HLOOKUP($B20,'SEF-30 pg 2 - 36 '!$E$10:$BF$250,223,FALSE)</f>
        <v>0</v>
      </c>
      <c r="M20" s="1127">
        <f t="shared" si="1"/>
        <v>0</v>
      </c>
      <c r="N20" s="1129">
        <f>HLOOKUP($B20,'SEF-30 pg 2 - 36 '!$E$10:$BF$311,284,FALSE)</f>
        <v>0</v>
      </c>
    </row>
    <row r="21" spans="1:14" x14ac:dyDescent="0.25">
      <c r="A21" s="1123" t="s">
        <v>671</v>
      </c>
      <c r="B21" s="1117" t="s">
        <v>672</v>
      </c>
      <c r="C21" s="1127">
        <f>HLOOKUP($B21,'SEF-30 pg 2 - 36 '!$E$10:$BF$67,38,FALSE)</f>
        <v>-2936475.9187557171</v>
      </c>
      <c r="D21" s="1128">
        <f>HLOOKUP($B21,'SEF-30 pg 2 - 36 '!$E$10:$BF$128,99,FALSE)</f>
        <v>0</v>
      </c>
      <c r="E21" s="1128">
        <f>HLOOKUP($B21,'SEF-30 pg 2 - 36 '!$E$10:$BF$189,160,FALSE)</f>
        <v>0</v>
      </c>
      <c r="F21" s="1128">
        <f>HLOOKUP($B21,'SEF-30 pg 2 - 36 '!$E$10:$BF$250,221,FALSE)</f>
        <v>0</v>
      </c>
      <c r="G21" s="1127">
        <f t="shared" si="0"/>
        <v>-2936475.9187557171</v>
      </c>
      <c r="H21" s="1129">
        <f>HLOOKUP($B21,'SEF-30 pg 2 - 36 '!$E$10:$BF$311,282,FALSE)</f>
        <v>0</v>
      </c>
      <c r="I21" s="1127">
        <f>HLOOKUP($B21,'SEF-30 pg 2 - 36 '!$E$10:$BF$67,40,FALSE)</f>
        <v>0</v>
      </c>
      <c r="J21" s="1128">
        <f>HLOOKUP($B21,'SEF-30 pg 2 - 36 '!$E$10:$BF$128,101,FALSE)</f>
        <v>0</v>
      </c>
      <c r="K21" s="1128">
        <f>HLOOKUP($B21,'SEF-30 pg 2 - 36 '!$E$10:$BF$189,162,FALSE)</f>
        <v>0</v>
      </c>
      <c r="L21" s="1128">
        <f>HLOOKUP($B21,'SEF-30 pg 2 - 36 '!$E$10:$BF$250,223,FALSE)</f>
        <v>0</v>
      </c>
      <c r="M21" s="1127">
        <f t="shared" si="1"/>
        <v>0</v>
      </c>
      <c r="N21" s="1129">
        <f>HLOOKUP($B21,'SEF-30 pg 2 - 36 '!$E$10:$BF$311,284,FALSE)</f>
        <v>0</v>
      </c>
    </row>
    <row r="22" spans="1:14" x14ac:dyDescent="0.25">
      <c r="A22" s="1123" t="s">
        <v>673</v>
      </c>
      <c r="B22" s="1117" t="s">
        <v>674</v>
      </c>
      <c r="C22" s="1127">
        <f>HLOOKUP($B22,'SEF-30 pg 2 - 36 '!$E$10:$BF$67,38,FALSE)</f>
        <v>-6595418.7965601254</v>
      </c>
      <c r="D22" s="1128">
        <f>HLOOKUP($B22,'SEF-30 pg 2 - 36 '!$E$10:$BF$128,99,FALSE)</f>
        <v>0</v>
      </c>
      <c r="E22" s="1128">
        <f>HLOOKUP($B22,'SEF-30 pg 2 - 36 '!$E$10:$BF$189,160,FALSE)</f>
        <v>0</v>
      </c>
      <c r="F22" s="1128">
        <f>HLOOKUP($B22,'SEF-30 pg 2 - 36 '!$E$10:$BF$250,221,FALSE)</f>
        <v>0</v>
      </c>
      <c r="G22" s="1127">
        <f t="shared" si="0"/>
        <v>-6595418.7965601254</v>
      </c>
      <c r="H22" s="1129">
        <f>HLOOKUP($B22,'SEF-30 pg 2 - 36 '!$E$10:$BF$311,282,FALSE)</f>
        <v>0</v>
      </c>
      <c r="I22" s="1127">
        <f>HLOOKUP($B22,'SEF-30 pg 2 - 36 '!$E$10:$BF$67,40,FALSE)</f>
        <v>0</v>
      </c>
      <c r="J22" s="1128">
        <f>HLOOKUP($B22,'SEF-30 pg 2 - 36 '!$E$10:$BF$128,101,FALSE)</f>
        <v>0</v>
      </c>
      <c r="K22" s="1128">
        <f>HLOOKUP($B22,'SEF-30 pg 2 - 36 '!$E$10:$BF$189,162,FALSE)</f>
        <v>0</v>
      </c>
      <c r="L22" s="1128">
        <f>HLOOKUP($B22,'SEF-30 pg 2 - 36 '!$E$10:$BF$250,223,FALSE)</f>
        <v>0</v>
      </c>
      <c r="M22" s="1127">
        <f t="shared" si="1"/>
        <v>0</v>
      </c>
      <c r="N22" s="1129">
        <f>HLOOKUP($B22,'SEF-30 pg 2 - 36 '!$E$10:$BF$311,284,FALSE)</f>
        <v>0</v>
      </c>
    </row>
    <row r="23" spans="1:14" x14ac:dyDescent="0.25">
      <c r="A23" s="1123" t="s">
        <v>675</v>
      </c>
      <c r="B23" s="1117" t="s">
        <v>676</v>
      </c>
      <c r="C23" s="1127">
        <f>HLOOKUP($B23,'SEF-30 pg 2 - 36 '!$E$10:$BF$67,38,FALSE)</f>
        <v>0</v>
      </c>
      <c r="D23" s="1128">
        <f>HLOOKUP($B23,'SEF-30 pg 2 - 36 '!$E$10:$BF$128,99,FALSE)</f>
        <v>0</v>
      </c>
      <c r="E23" s="1128">
        <f>HLOOKUP($B23,'SEF-30 pg 2 - 36 '!$E$10:$BF$189,160,FALSE)</f>
        <v>0</v>
      </c>
      <c r="F23" s="1128">
        <f>HLOOKUP($B23,'SEF-30 pg 2 - 36 '!$E$10:$BF$250,221,FALSE)</f>
        <v>0</v>
      </c>
      <c r="G23" s="1127">
        <f t="shared" si="0"/>
        <v>0</v>
      </c>
      <c r="H23" s="1129">
        <f>HLOOKUP($B23,'SEF-30 pg 2 - 36 '!$E$10:$BF$311,282,FALSE)</f>
        <v>0</v>
      </c>
      <c r="I23" s="1127">
        <f>HLOOKUP($B23,'SEF-30 pg 2 - 36 '!$E$10:$BF$67,40,FALSE)</f>
        <v>23410353.123831868</v>
      </c>
      <c r="J23" s="1128">
        <f>HLOOKUP($B23,'SEF-30 pg 2 - 36 '!$E$10:$BF$128,101,FALSE)</f>
        <v>0</v>
      </c>
      <c r="K23" s="1128">
        <f>HLOOKUP($B23,'SEF-30 pg 2 - 36 '!$E$10:$BF$189,162,FALSE)</f>
        <v>0</v>
      </c>
      <c r="L23" s="1128">
        <f>HLOOKUP($B23,'SEF-30 pg 2 - 36 '!$E$10:$BF$250,223,FALSE)</f>
        <v>0</v>
      </c>
      <c r="M23" s="1127">
        <f t="shared" si="1"/>
        <v>23410353.123831868</v>
      </c>
      <c r="N23" s="1129">
        <f>HLOOKUP($B23,'SEF-30 pg 2 - 36 '!$E$10:$BF$311,284,FALSE)</f>
        <v>0</v>
      </c>
    </row>
    <row r="24" spans="1:14" x14ac:dyDescent="0.25">
      <c r="A24" s="1123" t="s">
        <v>677</v>
      </c>
      <c r="B24" s="1117" t="s">
        <v>678</v>
      </c>
      <c r="C24" s="1127">
        <f>HLOOKUP($B24,'SEF-30 pg 2 - 36 '!$E$10:$BF$67,38,FALSE)</f>
        <v>3150854.0515157296</v>
      </c>
      <c r="D24" s="1128">
        <f>HLOOKUP($B24,'SEF-30 pg 2 - 36 '!$E$10:$BF$128,99,FALSE)</f>
        <v>0</v>
      </c>
      <c r="E24" s="1128">
        <f>HLOOKUP($B24,'SEF-30 pg 2 - 36 '!$E$10:$BF$189,160,FALSE)</f>
        <v>0</v>
      </c>
      <c r="F24" s="1128">
        <f>HLOOKUP($B24,'SEF-30 pg 2 - 36 '!$E$10:$BF$250,221,FALSE)</f>
        <v>0</v>
      </c>
      <c r="G24" s="1127">
        <f t="shared" si="0"/>
        <v>3150854.0515157296</v>
      </c>
      <c r="H24" s="1129">
        <f>HLOOKUP($B24,'SEF-30 pg 2 - 36 '!$E$10:$BF$311,282,FALSE)</f>
        <v>0</v>
      </c>
      <c r="I24" s="1127">
        <f>HLOOKUP($B24,'SEF-30 pg 2 - 36 '!$E$10:$BF$67,40,FALSE)</f>
        <v>3150854.051515731</v>
      </c>
      <c r="J24" s="1128">
        <f>HLOOKUP($B24,'SEF-30 pg 2 - 36 '!$E$10:$BF$128,101,FALSE)</f>
        <v>0</v>
      </c>
      <c r="K24" s="1128">
        <f>HLOOKUP($B24,'SEF-30 pg 2 - 36 '!$E$10:$BF$189,162,FALSE)</f>
        <v>0</v>
      </c>
      <c r="L24" s="1128">
        <f>HLOOKUP($B24,'SEF-30 pg 2 - 36 '!$E$10:$BF$250,223,FALSE)</f>
        <v>0</v>
      </c>
      <c r="M24" s="1127">
        <f t="shared" si="1"/>
        <v>3150854.051515731</v>
      </c>
      <c r="N24" s="1129">
        <f>HLOOKUP($B24,'SEF-30 pg 2 - 36 '!$E$10:$BF$311,284,FALSE)</f>
        <v>0</v>
      </c>
    </row>
    <row r="25" spans="1:14" x14ac:dyDescent="0.25">
      <c r="A25" s="1123" t="s">
        <v>679</v>
      </c>
      <c r="B25" s="1117" t="s">
        <v>680</v>
      </c>
      <c r="C25" s="1124">
        <f>HLOOKUP($B25,'SEF-30 pg 2 - 36 '!$E$10:$BF$67,38,FALSE)</f>
        <v>-2412351.6838164986</v>
      </c>
      <c r="D25" s="1128">
        <f>HLOOKUP($B25,'SEF-30 pg 2 - 36 '!$E$10:$BF$128,99,FALSE)</f>
        <v>0</v>
      </c>
      <c r="E25" s="1128">
        <f>HLOOKUP($B25,'SEF-30 pg 2 - 36 '!$E$10:$BF$189,160,FALSE)</f>
        <v>0</v>
      </c>
      <c r="F25" s="1128">
        <f>HLOOKUP($B25,'SEF-30 pg 2 - 36 '!$E$10:$BF$250,221,FALSE)</f>
        <v>0</v>
      </c>
      <c r="G25" s="1124">
        <f t="shared" si="0"/>
        <v>-2412351.6838164986</v>
      </c>
      <c r="H25" s="1129">
        <f>HLOOKUP($B25,'SEF-30 pg 2 - 36 '!$E$10:$BF$311,282,FALSE)</f>
        <v>0</v>
      </c>
      <c r="I25" s="1127">
        <f>HLOOKUP($B25,'SEF-30 pg 2 - 36 '!$E$10:$BF$67,40,FALSE)</f>
        <v>0</v>
      </c>
      <c r="J25" s="1128">
        <f>HLOOKUP($B25,'SEF-30 pg 2 - 36 '!$E$10:$BF$128,101,FALSE)</f>
        <v>0</v>
      </c>
      <c r="K25" s="1128">
        <f>HLOOKUP($B25,'SEF-30 pg 2 - 36 '!$E$10:$BF$189,162,FALSE)</f>
        <v>0</v>
      </c>
      <c r="L25" s="1128">
        <f>HLOOKUP($B25,'SEF-30 pg 2 - 36 '!$E$10:$BF$250,223,FALSE)</f>
        <v>0</v>
      </c>
      <c r="M25" s="1127">
        <f t="shared" si="1"/>
        <v>0</v>
      </c>
      <c r="N25" s="1129">
        <f>HLOOKUP($B25,'SEF-30 pg 2 - 36 '!$E$10:$BF$311,284,FALSE)</f>
        <v>0</v>
      </c>
    </row>
    <row r="26" spans="1:14" x14ac:dyDescent="0.25">
      <c r="A26" s="1123" t="s">
        <v>681</v>
      </c>
      <c r="B26" s="1117" t="s">
        <v>682</v>
      </c>
      <c r="C26" s="1127">
        <f>HLOOKUP($B26,'SEF-30 pg 2 - 36 '!$E$10:$BF$67,38,FALSE)</f>
        <v>0</v>
      </c>
      <c r="D26" s="1128">
        <f>HLOOKUP($B26,'SEF-30 pg 2 - 36 '!$E$10:$BF$128,99,FALSE)</f>
        <v>0</v>
      </c>
      <c r="E26" s="1128">
        <f>HLOOKUP($B26,'SEF-30 pg 2 - 36 '!$E$10:$BF$189,160,FALSE)</f>
        <v>0</v>
      </c>
      <c r="F26" s="1128">
        <f>HLOOKUP($B26,'SEF-30 pg 2 - 36 '!$E$10:$BF$250,221,FALSE)</f>
        <v>-24075305.605324887</v>
      </c>
      <c r="G26" s="1127">
        <f t="shared" si="0"/>
        <v>-24075305.605324887</v>
      </c>
      <c r="H26" s="1129">
        <f>HLOOKUP($B26,'SEF-30 pg 2 - 36 '!$E$10:$BF$311,282,FALSE)</f>
        <v>-16378519.056668101</v>
      </c>
      <c r="I26" s="1127">
        <f>HLOOKUP($B26,'SEF-30 pg 2 - 36 '!$E$10:$BF$67,40,FALSE)</f>
        <v>0</v>
      </c>
      <c r="J26" s="1128">
        <f>HLOOKUP($B26,'SEF-30 pg 2 - 36 '!$E$10:$BF$128,101,FALSE)</f>
        <v>0</v>
      </c>
      <c r="K26" s="1128">
        <f>HLOOKUP($B26,'SEF-30 pg 2 - 36 '!$E$10:$BF$189,162,FALSE)</f>
        <v>0</v>
      </c>
      <c r="L26" s="1128">
        <f>HLOOKUP($B26,'SEF-30 pg 2 - 36 '!$E$10:$BF$250,223,FALSE)</f>
        <v>0</v>
      </c>
      <c r="M26" s="1127">
        <f t="shared" si="1"/>
        <v>0</v>
      </c>
      <c r="N26" s="1129">
        <f>HLOOKUP($B26,'SEF-30 pg 2 - 36 '!$E$10:$BF$311,284,FALSE)</f>
        <v>0</v>
      </c>
    </row>
    <row r="27" spans="1:14" x14ac:dyDescent="0.25">
      <c r="A27" s="1123" t="s">
        <v>683</v>
      </c>
      <c r="B27" s="1117" t="s">
        <v>684</v>
      </c>
      <c r="C27" s="1127">
        <f>HLOOKUP($B27,'SEF-30 pg 2 - 36 '!$E$10:$BF$67,38,FALSE)</f>
        <v>0</v>
      </c>
      <c r="D27" s="1128">
        <f>HLOOKUP($B27,'SEF-30 pg 2 - 36 '!$E$10:$BF$128,99,FALSE)</f>
        <v>3737464.7041999986</v>
      </c>
      <c r="E27" s="1128">
        <f>HLOOKUP($B27,'SEF-30 pg 2 - 36 '!$E$10:$BF$189,160,FALSE)</f>
        <v>0</v>
      </c>
      <c r="F27" s="1128">
        <f>HLOOKUP($B27,'SEF-30 pg 2 - 36 '!$E$10:$BF$250,221,FALSE)</f>
        <v>0</v>
      </c>
      <c r="G27" s="1124">
        <f t="shared" si="0"/>
        <v>3737464.7041999986</v>
      </c>
      <c r="H27" s="1129">
        <f>HLOOKUP($B27,'SEF-30 pg 2 - 36 '!$E$10:$BF$311,282,FALSE)</f>
        <v>0</v>
      </c>
      <c r="I27" s="1127">
        <f>HLOOKUP($B27,'SEF-30 pg 2 - 36 '!$E$10:$BF$67,40,FALSE)</f>
        <v>0</v>
      </c>
      <c r="J27" s="1128">
        <f>HLOOKUP($B27,'SEF-30 pg 2 - 36 '!$E$10:$BF$128,101,FALSE)</f>
        <v>-60657666.762677558</v>
      </c>
      <c r="K27" s="1128">
        <f>HLOOKUP($B27,'SEF-30 pg 2 - 36 '!$E$10:$BF$189,162,FALSE)</f>
        <v>0</v>
      </c>
      <c r="L27" s="1128">
        <f>HLOOKUP($B27,'SEF-30 pg 2 - 36 '!$E$10:$BF$250,223,FALSE)</f>
        <v>0</v>
      </c>
      <c r="M27" s="1127">
        <f t="shared" si="1"/>
        <v>-60657666.762677558</v>
      </c>
      <c r="N27" s="1129">
        <f>HLOOKUP($B27,'SEF-30 pg 2 - 36 '!$E$10:$BF$311,284,FALSE)</f>
        <v>0</v>
      </c>
    </row>
    <row r="28" spans="1:14" x14ac:dyDescent="0.25">
      <c r="A28" s="1123" t="s">
        <v>685</v>
      </c>
      <c r="B28" s="1117" t="s">
        <v>686</v>
      </c>
      <c r="C28" s="1124">
        <f>HLOOKUP($B28,'SEF-30 pg 2 - 36 '!$E$10:$BF$67,38,FALSE)</f>
        <v>-5799601.692368486</v>
      </c>
      <c r="D28" s="1128">
        <f>HLOOKUP($B28,'SEF-30 pg 2 - 36 '!$E$10:$BF$128,99,FALSE)</f>
        <v>0</v>
      </c>
      <c r="E28" s="1128">
        <f>HLOOKUP($B28,'SEF-30 pg 2 - 36 '!$E$10:$BF$189,160,FALSE)</f>
        <v>0</v>
      </c>
      <c r="F28" s="1128">
        <f>HLOOKUP($B28,'SEF-30 pg 2 - 36 '!$E$10:$BF$250,221,FALSE)</f>
        <v>-7645649.3846697286</v>
      </c>
      <c r="G28" s="1127">
        <f t="shared" si="0"/>
        <v>-13445251.077038214</v>
      </c>
      <c r="H28" s="1129">
        <f>HLOOKUP($B28,'SEF-30 pg 2 - 36 '!$E$10:$BF$311,282,FALSE)</f>
        <v>0</v>
      </c>
      <c r="I28" s="1127">
        <f>HLOOKUP($B28,'SEF-30 pg 2 - 36 '!$E$10:$BF$67,40,FALSE)</f>
        <v>-117784370.64898372</v>
      </c>
      <c r="J28" s="1128">
        <f>HLOOKUP($B28,'SEF-30 pg 2 - 36 '!$E$10:$BF$128,101,FALSE)</f>
        <v>117784370.64898372</v>
      </c>
      <c r="K28" s="1128">
        <f>HLOOKUP($B28,'SEF-30 pg 2 - 36 '!$E$10:$BF$189,162,FALSE)</f>
        <v>0</v>
      </c>
      <c r="L28" s="1128">
        <f>HLOOKUP($B28,'SEF-30 pg 2 - 36 '!$E$10:$BF$250,223,FALSE)</f>
        <v>0</v>
      </c>
      <c r="M28" s="1127">
        <f t="shared" si="1"/>
        <v>0</v>
      </c>
      <c r="N28" s="1129">
        <f>HLOOKUP($B28,'SEF-30 pg 2 - 36 '!$E$10:$BF$311,284,FALSE)</f>
        <v>0</v>
      </c>
    </row>
    <row r="29" spans="1:14" x14ac:dyDescent="0.25">
      <c r="A29" s="1123" t="s">
        <v>687</v>
      </c>
      <c r="B29" s="1117" t="s">
        <v>688</v>
      </c>
      <c r="C29" s="1127">
        <f>HLOOKUP($B29,'SEF-30 pg 2 - 36 '!$E$10:$BF$67,38,FALSE)</f>
        <v>-42170.084930424709</v>
      </c>
      <c r="D29" s="1128">
        <f>HLOOKUP($B29,'SEF-30 pg 2 - 36 '!$E$10:$BF$128,99,FALSE)</f>
        <v>2149.1401020913058</v>
      </c>
      <c r="E29" s="1128">
        <f>HLOOKUP($B29,'SEF-30 pg 2 - 36 '!$E$10:$BF$189,160,FALSE)</f>
        <v>-2151.7484116665646</v>
      </c>
      <c r="F29" s="1128">
        <f>HLOOKUP($B29,'SEF-30 pg 2 - 36 '!$E$10:$BF$250,221,FALSE)</f>
        <v>228474.10578381649</v>
      </c>
      <c r="G29" s="1127">
        <f t="shared" si="0"/>
        <v>186301.41254381652</v>
      </c>
      <c r="H29" s="1129">
        <f>HLOOKUP($B29,'SEF-30 pg 2 - 36 '!$E$10:$BF$311,282,FALSE)</f>
        <v>391700.98369999998</v>
      </c>
      <c r="I29" s="1127">
        <f>HLOOKUP($B29,'SEF-30 pg 2 - 36 '!$E$10:$BF$67,40,FALSE)</f>
        <v>0</v>
      </c>
      <c r="J29" s="1128">
        <f>HLOOKUP($B29,'SEF-30 pg 2 - 36 '!$E$10:$BF$128,101,FALSE)</f>
        <v>0</v>
      </c>
      <c r="K29" s="1128">
        <f>HLOOKUP($B29,'SEF-30 pg 2 - 36 '!$E$10:$BF$189,162,FALSE)</f>
        <v>0</v>
      </c>
      <c r="L29" s="1128">
        <f>HLOOKUP($B29,'SEF-30 pg 2 - 36 '!$E$10:$BF$250,223,FALSE)</f>
        <v>0</v>
      </c>
      <c r="M29" s="1127">
        <f t="shared" si="1"/>
        <v>0</v>
      </c>
      <c r="N29" s="1129">
        <f>HLOOKUP($B29,'SEF-30 pg 2 - 36 '!$E$10:$BF$311,284,FALSE)</f>
        <v>0</v>
      </c>
    </row>
    <row r="30" spans="1:14" x14ac:dyDescent="0.25">
      <c r="A30" s="1123" t="s">
        <v>689</v>
      </c>
      <c r="B30" s="1117" t="s">
        <v>690</v>
      </c>
      <c r="C30" s="1127">
        <f>HLOOKUP($B30,'SEF-30 pg 2 - 36 '!$E$10:$BF$67,38,FALSE)</f>
        <v>0</v>
      </c>
      <c r="D30" s="1128">
        <f>HLOOKUP($B30,'SEF-30 pg 2 - 36 '!$E$10:$BF$128,99,FALSE)</f>
        <v>0</v>
      </c>
      <c r="E30" s="1128">
        <f>HLOOKUP($B30,'SEF-30 pg 2 - 36 '!$E$10:$BF$189,160,FALSE)</f>
        <v>0</v>
      </c>
      <c r="F30" s="1128">
        <f>HLOOKUP($B30,'SEF-30 pg 2 - 36 '!$E$10:$BF$250,221,FALSE)</f>
        <v>0</v>
      </c>
      <c r="G30" s="1127">
        <f t="shared" si="0"/>
        <v>0</v>
      </c>
      <c r="H30" s="1129">
        <f>HLOOKUP($B30,'SEF-30 pg 2 - 36 '!$E$10:$BF$311,282,FALSE)</f>
        <v>0</v>
      </c>
      <c r="I30" s="1127">
        <f>HLOOKUP($B30,'SEF-30 pg 2 - 36 '!$E$10:$BF$67,40,FALSE)</f>
        <v>0</v>
      </c>
      <c r="J30" s="1128">
        <f>HLOOKUP($B30,'SEF-30 pg 2 - 36 '!$E$10:$BF$128,101,FALSE)</f>
        <v>0</v>
      </c>
      <c r="K30" s="1128">
        <f>HLOOKUP($B30,'SEF-30 pg 2 - 36 '!$E$10:$BF$189,162,FALSE)</f>
        <v>0</v>
      </c>
      <c r="L30" s="1128">
        <f>HLOOKUP($B30,'SEF-30 pg 2 - 36 '!$E$10:$BF$250,223,FALSE)</f>
        <v>0</v>
      </c>
      <c r="M30" s="1127">
        <f t="shared" si="1"/>
        <v>0</v>
      </c>
      <c r="N30" s="1129">
        <f>HLOOKUP($B30,'SEF-30 pg 2 - 36 '!$E$10:$BF$311,284,FALSE)</f>
        <v>0</v>
      </c>
    </row>
    <row r="31" spans="1:14" x14ac:dyDescent="0.25">
      <c r="A31" s="1123" t="s">
        <v>691</v>
      </c>
      <c r="B31" s="1117" t="s">
        <v>692</v>
      </c>
      <c r="C31" s="1127">
        <f>HLOOKUP($B31,'SEF-30 pg 2 - 36 '!$E$10:$BF$67,38,FALSE)</f>
        <v>0</v>
      </c>
      <c r="D31" s="1128">
        <f>HLOOKUP($B31,'SEF-30 pg 2 - 36 '!$E$10:$BF$128,99,FALSE)</f>
        <v>-885933.75207547843</v>
      </c>
      <c r="E31" s="1128">
        <f>HLOOKUP($B31,'SEF-30 pg 2 - 36 '!$E$10:$BF$189,160,FALSE)</f>
        <v>3193600.8028125861</v>
      </c>
      <c r="F31" s="1128">
        <f>HLOOKUP($B31,'SEF-30 pg 2 - 36 '!$E$10:$BF$250,221,FALSE)</f>
        <v>4888615.928123828</v>
      </c>
      <c r="G31" s="1127">
        <f t="shared" si="0"/>
        <v>7196282.9788609352</v>
      </c>
      <c r="H31" s="1129">
        <f>HLOOKUP($B31,'SEF-30 pg 2 - 36 '!$E$10:$BF$311,282,FALSE)</f>
        <v>17358777.87647894</v>
      </c>
      <c r="I31" s="1127">
        <f>HLOOKUP($B31,'SEF-30 pg 2 - 36 '!$E$10:$BF$67,40,FALSE)</f>
        <v>0</v>
      </c>
      <c r="J31" s="1128">
        <f>HLOOKUP($B31,'SEF-30 pg 2 - 36 '!$E$10:$BF$128,101,FALSE)</f>
        <v>-213417265.83208799</v>
      </c>
      <c r="K31" s="1128">
        <f>HLOOKUP($B31,'SEF-30 pg 2 - 36 '!$E$10:$BF$189,162,FALSE)</f>
        <v>-382029793.38882923</v>
      </c>
      <c r="L31" s="1128">
        <f>HLOOKUP($B31,'SEF-30 pg 2 - 36 '!$E$10:$BF$250,223,FALSE)</f>
        <v>-184969861.88016725</v>
      </c>
      <c r="M31" s="1127">
        <f t="shared" si="1"/>
        <v>-780416921.10108447</v>
      </c>
      <c r="N31" s="1129">
        <f>HLOOKUP($B31,'SEF-30 pg 2 - 36 '!$E$10:$BF$311,284,FALSE)</f>
        <v>-352250228.54315853</v>
      </c>
    </row>
    <row r="32" spans="1:14" x14ac:dyDescent="0.25">
      <c r="A32" s="1123" t="s">
        <v>693</v>
      </c>
      <c r="B32" s="1117" t="s">
        <v>694</v>
      </c>
      <c r="C32" s="1127">
        <f>HLOOKUP($B32,'SEF-30 pg 2 - 36 '!$E$10:$BF$67,38,FALSE)</f>
        <v>0</v>
      </c>
      <c r="D32" s="1128">
        <f>HLOOKUP($B32,'SEF-30 pg 2 - 36 '!$E$10:$BF$128,99,FALSE)</f>
        <v>138079.79450000002</v>
      </c>
      <c r="E32" s="1128">
        <f>HLOOKUP($B32,'SEF-30 pg 2 - 36 '!$E$10:$BF$189,160,FALSE)</f>
        <v>1226499.4979000003</v>
      </c>
      <c r="F32" s="1128">
        <f>HLOOKUP($B32,'SEF-30 pg 2 - 36 '!$E$10:$BF$250,221,FALSE)</f>
        <v>1373709.4487999985</v>
      </c>
      <c r="G32" s="1127">
        <f t="shared" si="0"/>
        <v>2738288.7411999991</v>
      </c>
      <c r="H32" s="1129">
        <f>HLOOKUP($B32,'SEF-30 pg 2 - 36 '!$E$10:$BF$311,282,FALSE)</f>
        <v>1373709.4488000064</v>
      </c>
      <c r="I32" s="1127">
        <f>HLOOKUP($B32,'SEF-30 pg 2 - 36 '!$E$10:$BF$67,40,FALSE)</f>
        <v>0</v>
      </c>
      <c r="J32" s="1128">
        <f>HLOOKUP($B32,'SEF-30 pg 2 - 36 '!$E$10:$BF$128,101,FALSE)</f>
        <v>174784.55000000002</v>
      </c>
      <c r="K32" s="1128">
        <f>HLOOKUP($B32,'SEF-30 pg 2 - 36 '!$E$10:$BF$189,162,FALSE)</f>
        <v>1727315.5599999998</v>
      </c>
      <c r="L32" s="1128">
        <f>HLOOKUP($B32,'SEF-30 pg 2 - 36 '!$E$10:$BF$250,223,FALSE)</f>
        <v>1611738.4900000002</v>
      </c>
      <c r="M32" s="1127">
        <f t="shared" si="1"/>
        <v>3513838.6</v>
      </c>
      <c r="N32" s="1129">
        <f>HLOOKUP($B32,'SEF-30 pg 2 - 36 '!$E$10:$BF$311,284,FALSE)</f>
        <v>4335624.6499999985</v>
      </c>
    </row>
    <row r="33" spans="1:14" x14ac:dyDescent="0.25">
      <c r="A33" s="1123" t="s">
        <v>695</v>
      </c>
      <c r="B33" s="1117" t="s">
        <v>696</v>
      </c>
      <c r="C33" s="1127">
        <f>HLOOKUP($B33,'SEF-30 pg 2 - 36 '!$E$10:$BF$67,38,FALSE)</f>
        <v>0</v>
      </c>
      <c r="D33" s="1128">
        <f>HLOOKUP($B33,'SEF-30 pg 2 - 36 '!$E$10:$BF$128,99,FALSE)</f>
        <v>-2758238.2740201</v>
      </c>
      <c r="E33" s="1128">
        <f>HLOOKUP($B33,'SEF-30 pg 2 - 36 '!$E$10:$BF$189,160,FALSE)</f>
        <v>-15485405.874397548</v>
      </c>
      <c r="F33" s="1128">
        <f>HLOOKUP($B33,'SEF-30 pg 2 - 36 '!$E$10:$BF$250,221,FALSE)</f>
        <v>-16624581.7767426</v>
      </c>
      <c r="G33" s="1127">
        <f t="shared" si="0"/>
        <v>-34868225.925160244</v>
      </c>
      <c r="H33" s="1129">
        <f>HLOOKUP($B33,'SEF-30 pg 2 - 36 '!$E$10:$BF$311,282,FALSE)</f>
        <v>-20647116.146404609</v>
      </c>
      <c r="I33" s="1127">
        <f>HLOOKUP($B33,'SEF-30 pg 2 - 36 '!$E$10:$BF$67,40,FALSE)</f>
        <v>0</v>
      </c>
      <c r="J33" s="1128">
        <f>HLOOKUP($B33,'SEF-30 pg 2 - 36 '!$E$10:$BF$128,101,FALSE)</f>
        <v>193636571.05324996</v>
      </c>
      <c r="K33" s="1128">
        <f>HLOOKUP($B33,'SEF-30 pg 2 - 36 '!$E$10:$BF$189,162,FALSE)</f>
        <v>372227780.35451001</v>
      </c>
      <c r="L33" s="1128">
        <f>HLOOKUP($B33,'SEF-30 pg 2 - 36 '!$E$10:$BF$250,223,FALSE)</f>
        <v>140816957.66638008</v>
      </c>
      <c r="M33" s="1127">
        <f t="shared" si="1"/>
        <v>706681309.07413995</v>
      </c>
      <c r="N33" s="1129">
        <f>HLOOKUP($B33,'SEF-30 pg 2 - 36 '!$E$10:$BF$311,284,FALSE)</f>
        <v>418971407.62234509</v>
      </c>
    </row>
    <row r="34" spans="1:14" x14ac:dyDescent="0.25">
      <c r="A34" s="1123" t="s">
        <v>697</v>
      </c>
      <c r="B34" s="1117" t="s">
        <v>698</v>
      </c>
      <c r="C34" s="1127">
        <f>HLOOKUP($B34,'SEF-30 pg 2 - 36 '!$E$10:$BF$67,38,FALSE)</f>
        <v>0</v>
      </c>
      <c r="D34" s="1128">
        <f>HLOOKUP($B34,'SEF-30 pg 2 - 36 '!$E$10:$BF$128,99,FALSE)</f>
        <v>-239996.06710000004</v>
      </c>
      <c r="E34" s="1128">
        <f>HLOOKUP($B34,'SEF-30 pg 2 - 36 '!$E$10:$BF$189,160,FALSE)</f>
        <v>-2314791.7111</v>
      </c>
      <c r="F34" s="1128">
        <f>HLOOKUP($B34,'SEF-30 pg 2 - 36 '!$E$10:$BF$250,221,FALSE)</f>
        <v>-2910478.9345000004</v>
      </c>
      <c r="G34" s="1127">
        <f t="shared" si="0"/>
        <v>-5465266.7127</v>
      </c>
      <c r="H34" s="1129">
        <f>HLOOKUP($B34,'SEF-30 pg 2 - 36 '!$E$10:$BF$311,282,FALSE)</f>
        <v>-3227884.0601000004</v>
      </c>
      <c r="I34" s="1127">
        <f>HLOOKUP($B34,'SEF-30 pg 2 - 36 '!$E$10:$BF$67,40,FALSE)</f>
        <v>0</v>
      </c>
      <c r="J34" s="1128">
        <f>HLOOKUP($B34,'SEF-30 pg 2 - 36 '!$E$10:$BF$128,101,FALSE)</f>
        <v>48794218.919999994</v>
      </c>
      <c r="K34" s="1128">
        <f>HLOOKUP($B34,'SEF-30 pg 2 - 36 '!$E$10:$BF$189,162,FALSE)</f>
        <v>117993802.39000002</v>
      </c>
      <c r="L34" s="1128">
        <f>HLOOKUP($B34,'SEF-30 pg 2 - 36 '!$E$10:$BF$250,223,FALSE)</f>
        <v>58445474.00000003</v>
      </c>
      <c r="M34" s="1127">
        <f t="shared" si="1"/>
        <v>225233495.31000003</v>
      </c>
      <c r="N34" s="1129">
        <f>HLOOKUP($B34,'SEF-30 pg 2 - 36 '!$E$10:$BF$311,284,FALSE)</f>
        <v>125773794.9999999</v>
      </c>
    </row>
    <row r="35" spans="1:14" x14ac:dyDescent="0.25">
      <c r="A35" s="1123" t="s">
        <v>699</v>
      </c>
      <c r="B35" s="1117" t="s">
        <v>700</v>
      </c>
      <c r="C35" s="1127">
        <f>HLOOKUP($B35,'SEF-30 pg 2 - 36 '!$E$10:$BF$67,38,FALSE)</f>
        <v>0</v>
      </c>
      <c r="D35" s="1128">
        <f>HLOOKUP($B35,'SEF-30 pg 2 - 36 '!$E$10:$BF$128,99,FALSE)</f>
        <v>-1016675.5926999999</v>
      </c>
      <c r="E35" s="1128">
        <f>HLOOKUP($B35,'SEF-30 pg 2 - 36 '!$E$10:$BF$189,160,FALSE)</f>
        <v>-4294733.7062000008</v>
      </c>
      <c r="F35" s="1128">
        <f>HLOOKUP($B35,'SEF-30 pg 2 - 36 '!$E$10:$BF$250,221,FALSE)</f>
        <v>-3517218.4158999999</v>
      </c>
      <c r="G35" s="1127">
        <f t="shared" si="0"/>
        <v>-8828627.7148000002</v>
      </c>
      <c r="H35" s="1129">
        <f>HLOOKUP($B35,'SEF-30 pg 2 - 36 '!$E$10:$BF$311,282,FALSE)</f>
        <v>-8420360.875585597</v>
      </c>
      <c r="I35" s="1127">
        <f>HLOOKUP($B35,'SEF-30 pg 2 - 36 '!$E$10:$BF$67,40,FALSE)</f>
        <v>0</v>
      </c>
      <c r="J35" s="1128">
        <f>HLOOKUP($B35,'SEF-30 pg 2 - 36 '!$E$10:$BF$128,101,FALSE)</f>
        <v>245365929.83000001</v>
      </c>
      <c r="K35" s="1128">
        <f>HLOOKUP($B35,'SEF-30 pg 2 - 36 '!$E$10:$BF$189,162,FALSE)</f>
        <v>194852408.71000016</v>
      </c>
      <c r="L35" s="1128">
        <f>HLOOKUP($B35,'SEF-30 pg 2 - 36 '!$E$10:$BF$250,223,FALSE)</f>
        <v>22762120.34999986</v>
      </c>
      <c r="M35" s="1127">
        <f t="shared" si="1"/>
        <v>462980458.89000005</v>
      </c>
      <c r="N35" s="1129">
        <f>HLOOKUP($B35,'SEF-30 pg 2 - 36 '!$E$10:$BF$311,284,FALSE)</f>
        <v>419038070.00017005</v>
      </c>
    </row>
    <row r="36" spans="1:14" x14ac:dyDescent="0.25">
      <c r="A36" s="1123" t="s">
        <v>701</v>
      </c>
      <c r="B36" s="1117" t="s">
        <v>702</v>
      </c>
      <c r="C36" s="1127">
        <f>HLOOKUP($B36,'SEF-30 pg 2 - 36 '!$E$10:$BF$67,38,FALSE)</f>
        <v>0</v>
      </c>
      <c r="D36" s="1128">
        <f>HLOOKUP($B36,'SEF-30 pg 2 - 36 '!$E$10:$BF$128,99,FALSE)</f>
        <v>-1055909.7499817002</v>
      </c>
      <c r="E36" s="1128">
        <f>HLOOKUP($B36,'SEF-30 pg 2 - 36 '!$E$10:$BF$189,160,FALSE)</f>
        <v>-13712706.54591565</v>
      </c>
      <c r="F36" s="1128">
        <f>HLOOKUP($B36,'SEF-30 pg 2 - 36 '!$E$10:$BF$250,221,FALSE)</f>
        <v>-16175522.572112106</v>
      </c>
      <c r="G36" s="1127">
        <f t="shared" si="0"/>
        <v>-30944138.868009456</v>
      </c>
      <c r="H36" s="1129">
        <f>HLOOKUP($B36,'SEF-30 pg 2 - 36 '!$E$10:$BF$311,282,FALSE)</f>
        <v>-23599334.294725846</v>
      </c>
      <c r="I36" s="1127">
        <f>HLOOKUP($B36,'SEF-30 pg 2 - 36 '!$E$10:$BF$67,40,FALSE)</f>
        <v>0</v>
      </c>
      <c r="J36" s="1128">
        <f>HLOOKUP($B36,'SEF-30 pg 2 - 36 '!$E$10:$BF$128,101,FALSE)</f>
        <v>133865024.70928994</v>
      </c>
      <c r="K36" s="1128">
        <f>HLOOKUP($B36,'SEF-30 pg 2 - 36 '!$E$10:$BF$189,162,FALSE)</f>
        <v>167403102.08484992</v>
      </c>
      <c r="L36" s="1128">
        <f>HLOOKUP($B36,'SEF-30 pg 2 - 36 '!$E$10:$BF$250,223,FALSE)</f>
        <v>32162788.986010209</v>
      </c>
      <c r="M36" s="1127">
        <f t="shared" si="1"/>
        <v>333430915.78015006</v>
      </c>
      <c r="N36" s="1129">
        <f>HLOOKUP($B36,'SEF-30 pg 2 - 36 '!$E$10:$BF$311,284,FALSE)</f>
        <v>230764921.507195</v>
      </c>
    </row>
    <row r="37" spans="1:14" x14ac:dyDescent="0.25">
      <c r="A37" s="1123" t="s">
        <v>703</v>
      </c>
      <c r="B37" s="1117" t="s">
        <v>704</v>
      </c>
      <c r="C37" s="1124">
        <f>HLOOKUP($B37,'SEF-30 pg 2 - 36 '!$E$10:$BF$67,38,FALSE)</f>
        <v>-74914559.225866452</v>
      </c>
      <c r="D37" s="1128">
        <f>HLOOKUP($B37,'SEF-30 pg 2 - 36 '!$E$10:$BF$128,99,FALSE)</f>
        <v>0</v>
      </c>
      <c r="E37" s="1128">
        <f>HLOOKUP($B37,'SEF-30 pg 2 - 36 '!$E$10:$BF$189,160,FALSE)</f>
        <v>0</v>
      </c>
      <c r="F37" s="1128">
        <f>HLOOKUP($B37,'SEF-30 pg 2 - 36 '!$E$10:$BF$250,221,FALSE)</f>
        <v>0</v>
      </c>
      <c r="G37" s="1124">
        <f t="shared" si="0"/>
        <v>-74914559.225866452</v>
      </c>
      <c r="H37" s="1129">
        <f>HLOOKUP($B37,'SEF-30 pg 2 - 36 '!$E$10:$BF$311,282,FALSE)</f>
        <v>0</v>
      </c>
      <c r="I37" s="1127">
        <f>HLOOKUP($B37,'SEF-30 pg 2 - 36 '!$E$10:$BF$67,40,FALSE)</f>
        <v>0</v>
      </c>
      <c r="J37" s="1128">
        <f>HLOOKUP($B37,'SEF-30 pg 2 - 36 '!$E$10:$BF$128,101,FALSE)</f>
        <v>0</v>
      </c>
      <c r="K37" s="1128">
        <f>HLOOKUP($B37,'SEF-30 pg 2 - 36 '!$E$10:$BF$189,162,FALSE)</f>
        <v>0</v>
      </c>
      <c r="L37" s="1128">
        <f>HLOOKUP($B37,'SEF-30 pg 2 - 36 '!$E$10:$BF$250,223,FALSE)</f>
        <v>0</v>
      </c>
      <c r="M37" s="1127">
        <f t="shared" si="1"/>
        <v>0</v>
      </c>
      <c r="N37" s="1129">
        <f>HLOOKUP($B37,'SEF-30 pg 2 - 36 '!$E$10:$BF$311,284,FALSE)</f>
        <v>0</v>
      </c>
    </row>
    <row r="38" spans="1:14" x14ac:dyDescent="0.25">
      <c r="A38" s="1123" t="s">
        <v>705</v>
      </c>
      <c r="B38" s="1117" t="s">
        <v>706</v>
      </c>
      <c r="C38" s="1127">
        <f>HLOOKUP($B38,'SEF-30 pg 2 - 36 '!$E$10:$BF$67,38,FALSE)</f>
        <v>-4296288.3866999997</v>
      </c>
      <c r="D38" s="1128">
        <f>HLOOKUP($B38,'SEF-30 pg 2 - 36 '!$E$10:$BF$128,99,FALSE)</f>
        <v>0</v>
      </c>
      <c r="E38" s="1128">
        <f>HLOOKUP($B38,'SEF-30 pg 2 - 36 '!$E$10:$BF$189,160,FALSE)</f>
        <v>0</v>
      </c>
      <c r="F38" s="1128">
        <f>HLOOKUP($B38,'SEF-30 pg 2 - 36 '!$E$10:$BF$250,221,FALSE)</f>
        <v>-8102989.6878311252</v>
      </c>
      <c r="G38" s="1127">
        <f t="shared" si="0"/>
        <v>-12399278.074531125</v>
      </c>
      <c r="H38" s="1129">
        <f>HLOOKUP($B38,'SEF-30 pg 2 - 36 '!$E$10:$BF$311,282,FALSE)</f>
        <v>0</v>
      </c>
      <c r="I38" s="1127">
        <f>HLOOKUP($B38,'SEF-30 pg 2 - 36 '!$E$10:$BF$67,40,FALSE)</f>
        <v>0</v>
      </c>
      <c r="J38" s="1128">
        <f>HLOOKUP($B38,'SEF-30 pg 2 - 36 '!$E$10:$BF$128,101,FALSE)</f>
        <v>0</v>
      </c>
      <c r="K38" s="1128">
        <f>HLOOKUP($B38,'SEF-30 pg 2 - 36 '!$E$10:$BF$189,162,FALSE)</f>
        <v>0</v>
      </c>
      <c r="L38" s="1128">
        <f>HLOOKUP($B38,'SEF-30 pg 2 - 36 '!$E$10:$BF$250,223,FALSE)</f>
        <v>0</v>
      </c>
      <c r="M38" s="1127">
        <f t="shared" si="1"/>
        <v>0</v>
      </c>
      <c r="N38" s="1129">
        <f>HLOOKUP($B38,'SEF-30 pg 2 - 36 '!$E$10:$BF$311,284,FALSE)</f>
        <v>0</v>
      </c>
    </row>
    <row r="39" spans="1:14" x14ac:dyDescent="0.25">
      <c r="A39" s="1123" t="s">
        <v>707</v>
      </c>
      <c r="B39" s="1117" t="s">
        <v>708</v>
      </c>
      <c r="C39" s="1127">
        <f>HLOOKUP($B39,'SEF-30 pg 2 - 36 '!$E$10:$BF$67,38,FALSE)</f>
        <v>101020.46</v>
      </c>
      <c r="D39" s="1128">
        <f>HLOOKUP($B39,'SEF-30 pg 2 - 36 '!$E$10:$BF$128,99,FALSE)</f>
        <v>0</v>
      </c>
      <c r="E39" s="1128">
        <f>HLOOKUP($B39,'SEF-30 pg 2 - 36 '!$E$10:$BF$189,160,FALSE)</f>
        <v>0</v>
      </c>
      <c r="F39" s="1128">
        <f>HLOOKUP($B39,'SEF-30 pg 2 - 36 '!$E$10:$BF$250,221,FALSE)</f>
        <v>-109020</v>
      </c>
      <c r="G39" s="1127">
        <f t="shared" si="0"/>
        <v>-7999.5399999999936</v>
      </c>
      <c r="H39" s="1129">
        <f>HLOOKUP($B39,'SEF-30 pg 2 - 36 '!$E$10:$BF$311,282,FALSE)</f>
        <v>0</v>
      </c>
      <c r="I39" s="1127">
        <f>HLOOKUP($B39,'SEF-30 pg 2 - 36 '!$E$10:$BF$67,40,FALSE)</f>
        <v>0</v>
      </c>
      <c r="J39" s="1128">
        <f>HLOOKUP($B39,'SEF-30 pg 2 - 36 '!$E$10:$BF$128,101,FALSE)</f>
        <v>0</v>
      </c>
      <c r="K39" s="1128">
        <f>HLOOKUP($B39,'SEF-30 pg 2 - 36 '!$E$10:$BF$189,162,FALSE)</f>
        <v>0</v>
      </c>
      <c r="L39" s="1128">
        <f>HLOOKUP($B39,'SEF-30 pg 2 - 36 '!$E$10:$BF$250,223,FALSE)</f>
        <v>0</v>
      </c>
      <c r="M39" s="1127">
        <f t="shared" si="1"/>
        <v>0</v>
      </c>
      <c r="N39" s="1129">
        <f>HLOOKUP($B39,'SEF-30 pg 2 - 36 '!$E$10:$BF$311,284,FALSE)</f>
        <v>0</v>
      </c>
    </row>
    <row r="40" spans="1:14" x14ac:dyDescent="0.25">
      <c r="A40" s="1123">
        <v>6.36</v>
      </c>
      <c r="B40" s="1117" t="s">
        <v>709</v>
      </c>
      <c r="C40" s="1127">
        <f>HLOOKUP($B40,'SEF-30 pg 2 - 36 '!$E$10:$BF$67,38,FALSE)</f>
        <v>-109575.52009999999</v>
      </c>
      <c r="D40" s="1128">
        <f>HLOOKUP($B40,'SEF-30 pg 2 - 36 '!$E$10:$BF$128,99,FALSE)</f>
        <v>0</v>
      </c>
      <c r="E40" s="1128">
        <f>HLOOKUP($B40,'SEF-30 pg 2 - 36 '!$E$10:$BF$189,160,FALSE)</f>
        <v>0</v>
      </c>
      <c r="F40" s="1128">
        <f>HLOOKUP($B40,'SEF-30 pg 2 - 36 '!$E$10:$BF$250,221,FALSE)</f>
        <v>-5924999.9999999627</v>
      </c>
      <c r="G40" s="1127">
        <f t="shared" si="0"/>
        <v>-6034575.5200999631</v>
      </c>
      <c r="H40" s="1129">
        <f>HLOOKUP($B40,'SEF-30 pg 2 - 36 '!$E$10:$BF$311,282,FALSE)</f>
        <v>0</v>
      </c>
      <c r="I40" s="1127">
        <f>HLOOKUP($B40,'SEF-30 pg 2 - 36 '!$E$10:$BF$67,40,FALSE)</f>
        <v>0</v>
      </c>
      <c r="J40" s="1128">
        <f>HLOOKUP($B40,'SEF-30 pg 2 - 36 '!$E$10:$BF$128,101,FALSE)</f>
        <v>2889649.9920000006</v>
      </c>
      <c r="K40" s="1128">
        <f>HLOOKUP($B40,'SEF-30 pg 2 - 36 '!$E$10:$BF$189,162,FALSE)</f>
        <v>8960350.0079999194</v>
      </c>
      <c r="L40" s="1128">
        <f>HLOOKUP($B40,'SEF-30 pg 2 - 36 '!$E$10:$BF$250,223,FALSE)</f>
        <v>-2962499.9999999814</v>
      </c>
      <c r="M40" s="1127">
        <f t="shared" si="1"/>
        <v>8887499.9999999385</v>
      </c>
      <c r="N40" s="1129">
        <f>HLOOKUP($B40,'SEF-30 pg 2 - 36 '!$E$10:$BF$311,284,FALSE)</f>
        <v>-5924999.9999999665</v>
      </c>
    </row>
    <row r="41" spans="1:14" x14ac:dyDescent="0.25">
      <c r="A41" s="1123" t="s">
        <v>710</v>
      </c>
      <c r="B41" s="1117" t="s">
        <v>134</v>
      </c>
      <c r="C41" s="1127">
        <f>HLOOKUP($B41,'SEF-30 pg 2 - 36 '!$E$10:$BF$67,38,FALSE)</f>
        <v>0</v>
      </c>
      <c r="D41" s="1128">
        <f>HLOOKUP($B41,'SEF-30 pg 2 - 36 '!$E$10:$BF$128,99,FALSE)</f>
        <v>0</v>
      </c>
      <c r="E41" s="1128">
        <f>HLOOKUP($B41,'SEF-30 pg 2 - 36 '!$E$10:$BF$189,160,FALSE)</f>
        <v>0</v>
      </c>
      <c r="F41" s="1128">
        <f>HLOOKUP($B41,'SEF-30 pg 2 - 36 '!$E$10:$BF$250,221,FALSE)</f>
        <v>-444846.3825050923</v>
      </c>
      <c r="G41" s="1127">
        <f t="shared" si="0"/>
        <v>-444846.3825050923</v>
      </c>
      <c r="H41" s="1129">
        <f>HLOOKUP($B41,'SEF-30 pg 2 - 36 '!$E$10:$BF$311,282,FALSE)</f>
        <v>-15569.623387678046</v>
      </c>
      <c r="I41" s="1127">
        <f>HLOOKUP($B41,'SEF-30 pg 2 - 36 '!$E$10:$BF$67,40,FALSE)</f>
        <v>0</v>
      </c>
      <c r="J41" s="1128">
        <f>HLOOKUP($B41,'SEF-30 pg 2 - 36 '!$E$10:$BF$128,101,FALSE)</f>
        <v>0</v>
      </c>
      <c r="K41" s="1128">
        <f>HLOOKUP($B41,'SEF-30 pg 2 - 36 '!$E$10:$BF$189,162,FALSE)</f>
        <v>0</v>
      </c>
      <c r="L41" s="1128">
        <f>HLOOKUP($B41,'SEF-30 pg 2 - 36 '!$E$10:$BF$250,223,FALSE)</f>
        <v>0</v>
      </c>
      <c r="M41" s="1127">
        <f t="shared" si="1"/>
        <v>0</v>
      </c>
      <c r="N41" s="1129">
        <f>HLOOKUP($B41,'SEF-30 pg 2 - 36 '!$E$10:$BF$311,284,FALSE)</f>
        <v>0</v>
      </c>
    </row>
    <row r="42" spans="1:14" x14ac:dyDescent="0.25">
      <c r="A42" s="1123">
        <v>6.38</v>
      </c>
      <c r="B42" s="1117" t="s">
        <v>711</v>
      </c>
      <c r="C42" s="1127">
        <f>HLOOKUP($B42,'SEF-30 pg 2 - 36 '!$E$10:$BF$67,38,FALSE)</f>
        <v>902858.30223612313</v>
      </c>
      <c r="D42" s="1128">
        <f>HLOOKUP($B42,'SEF-30 pg 2 - 36 '!$E$10:$BF$128,99,FALSE)</f>
        <v>0</v>
      </c>
      <c r="E42" s="1128">
        <f>HLOOKUP($B42,'SEF-30 pg 2 - 36 '!$E$10:$BF$189,160,FALSE)</f>
        <v>0</v>
      </c>
      <c r="F42" s="1125">
        <f>HLOOKUP($B42,'SEF-30 pg 2 - 36 '!$E$10:$BF$250,221,FALSE)</f>
        <v>-109193701.3612794</v>
      </c>
      <c r="G42" s="1124">
        <f t="shared" si="0"/>
        <v>-108290843.05904327</v>
      </c>
      <c r="H42" s="1126">
        <f>HLOOKUP($B42,'SEF-30 pg 2 - 36 '!$E$10:$BF$311,282,FALSE)</f>
        <v>-25931610.489735454</v>
      </c>
      <c r="I42" s="1127">
        <f>HLOOKUP($B42,'SEF-30 pg 2 - 36 '!$E$10:$BF$67,40,FALSE)</f>
        <v>0</v>
      </c>
      <c r="J42" s="1128">
        <f>HLOOKUP($B42,'SEF-30 pg 2 - 36 '!$E$10:$BF$128,101,FALSE)</f>
        <v>0</v>
      </c>
      <c r="K42" s="1128">
        <f>HLOOKUP($B42,'SEF-30 pg 2 - 36 '!$E$10:$BF$189,162,FALSE)</f>
        <v>0</v>
      </c>
      <c r="L42" s="1128">
        <f>HLOOKUP($B42,'SEF-30 pg 2 - 36 '!$E$10:$BF$250,223,FALSE)</f>
        <v>0</v>
      </c>
      <c r="M42" s="1127">
        <f t="shared" si="1"/>
        <v>0</v>
      </c>
      <c r="N42" s="1129">
        <f>HLOOKUP($B42,'SEF-30 pg 2 - 36 '!$E$10:$BF$311,284,FALSE)</f>
        <v>0</v>
      </c>
    </row>
    <row r="43" spans="1:14" x14ac:dyDescent="0.25">
      <c r="A43" s="1123">
        <v>6.39</v>
      </c>
      <c r="B43" s="1117" t="s">
        <v>712</v>
      </c>
      <c r="C43" s="1127">
        <f>HLOOKUP($B43,'SEF-30 pg 2 - 36 '!$E$10:$BF$67,38,FALSE)</f>
        <v>173457.14</v>
      </c>
      <c r="D43" s="1128">
        <f>HLOOKUP($B43,'SEF-30 pg 2 - 36 '!$E$10:$BF$128,99,FALSE)</f>
        <v>0</v>
      </c>
      <c r="E43" s="1128">
        <f>HLOOKUP($B43,'SEF-30 pg 2 - 36 '!$E$10:$BF$189,160,FALSE)</f>
        <v>0</v>
      </c>
      <c r="F43" s="1128">
        <f>HLOOKUP($B43,'SEF-30 pg 2 - 36 '!$E$10:$BF$250,221,FALSE)</f>
        <v>0</v>
      </c>
      <c r="G43" s="1127">
        <f t="shared" si="0"/>
        <v>173457.14</v>
      </c>
      <c r="H43" s="1129">
        <f>HLOOKUP($B43,'SEF-30 pg 2 - 36 '!$E$10:$BF$311,282,FALSE)</f>
        <v>0</v>
      </c>
      <c r="I43" s="1127">
        <f>HLOOKUP($B43,'SEF-30 pg 2 - 36 '!$E$10:$BF$67,40,FALSE)</f>
        <v>-1121518.7722916666</v>
      </c>
      <c r="J43" s="1128">
        <f>HLOOKUP($B43,'SEF-30 pg 2 - 36 '!$E$10:$BF$128,101,FALSE)</f>
        <v>53549.595000000962</v>
      </c>
      <c r="K43" s="1128">
        <f>HLOOKUP($B43,'SEF-30 pg 2 - 36 '!$E$10:$BF$189,162,FALSE)</f>
        <v>85798.285000001895</v>
      </c>
      <c r="L43" s="1128">
        <f>HLOOKUP($B43,'SEF-30 pg 2 - 36 '!$E$10:$BF$250,223,FALSE)</f>
        <v>42899.142500001064</v>
      </c>
      <c r="M43" s="1127">
        <f t="shared" si="1"/>
        <v>-939271.74979166267</v>
      </c>
      <c r="N43" s="1129">
        <f>HLOOKUP($B43,'SEF-30 pg 2 - 36 '!$E$10:$BF$311,284,FALSE)</f>
        <v>42899.142500001384</v>
      </c>
    </row>
    <row r="44" spans="1:14" x14ac:dyDescent="0.25">
      <c r="A44" s="1123">
        <v>6.4</v>
      </c>
      <c r="B44" s="1117" t="s">
        <v>713</v>
      </c>
      <c r="C44" s="1127">
        <f>HLOOKUP($B44,'SEF-30 pg 2 - 36 '!$E$10:$BF$67,38,FALSE)</f>
        <v>-1159982.6275999988</v>
      </c>
      <c r="D44" s="1128">
        <f>HLOOKUP($B44,'SEF-30 pg 2 - 36 '!$E$10:$BF$128,99,FALSE)</f>
        <v>0</v>
      </c>
      <c r="E44" s="1128">
        <f>HLOOKUP($B44,'SEF-30 pg 2 - 36 '!$E$10:$BF$189,160,FALSE)</f>
        <v>0</v>
      </c>
      <c r="F44" s="1128">
        <f>HLOOKUP($B44,'SEF-30 pg 2 - 36 '!$E$10:$BF$250,221,FALSE)</f>
        <v>-806862.43018333323</v>
      </c>
      <c r="G44" s="1127">
        <f t="shared" si="0"/>
        <v>-1966845.0577833322</v>
      </c>
      <c r="H44" s="1129">
        <f>HLOOKUP($B44,'SEF-30 pg 2 - 36 '!$E$10:$BF$311,282,FALSE)</f>
        <v>0</v>
      </c>
      <c r="I44" s="1127">
        <f>HLOOKUP($B44,'SEF-30 pg 2 - 36 '!$E$10:$BF$67,40,FALSE)</f>
        <v>0</v>
      </c>
      <c r="J44" s="1128">
        <f>HLOOKUP($B44,'SEF-30 pg 2 - 36 '!$E$10:$BF$128,101,FALSE)</f>
        <v>0</v>
      </c>
      <c r="K44" s="1128">
        <f>HLOOKUP($B44,'SEF-30 pg 2 - 36 '!$E$10:$BF$189,162,FALSE)</f>
        <v>0</v>
      </c>
      <c r="L44" s="1128">
        <f>HLOOKUP($B44,'SEF-30 pg 2 - 36 '!$E$10:$BF$250,223,FALSE)</f>
        <v>0</v>
      </c>
      <c r="M44" s="1127">
        <f t="shared" si="1"/>
        <v>0</v>
      </c>
      <c r="N44" s="1129">
        <f>HLOOKUP($B44,'SEF-30 pg 2 - 36 '!$E$10:$BF$311,284,FALSE)</f>
        <v>0</v>
      </c>
    </row>
    <row r="45" spans="1:14" x14ac:dyDescent="0.25">
      <c r="A45" s="1123">
        <v>6.41</v>
      </c>
      <c r="B45" s="19" t="s">
        <v>714</v>
      </c>
      <c r="C45" s="1127">
        <f>HLOOKUP($B45,'SEF-30 pg 2 - 36 '!$E$10:$BF$67,38,FALSE)</f>
        <v>0</v>
      </c>
      <c r="D45" s="1128">
        <f>HLOOKUP($B45,'SEF-30 pg 2 - 36 '!$E$10:$BF$128,99,FALSE)</f>
        <v>-3707884.3267204068</v>
      </c>
      <c r="E45" s="1128">
        <f>HLOOKUP($B45,'SEF-30 pg 2 - 36 '!$E$10:$BF$189,160,FALSE)</f>
        <v>4734866.3771460485</v>
      </c>
      <c r="F45" s="1128">
        <f>HLOOKUP($B45,'SEF-30 pg 2 - 36 '!$E$10:$BF$250,221,FALSE)</f>
        <v>2105588.504932377</v>
      </c>
      <c r="G45" s="1127">
        <f t="shared" si="0"/>
        <v>3132570.5553580187</v>
      </c>
      <c r="H45" s="1129">
        <f>HLOOKUP($B45,'SEF-30 pg 2 - 36 '!$E$10:$BF$311,282,FALSE)</f>
        <v>6991937.3692966523</v>
      </c>
      <c r="I45" s="1127">
        <f>HLOOKUP($B45,'SEF-30 pg 2 - 36 '!$E$10:$BF$67,40,FALSE)</f>
        <v>0</v>
      </c>
      <c r="J45" s="1128">
        <f>HLOOKUP($B45,'SEF-30 pg 2 - 36 '!$E$10:$BF$128,101,FALSE)</f>
        <v>52195374.07849817</v>
      </c>
      <c r="K45" s="1128">
        <f>HLOOKUP($B45,'SEF-30 pg 2 - 36 '!$E$10:$BF$189,162,FALSE)</f>
        <v>-29912774.436111048</v>
      </c>
      <c r="L45" s="1128">
        <f>HLOOKUP($B45,'SEF-30 pg 2 - 36 '!$E$10:$BF$250,223,FALSE)</f>
        <v>-13998573.029924475</v>
      </c>
      <c r="M45" s="1127">
        <f t="shared" si="1"/>
        <v>8284026.6124626473</v>
      </c>
      <c r="N45" s="1129">
        <f>HLOOKUP($B45,'SEF-30 pg 2 - 36 '!$E$10:$BF$311,284,FALSE)</f>
        <v>-24066779.190046482</v>
      </c>
    </row>
    <row r="46" spans="1:14" x14ac:dyDescent="0.25">
      <c r="A46" s="1123">
        <v>6.42</v>
      </c>
      <c r="B46" s="1117" t="s">
        <v>715</v>
      </c>
      <c r="C46" s="1127">
        <f>HLOOKUP($B46,'SEF-30 pg 2 - 36 '!$E$10:$BF$67,38,FALSE)</f>
        <v>93226.762399999992</v>
      </c>
      <c r="D46" s="1128">
        <f>HLOOKUP($B46,'SEF-30 pg 2 - 36 '!$E$10:$BF$128,99,FALSE)</f>
        <v>0</v>
      </c>
      <c r="E46" s="1128">
        <f>HLOOKUP($B46,'SEF-30 pg 2 - 36 '!$E$10:$BF$189,160,FALSE)</f>
        <v>0</v>
      </c>
      <c r="F46" s="1128">
        <f>HLOOKUP($B46,'SEF-30 pg 2 - 36 '!$E$10:$BF$250,221,FALSE)</f>
        <v>0</v>
      </c>
      <c r="G46" s="1127">
        <f t="shared" si="0"/>
        <v>93226.762399999992</v>
      </c>
      <c r="H46" s="1129">
        <f>HLOOKUP($B46,'SEF-30 pg 2 - 36 '!$E$10:$BF$311,282,FALSE)</f>
        <v>0</v>
      </c>
      <c r="I46" s="1127">
        <f>HLOOKUP($B46,'SEF-30 pg 2 - 36 '!$E$10:$BF$67,40,FALSE)</f>
        <v>-92162.365750000143</v>
      </c>
      <c r="J46" s="1128">
        <f>HLOOKUP($B46,'SEF-30 pg 2 - 36 '!$E$10:$BF$128,101,FALSE)</f>
        <v>0</v>
      </c>
      <c r="K46" s="1128">
        <f>HLOOKUP($B46,'SEF-30 pg 2 - 36 '!$E$10:$BF$189,162,FALSE)</f>
        <v>0</v>
      </c>
      <c r="L46" s="1128">
        <f>HLOOKUP($B46,'SEF-30 pg 2 - 36 '!$E$10:$BF$250,223,FALSE)</f>
        <v>0</v>
      </c>
      <c r="M46" s="1127">
        <f t="shared" si="1"/>
        <v>-92162.365750000143</v>
      </c>
      <c r="N46" s="1129">
        <f>HLOOKUP($B46,'SEF-30 pg 2 - 36 '!$E$10:$BF$311,284,FALSE)</f>
        <v>0</v>
      </c>
    </row>
    <row r="47" spans="1:14" x14ac:dyDescent="0.25">
      <c r="A47" s="1123">
        <v>6.43</v>
      </c>
      <c r="B47" s="1117" t="s">
        <v>716</v>
      </c>
      <c r="C47" s="1127">
        <f>HLOOKUP($B47,'SEF-30 pg 2 - 36 '!$E$10:$BF$67,38,FALSE)</f>
        <v>-5160771.7353853295</v>
      </c>
      <c r="D47" s="1128">
        <f>HLOOKUP($B47,'SEF-30 pg 2 - 36 '!$E$10:$BF$128,99,FALSE)</f>
        <v>0</v>
      </c>
      <c r="E47" s="1128">
        <f>HLOOKUP($B47,'SEF-30 pg 2 - 36 '!$E$10:$BF$189,160,FALSE)</f>
        <v>0</v>
      </c>
      <c r="F47" s="1128">
        <f>HLOOKUP($B47,'SEF-30 pg 2 - 36 '!$E$10:$BF$250,221,FALSE)</f>
        <v>4194471.6992107397</v>
      </c>
      <c r="G47" s="1127">
        <f t="shared" si="0"/>
        <v>-966300.03617458977</v>
      </c>
      <c r="H47" s="1129">
        <f>HLOOKUP($B47,'SEF-30 pg 2 - 36 '!$E$10:$BF$311,282,FALSE)</f>
        <v>7839374.2828592705</v>
      </c>
      <c r="I47" s="1127">
        <f>HLOOKUP($B47,'SEF-30 pg 2 - 36 '!$E$10:$BF$67,40,FALSE)</f>
        <v>0</v>
      </c>
      <c r="J47" s="1128">
        <f>HLOOKUP($B47,'SEF-30 pg 2 - 36 '!$E$10:$BF$128,101,FALSE)</f>
        <v>0</v>
      </c>
      <c r="K47" s="1128">
        <f>HLOOKUP($B47,'SEF-30 pg 2 - 36 '!$E$10:$BF$189,162,FALSE)</f>
        <v>0</v>
      </c>
      <c r="L47" s="1128">
        <f>HLOOKUP($B47,'SEF-30 pg 2 - 36 '!$E$10:$BF$250,223,FALSE)</f>
        <v>0</v>
      </c>
      <c r="M47" s="1127">
        <f t="shared" si="1"/>
        <v>0</v>
      </c>
      <c r="N47" s="1129">
        <f>HLOOKUP($B47,'SEF-30 pg 2 - 36 '!$E$10:$BF$311,284,FALSE)</f>
        <v>0</v>
      </c>
    </row>
    <row r="48" spans="1:14" x14ac:dyDescent="0.25">
      <c r="A48" s="1123">
        <v>6.44</v>
      </c>
      <c r="B48" s="19" t="s">
        <v>717</v>
      </c>
      <c r="C48" s="1124">
        <f>HLOOKUP($B48,'SEF-30 pg 2 - 36 '!$E$10:$BF$67,38,FALSE)</f>
        <v>28347227.552052096</v>
      </c>
      <c r="D48" s="1128">
        <f>HLOOKUP($B48,'SEF-30 pg 2 - 36 '!$E$10:$BF$128,99,FALSE)</f>
        <v>0</v>
      </c>
      <c r="E48" s="1128">
        <f>HLOOKUP($B48,'SEF-30 pg 2 - 36 '!$E$10:$BF$189,160,FALSE)</f>
        <v>0</v>
      </c>
      <c r="F48" s="1128">
        <f>HLOOKUP($B48,'SEF-30 pg 2 - 36 '!$E$10:$BF$250,221,FALSE)</f>
        <v>0</v>
      </c>
      <c r="G48" s="1124">
        <f t="shared" si="0"/>
        <v>28347227.552052096</v>
      </c>
      <c r="H48" s="1129">
        <f>HLOOKUP($B48,'SEF-30 pg 2 - 36 '!$E$10:$BF$311,282,FALSE)</f>
        <v>0</v>
      </c>
      <c r="I48" s="1127">
        <f>HLOOKUP($B48,'SEF-30 pg 2 - 36 '!$E$10:$BF$67,40,FALSE)</f>
        <v>100713505.51873963</v>
      </c>
      <c r="J48" s="1128">
        <f>HLOOKUP($B48,'SEF-30 pg 2 - 36 '!$E$10:$BF$128,101,FALSE)</f>
        <v>0</v>
      </c>
      <c r="K48" s="1128">
        <f>HLOOKUP($B48,'SEF-30 pg 2 - 36 '!$E$10:$BF$189,162,FALSE)</f>
        <v>0</v>
      </c>
      <c r="L48" s="1128">
        <f>HLOOKUP($B48,'SEF-30 pg 2 - 36 '!$E$10:$BF$250,223,FALSE)</f>
        <v>0</v>
      </c>
      <c r="M48" s="1127">
        <f t="shared" si="1"/>
        <v>100713505.51873963</v>
      </c>
      <c r="N48" s="1129">
        <f>HLOOKUP($B48,'SEF-30 pg 2 - 36 '!$E$10:$BF$311,284,FALSE)</f>
        <v>0</v>
      </c>
    </row>
    <row r="49" spans="1:14" x14ac:dyDescent="0.25">
      <c r="A49" s="1123">
        <v>6.45</v>
      </c>
      <c r="B49" s="1117" t="s">
        <v>718</v>
      </c>
      <c r="C49" s="1127">
        <f>HLOOKUP($B49,'SEF-30 pg 2 - 36 '!$E$10:$BF$67,38,FALSE)</f>
        <v>698603.46220001741</v>
      </c>
      <c r="D49" s="1128">
        <f>HLOOKUP($B49,'SEF-30 pg 2 - 36 '!$E$10:$BF$128,99,FALSE)</f>
        <v>0</v>
      </c>
      <c r="E49" s="1128">
        <f>HLOOKUP($B49,'SEF-30 pg 2 - 36 '!$E$10:$BF$189,160,FALSE)</f>
        <v>0</v>
      </c>
      <c r="F49" s="1128">
        <f>HLOOKUP($B49,'SEF-30 pg 2 - 36 '!$E$10:$BF$250,221,FALSE)</f>
        <v>0</v>
      </c>
      <c r="G49" s="1127">
        <f t="shared" si="0"/>
        <v>698603.46220001741</v>
      </c>
      <c r="H49" s="1129">
        <f>HLOOKUP($B49,'SEF-30 pg 2 - 36 '!$E$10:$BF$311,282,FALSE)</f>
        <v>1.1175870895385742E-8</v>
      </c>
      <c r="I49" s="1127">
        <f>HLOOKUP($B49,'SEF-30 pg 2 - 36 '!$E$10:$BF$67,40,FALSE)</f>
        <v>0</v>
      </c>
      <c r="J49" s="1128">
        <f>HLOOKUP($B49,'SEF-30 pg 2 - 36 '!$E$10:$BF$128,101,FALSE)</f>
        <v>-2880746.5800000094</v>
      </c>
      <c r="K49" s="1128">
        <f>HLOOKUP($B49,'SEF-30 pg 2 - 36 '!$E$10:$BF$189,162,FALSE)</f>
        <v>-5761493.1600000188</v>
      </c>
      <c r="L49" s="1128">
        <f>HLOOKUP($B49,'SEF-30 pg 2 - 36 '!$E$10:$BF$250,223,FALSE)</f>
        <v>-2880746.5800000113</v>
      </c>
      <c r="M49" s="1127">
        <f t="shared" si="1"/>
        <v>-11522986.320000039</v>
      </c>
      <c r="N49" s="1129">
        <f>HLOOKUP($B49,'SEF-30 pg 2 - 36 '!$E$10:$BF$311,284,FALSE)</f>
        <v>-5761493.1600000188</v>
      </c>
    </row>
    <row r="50" spans="1:14" x14ac:dyDescent="0.25">
      <c r="A50" s="1123">
        <v>6.46</v>
      </c>
      <c r="B50" s="1117" t="s">
        <v>719</v>
      </c>
      <c r="C50" s="1124">
        <f>HLOOKUP($B50,'SEF-30 pg 2 - 36 '!$E$10:$BF$67,38,FALSE)</f>
        <v>-1008.4295899425633</v>
      </c>
      <c r="D50" s="1128">
        <f>HLOOKUP($B50,'SEF-30 pg 2 - 36 '!$E$10:$BF$128,99,FALSE)</f>
        <v>0</v>
      </c>
      <c r="E50" s="1128">
        <f>HLOOKUP($B50,'SEF-30 pg 2 - 36 '!$E$10:$BF$189,160,FALSE)</f>
        <v>0</v>
      </c>
      <c r="F50" s="1128">
        <f>HLOOKUP($B50,'SEF-30 pg 2 - 36 '!$E$10:$BF$250,221,FALSE)</f>
        <v>0</v>
      </c>
      <c r="G50" s="1124">
        <f t="shared" si="0"/>
        <v>-1008.4295899425633</v>
      </c>
      <c r="H50" s="1129">
        <f>HLOOKUP($B50,'SEF-30 pg 2 - 36 '!$E$10:$BF$311,282,FALSE)</f>
        <v>0</v>
      </c>
      <c r="I50" s="1127">
        <f>HLOOKUP($B50,'SEF-30 pg 2 - 36 '!$E$10:$BF$67,40,FALSE)</f>
        <v>-530374.64638627158</v>
      </c>
      <c r="J50" s="1128">
        <f>HLOOKUP($B50,'SEF-30 pg 2 - 36 '!$E$10:$BF$128,101,FALSE)</f>
        <v>0</v>
      </c>
      <c r="K50" s="1128">
        <f>HLOOKUP($B50,'SEF-30 pg 2 - 36 '!$E$10:$BF$189,162,FALSE)</f>
        <v>0</v>
      </c>
      <c r="L50" s="1128">
        <f>HLOOKUP($B50,'SEF-30 pg 2 - 36 '!$E$10:$BF$250,223,FALSE)</f>
        <v>0</v>
      </c>
      <c r="M50" s="1127">
        <f t="shared" si="1"/>
        <v>-530374.64638627158</v>
      </c>
      <c r="N50" s="1129">
        <f>HLOOKUP($B50,'SEF-30 pg 2 - 36 '!$E$10:$BF$311,284,FALSE)</f>
        <v>0</v>
      </c>
    </row>
    <row r="51" spans="1:14" x14ac:dyDescent="0.25">
      <c r="A51" s="1123">
        <v>6.47</v>
      </c>
      <c r="B51" s="1117" t="s">
        <v>720</v>
      </c>
      <c r="C51" s="1127">
        <f>HLOOKUP($B51,'SEF-30 pg 2 - 36 '!$E$10:$BF$67,38,FALSE)</f>
        <v>0</v>
      </c>
      <c r="D51" s="1128">
        <f>HLOOKUP($B51,'SEF-30 pg 2 - 36 '!$E$10:$BF$128,99,FALSE)</f>
        <v>0</v>
      </c>
      <c r="E51" s="1128">
        <f>HLOOKUP($B51,'SEF-30 pg 2 - 36 '!$E$10:$BF$189,160,FALSE)</f>
        <v>0</v>
      </c>
      <c r="F51" s="1128">
        <f>HLOOKUP($B51,'SEF-30 pg 2 - 36 '!$E$10:$BF$250,221,FALSE)</f>
        <v>-687531.06917020504</v>
      </c>
      <c r="G51" s="1127">
        <f t="shared" si="0"/>
        <v>-687531.06917020504</v>
      </c>
      <c r="H51" s="1129">
        <f>HLOOKUP($B51,'SEF-30 pg 2 - 36 '!$E$10:$BF$311,282,FALSE)</f>
        <v>0</v>
      </c>
      <c r="I51" s="1127">
        <f>HLOOKUP($B51,'SEF-30 pg 2 - 36 '!$E$10:$BF$67,40,FALSE)</f>
        <v>0</v>
      </c>
      <c r="J51" s="1128">
        <f>HLOOKUP($B51,'SEF-30 pg 2 - 36 '!$E$10:$BF$128,101,FALSE)</f>
        <v>681903.88919999998</v>
      </c>
      <c r="K51" s="1128">
        <f>HLOOKUP($B51,'SEF-30 pg 2 - 36 '!$E$10:$BF$189,162,FALSE)</f>
        <v>0</v>
      </c>
      <c r="L51" s="1128">
        <f>HLOOKUP($B51,'SEF-30 pg 2 - 36 '!$E$10:$BF$250,223,FALSE)</f>
        <v>-170475.97229999999</v>
      </c>
      <c r="M51" s="1127">
        <f t="shared" si="1"/>
        <v>511427.91689999995</v>
      </c>
      <c r="N51" s="1129">
        <f>HLOOKUP($B51,'SEF-30 pg 2 - 36 '!$E$10:$BF$311,284,FALSE)</f>
        <v>-340951.94460000005</v>
      </c>
    </row>
    <row r="52" spans="1:14" x14ac:dyDescent="0.25">
      <c r="A52" s="1123">
        <v>6.48</v>
      </c>
      <c r="B52" s="19" t="s">
        <v>721</v>
      </c>
      <c r="C52" s="1124">
        <f>HLOOKUP($B52,'SEF-30 pg 2 - 36 '!$E$10:$BF$67,38,FALSE)</f>
        <v>-1668807.7144438999</v>
      </c>
      <c r="D52" s="1128">
        <f>HLOOKUP($B52,'SEF-30 pg 2 - 36 '!$E$10:$BF$128,99,FALSE)</f>
        <v>0</v>
      </c>
      <c r="E52" s="1128">
        <f>HLOOKUP($B52,'SEF-30 pg 2 - 36 '!$E$10:$BF$189,160,FALSE)</f>
        <v>0</v>
      </c>
      <c r="F52" s="1128">
        <f>HLOOKUP($B52,'SEF-30 pg 2 - 36 '!$E$10:$BF$250,221,FALSE)</f>
        <v>-1203226.320895575</v>
      </c>
      <c r="G52" s="1124">
        <f t="shared" si="0"/>
        <v>-2872034.0353394747</v>
      </c>
      <c r="H52" s="1129">
        <f>HLOOKUP($B52,'SEF-30 pg 2 - 36 '!$E$10:$BF$311,282,FALSE)</f>
        <v>0</v>
      </c>
      <c r="I52" s="1128">
        <f>HLOOKUP($B52,'SEF-30 pg 2 - 36 '!$E$10:$BF$67,40,FALSE)</f>
        <v>0</v>
      </c>
      <c r="J52" s="1128">
        <f>HLOOKUP($B52,'SEF-30 pg 2 - 36 '!$E$10:$BF$128,101,FALSE)</f>
        <v>0</v>
      </c>
      <c r="K52" s="1128">
        <f>HLOOKUP($B52,'SEF-30 pg 2 - 36 '!$E$10:$BF$189,162,FALSE)</f>
        <v>0</v>
      </c>
      <c r="L52" s="1129">
        <f>HLOOKUP($B52,'SEF-30 pg 2 - 36 '!$E$10:$BF$250,223,FALSE)</f>
        <v>0</v>
      </c>
      <c r="M52" s="1128">
        <f t="shared" si="1"/>
        <v>0</v>
      </c>
      <c r="N52" s="1129">
        <f>HLOOKUP($B52,'SEF-30 pg 2 - 36 '!$E$10:$BF$311,284,FALSE)</f>
        <v>0</v>
      </c>
    </row>
    <row r="53" spans="1:14" x14ac:dyDescent="0.25">
      <c r="A53" s="1123">
        <v>6.49</v>
      </c>
      <c r="B53" s="19" t="s">
        <v>722</v>
      </c>
      <c r="C53" s="1124">
        <f>HLOOKUP($B53,'SEF-30 pg 2 - 36 '!$E$10:$BF$67,38,FALSE)</f>
        <v>0</v>
      </c>
      <c r="D53" s="1128">
        <f>HLOOKUP($B53,'SEF-30 pg 2 - 36 '!$E$10:$BF$128,99,FALSE)</f>
        <v>0</v>
      </c>
      <c r="E53" s="1128">
        <f>HLOOKUP($B53,'SEF-30 pg 2 - 36 '!$E$10:$BF$189,160,FALSE)</f>
        <v>0</v>
      </c>
      <c r="F53" s="1125">
        <f>HLOOKUP($B53,'SEF-30 pg 2 - 36 '!$E$10:$BF$250,221,FALSE)</f>
        <v>-2006100.9934268999</v>
      </c>
      <c r="G53" s="1124">
        <f t="shared" si="0"/>
        <v>-2006100.9934268999</v>
      </c>
      <c r="H53" s="1130">
        <f>HLOOKUP($B53,'SEF-30 pg 2 - 36 '!$E$10:$BF$311,282,FALSE)</f>
        <v>-1002479.2559571001</v>
      </c>
      <c r="I53" s="1128">
        <f>HLOOKUP($B53,'SEF-30 pg 2 - 36 '!$E$10:$BF$67,40,FALSE)</f>
        <v>0</v>
      </c>
      <c r="J53" s="1128">
        <f>HLOOKUP($B53,'SEF-30 pg 2 - 36 '!$E$10:$BF$128,101,FALSE)</f>
        <v>0</v>
      </c>
      <c r="K53" s="1128">
        <f>HLOOKUP($B53,'SEF-30 pg 2 - 36 '!$E$10:$BF$189,162,FALSE)</f>
        <v>0</v>
      </c>
      <c r="L53" s="1131">
        <f>HLOOKUP($B53,'SEF-30 pg 2 - 36 '!$E$10:$BF$250,223,FALSE)</f>
        <v>0</v>
      </c>
      <c r="M53" s="1128">
        <f t="shared" si="1"/>
        <v>0</v>
      </c>
      <c r="N53" s="1131">
        <f>HLOOKUP($B53,'SEF-30 pg 2 - 36 '!$E$10:$BF$311,284,FALSE)</f>
        <v>0</v>
      </c>
    </row>
    <row r="54" spans="1:14" ht="15.75" thickBot="1" x14ac:dyDescent="0.3">
      <c r="A54" s="1132"/>
      <c r="B54" s="1133" t="s">
        <v>723</v>
      </c>
      <c r="C54" s="1134">
        <f>SUM(C4:C53)</f>
        <v>304897458.18115467</v>
      </c>
      <c r="D54" s="1134">
        <f t="shared" ref="D54:N54" si="2">SUM(D4:D53)</f>
        <v>112656090.11743008</v>
      </c>
      <c r="E54" s="1134">
        <f t="shared" si="2"/>
        <v>95938723.658211976</v>
      </c>
      <c r="F54" s="1134">
        <f t="shared" si="2"/>
        <v>-83596979.748764113</v>
      </c>
      <c r="G54" s="1134">
        <f t="shared" si="2"/>
        <v>-83596979.748764247</v>
      </c>
      <c r="H54" s="1134">
        <f t="shared" si="2"/>
        <v>-123949418.407711</v>
      </c>
      <c r="I54" s="1135">
        <f t="shared" si="2"/>
        <v>5591510735.8894997</v>
      </c>
      <c r="J54" s="1135">
        <f t="shared" si="2"/>
        <v>6109996433.9809561</v>
      </c>
      <c r="K54" s="1135">
        <f t="shared" si="2"/>
        <v>6555542930.3883772</v>
      </c>
      <c r="L54" s="1135">
        <f t="shared" si="2"/>
        <v>6606402751.5608759</v>
      </c>
      <c r="M54" s="1135">
        <f t="shared" si="2"/>
        <v>6606402751.5608759</v>
      </c>
      <c r="N54" s="1135">
        <f t="shared" si="2"/>
        <v>7416985016.6452799</v>
      </c>
    </row>
    <row r="55" spans="1:14" ht="15.75" thickTop="1" x14ac:dyDescent="0.25">
      <c r="A55" s="65" t="s">
        <v>30</v>
      </c>
    </row>
    <row r="58" spans="1:14" x14ac:dyDescent="0.25"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x14ac:dyDescent="0.25">
      <c r="B59" s="1136"/>
      <c r="C59" s="1137"/>
      <c r="D59" s="1137"/>
      <c r="E59" s="1137"/>
      <c r="F59" s="1137"/>
      <c r="G59" s="1137"/>
      <c r="H59" s="1137"/>
      <c r="I59" s="1137"/>
      <c r="J59" s="1137"/>
      <c r="K59" s="1137"/>
      <c r="L59" s="1137"/>
      <c r="M59" s="1137"/>
      <c r="N59" s="1137"/>
    </row>
  </sheetData>
  <printOptions horizontalCentered="1"/>
  <pageMargins left="0.2" right="0.2" top="0.5" bottom="0.5" header="0.3" footer="0.3"/>
  <pageSetup scale="55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workbookViewId="0">
      <pane xSplit="2" ySplit="3" topLeftCell="C4" activePane="bottomRight" state="frozen"/>
      <selection activeCell="H26" sqref="H26"/>
      <selection pane="topRight" activeCell="H26" sqref="H26"/>
      <selection pane="bottomLeft" activeCell="H26" sqref="H26"/>
      <selection pane="bottomRight" activeCell="O34" sqref="O34"/>
    </sheetView>
  </sheetViews>
  <sheetFormatPr defaultColWidth="9.140625" defaultRowHeight="15" x14ac:dyDescent="0.25"/>
  <cols>
    <col min="1" max="1" width="9.140625" style="19"/>
    <col min="2" max="2" width="48.85546875" style="19" bestFit="1" customWidth="1"/>
    <col min="3" max="3" width="13.7109375" style="19" customWidth="1"/>
    <col min="4" max="6" width="14.28515625" style="19" bestFit="1" customWidth="1"/>
    <col min="7" max="7" width="15" style="19" bestFit="1" customWidth="1"/>
    <col min="8" max="8" width="13.7109375" style="19" customWidth="1" collapsed="1"/>
    <col min="9" max="9" width="15" customWidth="1" collapsed="1"/>
    <col min="10" max="10" width="13.7109375" customWidth="1" collapsed="1"/>
    <col min="11" max="11" width="14.28515625" customWidth="1"/>
    <col min="12" max="12" width="15" customWidth="1" collapsed="1"/>
    <col min="13" max="13" width="13.7109375" customWidth="1" collapsed="1"/>
    <col min="14" max="14" width="14.28515625" customWidth="1"/>
    <col min="15" max="17" width="13.7109375" customWidth="1"/>
    <col min="19" max="19" width="12.28515625" bestFit="1" customWidth="1"/>
    <col min="20" max="20" width="10" bestFit="1" customWidth="1"/>
    <col min="21" max="21" width="11.5703125" bestFit="1" customWidth="1"/>
    <col min="22" max="23" width="13.7109375" bestFit="1" customWidth="1"/>
    <col min="24" max="24" width="13.42578125" bestFit="1" customWidth="1"/>
  </cols>
  <sheetData>
    <row r="1" spans="1:8" x14ac:dyDescent="0.25">
      <c r="A1" s="1106" t="s">
        <v>724</v>
      </c>
    </row>
    <row r="2" spans="1:8" x14ac:dyDescent="0.25">
      <c r="A2" s="1107"/>
      <c r="B2" s="1108"/>
      <c r="C2" s="1138"/>
      <c r="D2" s="1139"/>
      <c r="E2" s="1139"/>
      <c r="F2" s="1108"/>
      <c r="G2" s="1109" t="s">
        <v>132</v>
      </c>
      <c r="H2" s="1140"/>
    </row>
    <row r="3" spans="1:8" ht="30" x14ac:dyDescent="0.25">
      <c r="A3" s="1113" t="s">
        <v>624</v>
      </c>
      <c r="B3" s="1114" t="s">
        <v>625</v>
      </c>
      <c r="C3" s="1113" t="s">
        <v>626</v>
      </c>
      <c r="D3" s="1115" t="s">
        <v>627</v>
      </c>
      <c r="E3" s="1115" t="s">
        <v>628</v>
      </c>
      <c r="F3" s="1114" t="s">
        <v>629</v>
      </c>
      <c r="G3" s="1113" t="s">
        <v>630</v>
      </c>
      <c r="H3" s="1114" t="s">
        <v>631</v>
      </c>
    </row>
    <row r="4" spans="1:8" x14ac:dyDescent="0.25">
      <c r="A4" s="1116"/>
      <c r="B4" s="1117" t="s">
        <v>638</v>
      </c>
      <c r="C4" s="1141">
        <f>'SEF-30 pg 2 - 36 '!D65</f>
        <v>153798837.75261405</v>
      </c>
      <c r="D4" s="1119">
        <f>C55</f>
        <v>163690004.32284188</v>
      </c>
      <c r="E4" s="1119">
        <f>D55</f>
        <v>472681899.26506335</v>
      </c>
      <c r="F4" s="1120">
        <f>E55</f>
        <v>540370262.49228716</v>
      </c>
      <c r="G4" s="1141">
        <f>C4</f>
        <v>153798837.75261405</v>
      </c>
      <c r="H4" s="1122"/>
    </row>
    <row r="5" spans="1:8" x14ac:dyDescent="0.25">
      <c r="A5" s="1123" t="s">
        <v>639</v>
      </c>
      <c r="B5" s="1117" t="s">
        <v>640</v>
      </c>
      <c r="C5" s="1124">
        <f>HLOOKUP($B5,'SEF-30 pg 2 - 36 '!$E$10:$BF$67,56,FALSE)</f>
        <v>-100718055.95051391</v>
      </c>
      <c r="D5" s="1128">
        <f>HLOOKUP($B5,'SEF-30 pg 2 - 36 '!$E$10:$BF$128,117,FALSE)</f>
        <v>240596382.58753139</v>
      </c>
      <c r="E5" s="1125">
        <f>HLOOKUP($B5,'SEF-30 pg 2 - 36 '!$E$10:$BF$189,178,FALSE)</f>
        <v>-12111246.840388292</v>
      </c>
      <c r="F5" s="1129">
        <f>HLOOKUP($B5,'SEF-30 pg 2 - 36 '!$E$10:$BF$250,239,FALSE)</f>
        <v>-7813731.2555167684</v>
      </c>
      <c r="G5" s="1124">
        <f>SUM(C5:F5)</f>
        <v>119953348.54111242</v>
      </c>
      <c r="H5" s="1129">
        <f>HLOOKUP($B5,'SEF-30 pg 2 - 36 '!$E$10:$BF$311,300,FALSE)</f>
        <v>-27230414.088380195</v>
      </c>
    </row>
    <row r="6" spans="1:8" x14ac:dyDescent="0.25">
      <c r="A6" s="1123" t="s">
        <v>641</v>
      </c>
      <c r="B6" s="1117" t="s">
        <v>642</v>
      </c>
      <c r="C6" s="1124">
        <f>HLOOKUP($B6,'SEF-30 pg 2 - 36 '!$E$10:$BF$67,56,FALSE)</f>
        <v>161831.75231923751</v>
      </c>
      <c r="D6" s="1128">
        <f>HLOOKUP($B6,'SEF-30 pg 2 - 36 '!$E$10:$BF$128,117,FALSE)</f>
        <v>15039933.966465373</v>
      </c>
      <c r="E6" s="1128">
        <f>HLOOKUP($B6,'SEF-30 pg 2 - 36 '!$E$10:$BF$189,178,FALSE)</f>
        <v>0</v>
      </c>
      <c r="F6" s="1129">
        <f>HLOOKUP($B6,'SEF-30 pg 2 - 36 '!$E$10:$BF$250,239,FALSE)</f>
        <v>0</v>
      </c>
      <c r="G6" s="1124">
        <f t="shared" ref="G6:G53" si="0">SUM(C6:F6)</f>
        <v>15201765.71878461</v>
      </c>
      <c r="H6" s="1129">
        <f>HLOOKUP($B6,'SEF-30 pg 2 - 36 '!$E$10:$BF$311,300,FALSE)</f>
        <v>0</v>
      </c>
    </row>
    <row r="7" spans="1:8" x14ac:dyDescent="0.25">
      <c r="A7" s="1123" t="s">
        <v>643</v>
      </c>
      <c r="B7" s="1117" t="s">
        <v>644</v>
      </c>
      <c r="C7" s="1124">
        <f>HLOOKUP($B7,'SEF-30 pg 2 - 36 '!$E$10:$BF$67,56,FALSE)</f>
        <v>60863040.701523706</v>
      </c>
      <c r="D7" s="1128">
        <f>HLOOKUP($B7,'SEF-30 pg 2 - 36 '!$E$10:$BF$128,117,FALSE)</f>
        <v>0</v>
      </c>
      <c r="E7" s="1128">
        <f>HLOOKUP($B7,'SEF-30 pg 2 - 36 '!$E$10:$BF$189,178,FALSE)</f>
        <v>0</v>
      </c>
      <c r="F7" s="1129">
        <f>HLOOKUP($B7,'SEF-30 pg 2 - 36 '!$E$10:$BF$250,239,FALSE)</f>
        <v>0</v>
      </c>
      <c r="G7" s="1124">
        <f t="shared" si="0"/>
        <v>60863040.701523706</v>
      </c>
      <c r="H7" s="1129">
        <f>HLOOKUP($B7,'SEF-30 pg 2 - 36 '!$E$10:$BF$311,300,FALSE)</f>
        <v>0</v>
      </c>
    </row>
    <row r="8" spans="1:8" x14ac:dyDescent="0.25">
      <c r="A8" s="1123" t="s">
        <v>645</v>
      </c>
      <c r="B8" s="1117" t="s">
        <v>646</v>
      </c>
      <c r="C8" s="1124">
        <f>HLOOKUP($B8,'SEF-30 pg 2 - 36 '!$E$10:$BF$67,56,FALSE)</f>
        <v>-3612628.4896356245</v>
      </c>
      <c r="D8" s="1125">
        <f>HLOOKUP($B8,'SEF-30 pg 2 - 36 '!$E$10:$BF$128,117,FALSE)</f>
        <v>-5106229.6113010487</v>
      </c>
      <c r="E8" s="1125">
        <f>HLOOKUP($B8,'SEF-30 pg 2 - 36 '!$E$10:$BF$189,178,FALSE)</f>
        <v>1731104.0285335716</v>
      </c>
      <c r="F8" s="1126">
        <f>HLOOKUP($B8,'SEF-30 pg 2 - 36 '!$E$10:$BF$250,239,FALSE)</f>
        <v>-606417.84376428241</v>
      </c>
      <c r="G8" s="1124">
        <f t="shared" si="0"/>
        <v>-7594171.9161673849</v>
      </c>
      <c r="H8" s="1126">
        <f>HLOOKUP($B8,'SEF-30 pg 2 - 36 '!$E$10:$BF$311,300,FALSE)</f>
        <v>-746205.58117507258</v>
      </c>
    </row>
    <row r="9" spans="1:8" x14ac:dyDescent="0.25">
      <c r="A9" s="1123" t="s">
        <v>647</v>
      </c>
      <c r="B9" s="1117" t="s">
        <v>648</v>
      </c>
      <c r="C9" s="1124">
        <f>HLOOKUP($B9,'SEF-30 pg 2 - 36 '!$E$10:$BF$67,56,FALSE)</f>
        <v>-41147191.750709437</v>
      </c>
      <c r="D9" s="1125">
        <f>HLOOKUP($B9,'SEF-30 pg 2 - 36 '!$E$10:$BF$128,117,FALSE)</f>
        <v>-3815468.0277074999</v>
      </c>
      <c r="E9" s="1125">
        <f>HLOOKUP($B9,'SEF-30 pg 2 - 36 '!$E$10:$BF$189,178,FALSE)</f>
        <v>-3278718.0401642346</v>
      </c>
      <c r="F9" s="1126">
        <f>HLOOKUP($B9,'SEF-30 pg 2 - 36 '!$E$10:$BF$250,239,FALSE)</f>
        <v>-1113672.2305203462</v>
      </c>
      <c r="G9" s="1124">
        <f t="shared" si="0"/>
        <v>-49355050.049101517</v>
      </c>
      <c r="H9" s="1126">
        <f>HLOOKUP($B9,'SEF-30 pg 2 - 36 '!$E$10:$BF$311,300,FALSE)</f>
        <v>-5225566.7300403342</v>
      </c>
    </row>
    <row r="10" spans="1:8" x14ac:dyDescent="0.25">
      <c r="A10" s="1123" t="s">
        <v>649</v>
      </c>
      <c r="B10" s="1117" t="s">
        <v>650</v>
      </c>
      <c r="C10" s="1124">
        <f>HLOOKUP($B10,'SEF-30 pg 2 - 36 '!$E$10:$BF$67,56,FALSE)</f>
        <v>-479285.08628462791</v>
      </c>
      <c r="D10" s="1128">
        <f>HLOOKUP($B10,'SEF-30 pg 2 - 36 '!$E$10:$BF$128,117,FALSE)</f>
        <v>0</v>
      </c>
      <c r="E10" s="1128">
        <f>HLOOKUP($B10,'SEF-30 pg 2 - 36 '!$E$10:$BF$189,178,FALSE)</f>
        <v>0</v>
      </c>
      <c r="F10" s="1129">
        <f>HLOOKUP($B10,'SEF-30 pg 2 - 36 '!$E$10:$BF$250,239,FALSE)</f>
        <v>0</v>
      </c>
      <c r="G10" s="1124">
        <f t="shared" si="0"/>
        <v>-479285.08628462791</v>
      </c>
      <c r="H10" s="1129">
        <f>HLOOKUP($B10,'SEF-30 pg 2 - 36 '!$E$10:$BF$311,300,FALSE)</f>
        <v>0</v>
      </c>
    </row>
    <row r="11" spans="1:8" x14ac:dyDescent="0.25">
      <c r="A11" s="1123" t="s">
        <v>651</v>
      </c>
      <c r="B11" s="1117" t="s">
        <v>652</v>
      </c>
      <c r="C11" s="1124">
        <f>HLOOKUP($B11,'SEF-30 pg 2 - 36 '!$E$10:$BF$67,56,FALSE)</f>
        <v>-238538.68066628231</v>
      </c>
      <c r="D11" s="1128">
        <f>HLOOKUP($B11,'SEF-30 pg 2 - 36 '!$E$10:$BF$128,117,FALSE)</f>
        <v>0</v>
      </c>
      <c r="E11" s="1128">
        <f>HLOOKUP($B11,'SEF-30 pg 2 - 36 '!$E$10:$BF$189,178,FALSE)</f>
        <v>0</v>
      </c>
      <c r="F11" s="1129">
        <f>HLOOKUP($B11,'SEF-30 pg 2 - 36 '!$E$10:$BF$250,239,FALSE)</f>
        <v>0</v>
      </c>
      <c r="G11" s="1124">
        <f t="shared" si="0"/>
        <v>-238538.68066628231</v>
      </c>
      <c r="H11" s="1129">
        <f>HLOOKUP($B11,'SEF-30 pg 2 - 36 '!$E$10:$BF$311,300,FALSE)</f>
        <v>0</v>
      </c>
    </row>
    <row r="12" spans="1:8" x14ac:dyDescent="0.25">
      <c r="A12" s="1123" t="s">
        <v>653</v>
      </c>
      <c r="B12" s="1117" t="s">
        <v>654</v>
      </c>
      <c r="C12" s="1124">
        <f>HLOOKUP($B12,'SEF-30 pg 2 - 36 '!$E$10:$BF$67,56,FALSE)</f>
        <v>28840.075233949923</v>
      </c>
      <c r="D12" s="1128">
        <f>HLOOKUP($B12,'SEF-30 pg 2 - 36 '!$E$10:$BF$128,117,FALSE)</f>
        <v>0</v>
      </c>
      <c r="E12" s="1128">
        <f>HLOOKUP($B12,'SEF-30 pg 2 - 36 '!$E$10:$BF$189,178,FALSE)</f>
        <v>0</v>
      </c>
      <c r="F12" s="1129">
        <f>HLOOKUP($B12,'SEF-30 pg 2 - 36 '!$E$10:$BF$250,239,FALSE)</f>
        <v>0</v>
      </c>
      <c r="G12" s="1124">
        <f t="shared" si="0"/>
        <v>28840.075233949923</v>
      </c>
      <c r="H12" s="1129">
        <f>HLOOKUP($B12,'SEF-30 pg 2 - 36 '!$E$10:$BF$311,300,FALSE)</f>
        <v>0</v>
      </c>
    </row>
    <row r="13" spans="1:8" x14ac:dyDescent="0.25">
      <c r="A13" s="1123" t="s">
        <v>655</v>
      </c>
      <c r="B13" s="1117" t="s">
        <v>656</v>
      </c>
      <c r="C13" s="1124">
        <f>HLOOKUP($B13,'SEF-30 pg 2 - 36 '!$E$10:$BF$67,56,FALSE)</f>
        <v>-47833.990312008951</v>
      </c>
      <c r="D13" s="1125">
        <f>HLOOKUP($B13,'SEF-30 pg 2 - 36 '!$E$10:$BF$128,117,FALSE)</f>
        <v>712977.76704827428</v>
      </c>
      <c r="E13" s="1128">
        <f>HLOOKUP($B13,'SEF-30 pg 2 - 36 '!$E$10:$BF$189,178,FALSE)</f>
        <v>0</v>
      </c>
      <c r="F13" s="1129">
        <f>HLOOKUP($B13,'SEF-30 pg 2 - 36 '!$E$10:$BF$250,239,FALSE)</f>
        <v>0</v>
      </c>
      <c r="G13" s="1124">
        <f t="shared" si="0"/>
        <v>665143.77673626528</v>
      </c>
      <c r="H13" s="1129">
        <f>HLOOKUP($B13,'SEF-30 pg 2 - 36 '!$E$10:$BF$311,300,FALSE)</f>
        <v>0</v>
      </c>
    </row>
    <row r="14" spans="1:8" x14ac:dyDescent="0.25">
      <c r="A14" s="1123" t="s">
        <v>657</v>
      </c>
      <c r="B14" s="1117" t="s">
        <v>658</v>
      </c>
      <c r="C14" s="1124">
        <f>HLOOKUP($B14,'SEF-30 pg 2 - 36 '!$E$10:$BF$67,56,FALSE)</f>
        <v>-175837.40573145324</v>
      </c>
      <c r="D14" s="1128">
        <f>HLOOKUP($B14,'SEF-30 pg 2 - 36 '!$E$10:$BF$128,117,FALSE)</f>
        <v>0</v>
      </c>
      <c r="E14" s="1128">
        <f>HLOOKUP($B14,'SEF-30 pg 2 - 36 '!$E$10:$BF$189,178,FALSE)</f>
        <v>0</v>
      </c>
      <c r="F14" s="1129">
        <f>HLOOKUP($B14,'SEF-30 pg 2 - 36 '!$E$10:$BF$250,239,FALSE)</f>
        <v>0</v>
      </c>
      <c r="G14" s="1124">
        <f t="shared" si="0"/>
        <v>-175837.40573145324</v>
      </c>
      <c r="H14" s="1129">
        <f>HLOOKUP($B14,'SEF-30 pg 2 - 36 '!$E$10:$BF$311,300,FALSE)</f>
        <v>0</v>
      </c>
    </row>
    <row r="15" spans="1:8" x14ac:dyDescent="0.25">
      <c r="A15" s="1123" t="s">
        <v>659</v>
      </c>
      <c r="B15" s="1117" t="s">
        <v>660</v>
      </c>
      <c r="C15" s="1124">
        <f>HLOOKUP($B15,'SEF-30 pg 2 - 36 '!$E$10:$BF$67,56,FALSE)</f>
        <v>-4290186.2281758944</v>
      </c>
      <c r="D15" s="1125">
        <f>HLOOKUP($B15,'SEF-30 pg 2 - 36 '!$E$10:$BF$128,117,FALSE)</f>
        <v>1005061.5308749945</v>
      </c>
      <c r="E15" s="1125">
        <f>HLOOKUP($B15,'SEF-30 pg 2 - 36 '!$E$10:$BF$189,178,FALSE)</f>
        <v>418152.10765252082</v>
      </c>
      <c r="F15" s="1126">
        <f>HLOOKUP($B15,'SEF-30 pg 2 - 36 '!$E$10:$BF$250,239,FALSE)</f>
        <v>93241.326993481052</v>
      </c>
      <c r="G15" s="1124">
        <f t="shared" si="0"/>
        <v>-2773731.2626548978</v>
      </c>
      <c r="H15" s="1126">
        <f>HLOOKUP($B15,'SEF-30 pg 2 - 36 '!$E$10:$BF$311,300,FALSE)</f>
        <v>5422.0333033441138</v>
      </c>
    </row>
    <row r="16" spans="1:8" x14ac:dyDescent="0.25">
      <c r="A16" s="1123" t="s">
        <v>661</v>
      </c>
      <c r="B16" s="1117" t="s">
        <v>662</v>
      </c>
      <c r="C16" s="1124">
        <f>HLOOKUP($B16,'SEF-30 pg 2 - 36 '!$E$10:$BF$67,56,FALSE)</f>
        <v>529232.77160532412</v>
      </c>
      <c r="D16" s="1128">
        <f>HLOOKUP($B16,'SEF-30 pg 2 - 36 '!$E$10:$BF$128,117,FALSE)</f>
        <v>0</v>
      </c>
      <c r="E16" s="1128">
        <f>HLOOKUP($B16,'SEF-30 pg 2 - 36 '!$E$10:$BF$189,178,FALSE)</f>
        <v>0</v>
      </c>
      <c r="F16" s="1129">
        <f>HLOOKUP($B16,'SEF-30 pg 2 - 36 '!$E$10:$BF$250,239,FALSE)</f>
        <v>0</v>
      </c>
      <c r="G16" s="1124">
        <f t="shared" si="0"/>
        <v>529232.77160532412</v>
      </c>
      <c r="H16" s="1129">
        <f>HLOOKUP($B16,'SEF-30 pg 2 - 36 '!$E$10:$BF$311,300,FALSE)</f>
        <v>0</v>
      </c>
    </row>
    <row r="17" spans="1:8" x14ac:dyDescent="0.25">
      <c r="A17" s="1123" t="s">
        <v>663</v>
      </c>
      <c r="B17" s="1117" t="s">
        <v>664</v>
      </c>
      <c r="C17" s="1124">
        <f>HLOOKUP($B17,'SEF-30 pg 2 - 36 '!$E$10:$BF$67,56,FALSE)</f>
        <v>174968.57115282401</v>
      </c>
      <c r="D17" s="1128">
        <f>HLOOKUP($B17,'SEF-30 pg 2 - 36 '!$E$10:$BF$128,117,FALSE)</f>
        <v>0</v>
      </c>
      <c r="E17" s="1128">
        <f>HLOOKUP($B17,'SEF-30 pg 2 - 36 '!$E$10:$BF$189,178,FALSE)</f>
        <v>0</v>
      </c>
      <c r="F17" s="1129">
        <f>HLOOKUP($B17,'SEF-30 pg 2 - 36 '!$E$10:$BF$250,239,FALSE)</f>
        <v>0</v>
      </c>
      <c r="G17" s="1124">
        <f t="shared" si="0"/>
        <v>174968.57115282401</v>
      </c>
      <c r="H17" s="1129">
        <f>HLOOKUP($B17,'SEF-30 pg 2 - 36 '!$E$10:$BF$311,300,FALSE)</f>
        <v>0</v>
      </c>
    </row>
    <row r="18" spans="1:8" x14ac:dyDescent="0.25">
      <c r="A18" s="1123" t="s">
        <v>665</v>
      </c>
      <c r="B18" s="1117" t="s">
        <v>666</v>
      </c>
      <c r="C18" s="1124">
        <f>HLOOKUP($B18,'SEF-30 pg 2 - 36 '!$E$10:$BF$67,56,FALSE)</f>
        <v>1090410.5949090598</v>
      </c>
      <c r="D18" s="1128">
        <f>HLOOKUP($B18,'SEF-30 pg 2 - 36 '!$E$10:$BF$128,117,FALSE)</f>
        <v>0</v>
      </c>
      <c r="E18" s="1128">
        <f>HLOOKUP($B18,'SEF-30 pg 2 - 36 '!$E$10:$BF$189,178,FALSE)</f>
        <v>0</v>
      </c>
      <c r="F18" s="1129">
        <f>HLOOKUP($B18,'SEF-30 pg 2 - 36 '!$E$10:$BF$250,239,FALSE)</f>
        <v>0</v>
      </c>
      <c r="G18" s="1124">
        <f t="shared" si="0"/>
        <v>1090410.5949090598</v>
      </c>
      <c r="H18" s="1129">
        <f>HLOOKUP($B18,'SEF-30 pg 2 - 36 '!$E$10:$BF$311,300,FALSE)</f>
        <v>0</v>
      </c>
    </row>
    <row r="19" spans="1:8" x14ac:dyDescent="0.25">
      <c r="A19" s="1123" t="s">
        <v>667</v>
      </c>
      <c r="B19" s="1117" t="s">
        <v>668</v>
      </c>
      <c r="C19" s="1124">
        <f>HLOOKUP($B19,'SEF-30 pg 2 - 36 '!$E$10:$BF$67,56,FALSE)</f>
        <v>1547370.1894545534</v>
      </c>
      <c r="D19" s="1128">
        <f>HLOOKUP($B19,'SEF-30 pg 2 - 36 '!$E$10:$BF$128,117,FALSE)</f>
        <v>0</v>
      </c>
      <c r="E19" s="1128">
        <f>HLOOKUP($B19,'SEF-30 pg 2 - 36 '!$E$10:$BF$189,178,FALSE)</f>
        <v>0</v>
      </c>
      <c r="F19" s="1126">
        <f>HLOOKUP($B19,'SEF-30 pg 2 - 36 '!$E$10:$BF$250,239,FALSE)</f>
        <v>-21450.928574696303</v>
      </c>
      <c r="G19" s="1124">
        <f t="shared" si="0"/>
        <v>1525919.260879857</v>
      </c>
      <c r="H19" s="1129">
        <f>HLOOKUP($B19,'SEF-30 pg 2 - 36 '!$E$10:$BF$311,300,FALSE)</f>
        <v>0</v>
      </c>
    </row>
    <row r="20" spans="1:8" x14ac:dyDescent="0.25">
      <c r="A20" s="1123" t="s">
        <v>669</v>
      </c>
      <c r="B20" s="1117" t="s">
        <v>670</v>
      </c>
      <c r="C20" s="1124">
        <f>HLOOKUP($B20,'SEF-30 pg 2 - 36 '!$E$10:$BF$67,56,FALSE)</f>
        <v>-24339.869909909161</v>
      </c>
      <c r="D20" s="1128">
        <f>HLOOKUP($B20,'SEF-30 pg 2 - 36 '!$E$10:$BF$128,117,FALSE)</f>
        <v>0</v>
      </c>
      <c r="E20" s="1128">
        <f>HLOOKUP($B20,'SEF-30 pg 2 - 36 '!$E$10:$BF$189,178,FALSE)</f>
        <v>0</v>
      </c>
      <c r="F20" s="1129">
        <f>HLOOKUP($B20,'SEF-30 pg 2 - 36 '!$E$10:$BF$250,239,FALSE)</f>
        <v>0</v>
      </c>
      <c r="G20" s="1124">
        <f t="shared" si="0"/>
        <v>-24339.869909909161</v>
      </c>
      <c r="H20" s="1129">
        <f>HLOOKUP($B20,'SEF-30 pg 2 - 36 '!$E$10:$BF$311,300,FALSE)</f>
        <v>0</v>
      </c>
    </row>
    <row r="21" spans="1:8" x14ac:dyDescent="0.25">
      <c r="A21" s="1123" t="s">
        <v>671</v>
      </c>
      <c r="B21" s="1117" t="s">
        <v>672</v>
      </c>
      <c r="C21" s="1124">
        <f>HLOOKUP($B21,'SEF-30 pg 2 - 36 '!$E$10:$BF$67,56,FALSE)</f>
        <v>3912572.8575349683</v>
      </c>
      <c r="D21" s="1128">
        <f>HLOOKUP($B21,'SEF-30 pg 2 - 36 '!$E$10:$BF$128,117,FALSE)</f>
        <v>0</v>
      </c>
      <c r="E21" s="1128">
        <f>HLOOKUP($B21,'SEF-30 pg 2 - 36 '!$E$10:$BF$189,178,FALSE)</f>
        <v>0</v>
      </c>
      <c r="F21" s="1129">
        <f>HLOOKUP($B21,'SEF-30 pg 2 - 36 '!$E$10:$BF$250,239,FALSE)</f>
        <v>0</v>
      </c>
      <c r="G21" s="1124">
        <f t="shared" si="0"/>
        <v>3912572.8575349683</v>
      </c>
      <c r="H21" s="1129">
        <f>HLOOKUP($B21,'SEF-30 pg 2 - 36 '!$E$10:$BF$311,300,FALSE)</f>
        <v>0</v>
      </c>
    </row>
    <row r="22" spans="1:8" x14ac:dyDescent="0.25">
      <c r="A22" s="1123" t="s">
        <v>673</v>
      </c>
      <c r="B22" s="1117" t="s">
        <v>674</v>
      </c>
      <c r="C22" s="1124">
        <f>HLOOKUP($B22,'SEF-30 pg 2 - 36 '!$E$10:$BF$67,56,FALSE)</f>
        <v>8787763.7281737197</v>
      </c>
      <c r="D22" s="1128">
        <f>HLOOKUP($B22,'SEF-30 pg 2 - 36 '!$E$10:$BF$128,117,FALSE)</f>
        <v>0</v>
      </c>
      <c r="E22" s="1128">
        <f>HLOOKUP($B22,'SEF-30 pg 2 - 36 '!$E$10:$BF$189,178,FALSE)</f>
        <v>0</v>
      </c>
      <c r="F22" s="1129">
        <f>HLOOKUP($B22,'SEF-30 pg 2 - 36 '!$E$10:$BF$250,239,FALSE)</f>
        <v>0</v>
      </c>
      <c r="G22" s="1124">
        <f t="shared" si="0"/>
        <v>8787763.7281737197</v>
      </c>
      <c r="H22" s="1129">
        <f>HLOOKUP($B22,'SEF-30 pg 2 - 36 '!$E$10:$BF$311,300,FALSE)</f>
        <v>0</v>
      </c>
    </row>
    <row r="23" spans="1:8" x14ac:dyDescent="0.25">
      <c r="A23" s="1123" t="s">
        <v>675</v>
      </c>
      <c r="B23" s="1117" t="s">
        <v>676</v>
      </c>
      <c r="C23" s="1124">
        <f>HLOOKUP($B23,'SEF-30 pg 2 - 36 '!$E$10:$BF$67,56,FALSE)</f>
        <v>2386192.04737648</v>
      </c>
      <c r="D23" s="1128">
        <f>HLOOKUP($B23,'SEF-30 pg 2 - 36 '!$E$10:$BF$128,117,FALSE)</f>
        <v>0</v>
      </c>
      <c r="E23" s="1128">
        <f>HLOOKUP($B23,'SEF-30 pg 2 - 36 '!$E$10:$BF$189,178,FALSE)</f>
        <v>0</v>
      </c>
      <c r="F23" s="1129">
        <f>HLOOKUP($B23,'SEF-30 pg 2 - 36 '!$E$10:$BF$250,239,FALSE)</f>
        <v>0</v>
      </c>
      <c r="G23" s="1124">
        <f t="shared" si="0"/>
        <v>2386192.04737648</v>
      </c>
      <c r="H23" s="1129">
        <f>HLOOKUP($B23,'SEF-30 pg 2 - 36 '!$E$10:$BF$311,300,FALSE)</f>
        <v>0</v>
      </c>
    </row>
    <row r="24" spans="1:8" x14ac:dyDescent="0.25">
      <c r="A24" s="1123" t="s">
        <v>677</v>
      </c>
      <c r="B24" s="1117" t="s">
        <v>678</v>
      </c>
      <c r="C24" s="1124">
        <f>HLOOKUP($B24,'SEF-30 pg 2 - 36 '!$E$10:$BF$67,56,FALSE)</f>
        <v>-3877048.0272753476</v>
      </c>
      <c r="D24" s="1128">
        <f>HLOOKUP($B24,'SEF-30 pg 2 - 36 '!$E$10:$BF$128,117,FALSE)</f>
        <v>0</v>
      </c>
      <c r="E24" s="1128">
        <f>HLOOKUP($B24,'SEF-30 pg 2 - 36 '!$E$10:$BF$189,178,FALSE)</f>
        <v>0</v>
      </c>
      <c r="F24" s="1129">
        <f>HLOOKUP($B24,'SEF-30 pg 2 - 36 '!$E$10:$BF$250,239,FALSE)</f>
        <v>0</v>
      </c>
      <c r="G24" s="1124">
        <f t="shared" si="0"/>
        <v>-3877048.0272753476</v>
      </c>
      <c r="H24" s="1129">
        <f>HLOOKUP($B24,'SEF-30 pg 2 - 36 '!$E$10:$BF$311,300,FALSE)</f>
        <v>0</v>
      </c>
    </row>
    <row r="25" spans="1:8" x14ac:dyDescent="0.25">
      <c r="A25" s="1123" t="s">
        <v>679</v>
      </c>
      <c r="B25" s="1117" t="s">
        <v>680</v>
      </c>
      <c r="C25" s="1124">
        <f>HLOOKUP($B25,'SEF-30 pg 2 - 36 '!$E$10:$BF$67,56,FALSE)</f>
        <v>3214227.5237620943</v>
      </c>
      <c r="D25" s="1128">
        <f>HLOOKUP($B25,'SEF-30 pg 2 - 36 '!$E$10:$BF$128,117,FALSE)</f>
        <v>0</v>
      </c>
      <c r="E25" s="1128">
        <f>HLOOKUP($B25,'SEF-30 pg 2 - 36 '!$E$10:$BF$189,178,FALSE)</f>
        <v>0</v>
      </c>
      <c r="F25" s="1129">
        <f>HLOOKUP($B25,'SEF-30 pg 2 - 36 '!$E$10:$BF$250,239,FALSE)</f>
        <v>0</v>
      </c>
      <c r="G25" s="1124">
        <f t="shared" si="0"/>
        <v>3214227.5237620943</v>
      </c>
      <c r="H25" s="1129">
        <f>HLOOKUP($B25,'SEF-30 pg 2 - 36 '!$E$10:$BF$311,300,FALSE)</f>
        <v>0</v>
      </c>
    </row>
    <row r="26" spans="1:8" x14ac:dyDescent="0.25">
      <c r="A26" s="1123" t="s">
        <v>681</v>
      </c>
      <c r="B26" s="1117" t="s">
        <v>682</v>
      </c>
      <c r="C26" s="1127">
        <f>HLOOKUP($B26,'SEF-30 pg 2 - 36 '!$E$10:$BF$67,56,FALSE)</f>
        <v>0</v>
      </c>
      <c r="D26" s="1128">
        <f>HLOOKUP($B26,'SEF-30 pg 2 - 36 '!$E$10:$BF$128,117,FALSE)</f>
        <v>0</v>
      </c>
      <c r="E26" s="1128">
        <f>HLOOKUP($B26,'SEF-30 pg 2 - 36 '!$E$10:$BF$189,178,FALSE)</f>
        <v>0</v>
      </c>
      <c r="F26" s="1126">
        <f>HLOOKUP($B26,'SEF-30 pg 2 - 36 '!$E$10:$BF$250,239,FALSE)</f>
        <v>32078038.388330385</v>
      </c>
      <c r="G26" s="1124">
        <f t="shared" si="0"/>
        <v>32078038.388330385</v>
      </c>
      <c r="H26" s="1126">
        <f>HLOOKUP($B26,'SEF-30 pg 2 - 36 '!$E$10:$BF$311,300,FALSE)</f>
        <v>21822807.63769811</v>
      </c>
    </row>
    <row r="27" spans="1:8" x14ac:dyDescent="0.25">
      <c r="A27" s="1123" t="s">
        <v>683</v>
      </c>
      <c r="B27" s="1117" t="s">
        <v>684</v>
      </c>
      <c r="C27" s="1127">
        <f>HLOOKUP($B27,'SEF-30 pg 2 - 36 '!$E$10:$BF$67,56,FALSE)</f>
        <v>0</v>
      </c>
      <c r="D27" s="1125">
        <f>HLOOKUP($B27,'SEF-30 pg 2 - 36 '!$E$10:$BF$128,117,FALSE)</f>
        <v>-11162584.239983093</v>
      </c>
      <c r="E27" s="1128">
        <f>HLOOKUP($B27,'SEF-30 pg 2 - 36 '!$E$10:$BF$189,178,FALSE)</f>
        <v>0</v>
      </c>
      <c r="F27" s="1129">
        <f>HLOOKUP($B27,'SEF-30 pg 2 - 36 '!$E$10:$BF$250,239,FALSE)</f>
        <v>0</v>
      </c>
      <c r="G27" s="1124">
        <f t="shared" si="0"/>
        <v>-11162584.239983093</v>
      </c>
      <c r="H27" s="1129">
        <f>HLOOKUP($B27,'SEF-30 pg 2 - 36 '!$E$10:$BF$311,300,FALSE)</f>
        <v>0</v>
      </c>
    </row>
    <row r="28" spans="1:8" x14ac:dyDescent="0.25">
      <c r="A28" s="1123" t="s">
        <v>685</v>
      </c>
      <c r="B28" s="1117" t="s">
        <v>686</v>
      </c>
      <c r="C28" s="1124">
        <f>HLOOKUP($B28,'SEF-30 pg 2 - 36 '!$E$10:$BF$67,56,FALSE)</f>
        <v>-4278220.204149331</v>
      </c>
      <c r="D28" s="1125">
        <f>HLOOKUP($B28,'SEF-30 pg 2 - 36 '!$E$10:$BF$128,117,FALSE)</f>
        <v>12005633.877505759</v>
      </c>
      <c r="E28" s="1128">
        <f>HLOOKUP($B28,'SEF-30 pg 2 - 36 '!$E$10:$BF$189,178,FALSE)</f>
        <v>0</v>
      </c>
      <c r="F28" s="1126">
        <f>HLOOKUP($B28,'SEF-30 pg 2 - 36 '!$E$10:$BF$250,239,FALSE)</f>
        <v>10187095.378382446</v>
      </c>
      <c r="G28" s="1124">
        <f t="shared" si="0"/>
        <v>17914509.051738873</v>
      </c>
      <c r="H28" s="1129">
        <f>HLOOKUP($B28,'SEF-30 pg 2 - 36 '!$E$10:$BF$311,300,FALSE)</f>
        <v>0</v>
      </c>
    </row>
    <row r="29" spans="1:8" x14ac:dyDescent="0.25">
      <c r="A29" s="1123" t="s">
        <v>687</v>
      </c>
      <c r="B29" s="1117" t="s">
        <v>688</v>
      </c>
      <c r="C29" s="1124">
        <f>HLOOKUP($B29,'SEF-30 pg 2 - 36 '!$E$10:$BF$67,56,FALSE)</f>
        <v>56187.598421933384</v>
      </c>
      <c r="D29" s="1125">
        <f>HLOOKUP($B29,'SEF-30 pg 2 - 36 '!$E$10:$BF$128,117,FALSE)</f>
        <v>-2863.5233058697809</v>
      </c>
      <c r="E29" s="1125">
        <f>HLOOKUP($B29,'SEF-30 pg 2 - 36 '!$E$10:$BF$189,178,FALSE)</f>
        <v>2866.9986285118039</v>
      </c>
      <c r="F29" s="1126">
        <f>HLOOKUP($B29,'SEF-30 pg 2 - 36 '!$E$10:$BF$250,239,FALSE)</f>
        <v>-304419.85893012804</v>
      </c>
      <c r="G29" s="1124">
        <f t="shared" si="0"/>
        <v>-248228.78518555264</v>
      </c>
      <c r="H29" s="1126">
        <f>HLOOKUP($B29,'SEF-30 pg 2 - 36 '!$E$10:$BF$311,300,FALSE)</f>
        <v>-521904.03718473646</v>
      </c>
    </row>
    <row r="30" spans="1:8" x14ac:dyDescent="0.25">
      <c r="A30" s="1123" t="s">
        <v>689</v>
      </c>
      <c r="B30" s="1117" t="s">
        <v>690</v>
      </c>
      <c r="C30" s="1127">
        <f>HLOOKUP($B30,'SEF-30 pg 2 - 36 '!$E$10:$BF$67,56,FALSE)</f>
        <v>0</v>
      </c>
      <c r="D30" s="1128">
        <f>HLOOKUP($B30,'SEF-30 pg 2 - 36 '!$E$10:$BF$128,117,FALSE)</f>
        <v>0</v>
      </c>
      <c r="E30" s="1128">
        <f>HLOOKUP($B30,'SEF-30 pg 2 - 36 '!$E$10:$BF$189,178,FALSE)</f>
        <v>0</v>
      </c>
      <c r="F30" s="1129">
        <f>HLOOKUP($B30,'SEF-30 pg 2 - 36 '!$E$10:$BF$250,239,FALSE)</f>
        <v>0</v>
      </c>
      <c r="G30" s="1127">
        <f t="shared" si="0"/>
        <v>0</v>
      </c>
      <c r="H30" s="1129">
        <f>HLOOKUP($B30,'SEF-30 pg 2 - 36 '!$E$10:$BF$311,300,FALSE)</f>
        <v>0</v>
      </c>
    </row>
    <row r="31" spans="1:8" x14ac:dyDescent="0.25">
      <c r="A31" s="1123" t="s">
        <v>691</v>
      </c>
      <c r="B31" s="1117" t="s">
        <v>692</v>
      </c>
      <c r="C31" s="1127">
        <f>HLOOKUP($B31,'SEF-30 pg 2 - 36 '!$E$10:$BF$67,56,FALSE)</f>
        <v>0</v>
      </c>
      <c r="D31" s="1125">
        <f>HLOOKUP($B31,'SEF-30 pg 2 - 36 '!$E$10:$BF$128,117,FALSE)</f>
        <v>-20572969.894432619</v>
      </c>
      <c r="E31" s="1125">
        <f>HLOOKUP($B31,'SEF-30 pg 2 - 36 '!$E$10:$BF$189,178,FALSE)</f>
        <v>-43195051.979830094</v>
      </c>
      <c r="F31" s="1126">
        <f>HLOOKUP($B31,'SEF-30 pg 2 - 36 '!$E$10:$BF$250,239,FALSE)</f>
        <v>-25367390.955315989</v>
      </c>
      <c r="G31" s="1124">
        <f t="shared" si="0"/>
        <v>-89135412.829578698</v>
      </c>
      <c r="H31" s="1126">
        <f>HLOOKUP($B31,'SEF-30 pg 2 - 36 '!$E$10:$BF$311,300,FALSE)</f>
        <v>-60629149.455882497</v>
      </c>
    </row>
    <row r="32" spans="1:8" x14ac:dyDescent="0.25">
      <c r="A32" s="1123" t="s">
        <v>693</v>
      </c>
      <c r="B32" s="1117" t="s">
        <v>694</v>
      </c>
      <c r="C32" s="1127">
        <f>HLOOKUP($B32,'SEF-30 pg 2 - 36 '!$E$10:$BF$67,56,FALSE)</f>
        <v>0</v>
      </c>
      <c r="D32" s="1125">
        <f>HLOOKUP($B32,'SEF-30 pg 2 - 36 '!$E$10:$BF$128,117,FALSE)</f>
        <v>-166162.49791811843</v>
      </c>
      <c r="E32" s="1125">
        <f>HLOOKUP($B32,'SEF-30 pg 2 - 36 '!$E$10:$BF$189,178,FALSE)</f>
        <v>-1458129.674320441</v>
      </c>
      <c r="F32" s="1126">
        <f>HLOOKUP($B32,'SEF-30 pg 2 - 36 '!$E$10:$BF$250,239,FALSE)</f>
        <v>-1666053.4777948158</v>
      </c>
      <c r="G32" s="1124">
        <f t="shared" si="0"/>
        <v>-3290345.6500333752</v>
      </c>
      <c r="H32" s="1126">
        <f>HLOOKUP($B32,'SEF-30 pg 2 - 36 '!$E$10:$BF$311,300,FALSE)</f>
        <v>-1368769.5637109142</v>
      </c>
    </row>
    <row r="33" spans="1:8" x14ac:dyDescent="0.25">
      <c r="A33" s="1123" t="s">
        <v>695</v>
      </c>
      <c r="B33" s="1117" t="s">
        <v>696</v>
      </c>
      <c r="C33" s="1127">
        <f>HLOOKUP($B33,'SEF-30 pg 2 - 36 '!$E$10:$BF$67,56,FALSE)</f>
        <v>0</v>
      </c>
      <c r="D33" s="1125">
        <f>HLOOKUP($B33,'SEF-30 pg 2 - 36 '!$E$10:$BF$128,117,FALSE)</f>
        <v>23412255.133545168</v>
      </c>
      <c r="E33" s="1125">
        <f>HLOOKUP($B33,'SEF-30 pg 2 - 36 '!$E$10:$BF$189,178,FALSE)</f>
        <v>58573596.107671</v>
      </c>
      <c r="F33" s="1126">
        <f>HLOOKUP($B33,'SEF-30 pg 2 - 36 '!$E$10:$BF$250,239,FALSE)</f>
        <v>36503983.273291655</v>
      </c>
      <c r="G33" s="1124">
        <f t="shared" si="0"/>
        <v>118489834.51450783</v>
      </c>
      <c r="H33" s="1126">
        <f>HLOOKUP($B33,'SEF-30 pg 2 - 36 '!$E$10:$BF$311,300,FALSE)</f>
        <v>72113621.588452294</v>
      </c>
    </row>
    <row r="34" spans="1:8" x14ac:dyDescent="0.25">
      <c r="A34" s="1123" t="s">
        <v>697</v>
      </c>
      <c r="B34" s="1117" t="s">
        <v>698</v>
      </c>
      <c r="C34" s="1127">
        <f>HLOOKUP($B34,'SEF-30 pg 2 - 36 '!$E$10:$BF$67,56,FALSE)</f>
        <v>0</v>
      </c>
      <c r="D34" s="1125">
        <f>HLOOKUP($B34,'SEF-30 pg 2 - 36 '!$E$10:$BF$128,117,FALSE)</f>
        <v>5293313.8817597851</v>
      </c>
      <c r="E34" s="1125">
        <f>HLOOKUP($B34,'SEF-30 pg 2 - 36 '!$E$10:$BF$189,178,FALSE)</f>
        <v>15111219.235033438</v>
      </c>
      <c r="F34" s="1126">
        <f>HLOOKUP($B34,'SEF-30 pg 2 - 36 '!$E$10:$BF$250,239,FALSE)</f>
        <v>9835218.5016315319</v>
      </c>
      <c r="G34" s="1124">
        <f t="shared" si="0"/>
        <v>30239751.618424755</v>
      </c>
      <c r="H34" s="1126">
        <f>HLOOKUP($B34,'SEF-30 pg 2 - 36 '!$E$10:$BF$311,300,FALSE)</f>
        <v>17690610.788210344</v>
      </c>
    </row>
    <row r="35" spans="1:8" x14ac:dyDescent="0.25">
      <c r="A35" s="1123" t="s">
        <v>699</v>
      </c>
      <c r="B35" s="1117" t="s">
        <v>700</v>
      </c>
      <c r="C35" s="1127">
        <f>HLOOKUP($B35,'SEF-30 pg 2 - 36 '!$E$10:$BF$67,56,FALSE)</f>
        <v>0</v>
      </c>
      <c r="D35" s="1125">
        <f>HLOOKUP($B35,'SEF-30 pg 2 - 36 '!$E$10:$BF$128,117,FALSE)</f>
        <v>26364507.449731719</v>
      </c>
      <c r="E35" s="1125">
        <f>HLOOKUP($B35,'SEF-30 pg 2 - 36 '!$E$10:$BF$189,178,FALSE)</f>
        <v>25583417.127143353</v>
      </c>
      <c r="F35" s="1126">
        <f>HLOOKUP($B35,'SEF-30 pg 2 - 36 '!$E$10:$BF$250,239,FALSE)</f>
        <v>7006474.9816794265</v>
      </c>
      <c r="G35" s="1124">
        <f t="shared" si="0"/>
        <v>58954399.5585545</v>
      </c>
      <c r="H35" s="1126">
        <f>HLOOKUP($B35,'SEF-30 pg 2 - 36 '!$E$10:$BF$311,300,FALSE)</f>
        <v>55829738.287299901</v>
      </c>
    </row>
    <row r="36" spans="1:8" x14ac:dyDescent="0.25">
      <c r="A36" s="1123" t="s">
        <v>701</v>
      </c>
      <c r="B36" s="1117" t="s">
        <v>702</v>
      </c>
      <c r="C36" s="1127">
        <f>HLOOKUP($B36,'SEF-30 pg 2 - 36 '!$E$10:$BF$67,56,FALSE)</f>
        <v>0</v>
      </c>
      <c r="D36" s="1125">
        <f>HLOOKUP($B36,'SEF-30 pg 2 - 36 '!$E$10:$BF$128,117,FALSE)</f>
        <v>15051616.193297712</v>
      </c>
      <c r="E36" s="1125">
        <f>HLOOKUP($B36,'SEF-30 pg 2 - 36 '!$E$10:$BF$189,178,FALSE)</f>
        <v>35334085.504916795</v>
      </c>
      <c r="F36" s="1126">
        <f>HLOOKUP($B36,'SEF-30 pg 2 - 36 '!$E$10:$BF$250,239,FALSE)</f>
        <v>24830652.664264631</v>
      </c>
      <c r="G36" s="1124">
        <f t="shared" si="0"/>
        <v>75216354.362479135</v>
      </c>
      <c r="H36" s="1126">
        <f>HLOOKUP($B36,'SEF-30 pg 2 - 36 '!$E$10:$BF$311,300,FALSE)</f>
        <v>56010877.112561136</v>
      </c>
    </row>
    <row r="37" spans="1:8" x14ac:dyDescent="0.25">
      <c r="A37" s="1123" t="s">
        <v>703</v>
      </c>
      <c r="B37" s="1117" t="s">
        <v>704</v>
      </c>
      <c r="C37" s="1124">
        <f>HLOOKUP($B37,'SEF-30 pg 2 - 36 '!$E$10:$BF$67,56,FALSE)</f>
        <v>99816473.613555416</v>
      </c>
      <c r="D37" s="1128">
        <f>HLOOKUP($B37,'SEF-30 pg 2 - 36 '!$E$10:$BF$128,117,FALSE)</f>
        <v>0</v>
      </c>
      <c r="E37" s="1128">
        <f>HLOOKUP($B37,'SEF-30 pg 2 - 36 '!$E$10:$BF$189,178,FALSE)</f>
        <v>0</v>
      </c>
      <c r="F37" s="1129">
        <f>HLOOKUP($B37,'SEF-30 pg 2 - 36 '!$E$10:$BF$250,239,FALSE)</f>
        <v>0</v>
      </c>
      <c r="G37" s="1124">
        <f t="shared" si="0"/>
        <v>99816473.613555416</v>
      </c>
      <c r="H37" s="1129">
        <f>HLOOKUP($B37,'SEF-30 pg 2 - 36 '!$E$10:$BF$311,300,FALSE)</f>
        <v>0</v>
      </c>
    </row>
    <row r="38" spans="1:8" x14ac:dyDescent="0.25">
      <c r="A38" s="1123" t="s">
        <v>705</v>
      </c>
      <c r="B38" s="1117" t="s">
        <v>706</v>
      </c>
      <c r="C38" s="1124">
        <f>HLOOKUP($B38,'SEF-30 pg 2 - 36 '!$E$10:$BF$67,56,FALSE)</f>
        <v>5724392.7057531876</v>
      </c>
      <c r="D38" s="1128">
        <f>HLOOKUP($B38,'SEF-30 pg 2 - 36 '!$E$10:$BF$128,117,FALSE)</f>
        <v>0</v>
      </c>
      <c r="E38" s="1128">
        <f>HLOOKUP($B38,'SEF-30 pg 2 - 36 '!$E$10:$BF$189,178,FALSE)</f>
        <v>0</v>
      </c>
      <c r="F38" s="1126">
        <f>HLOOKUP($B38,'SEF-30 pg 2 - 36 '!$E$10:$BF$250,239,FALSE)</f>
        <v>10796457.520730376</v>
      </c>
      <c r="G38" s="1124">
        <f t="shared" si="0"/>
        <v>16520850.226483565</v>
      </c>
      <c r="H38" s="1129">
        <f>HLOOKUP($B38,'SEF-30 pg 2 - 36 '!$E$10:$BF$311,300,FALSE)</f>
        <v>0</v>
      </c>
    </row>
    <row r="39" spans="1:8" x14ac:dyDescent="0.25">
      <c r="A39" s="1123" t="s">
        <v>707</v>
      </c>
      <c r="B39" s="1117" t="s">
        <v>708</v>
      </c>
      <c r="C39" s="1124">
        <f>HLOOKUP($B39,'SEF-30 pg 2 - 36 '!$E$10:$BF$67,56,FALSE)</f>
        <v>-134600.08554034986</v>
      </c>
      <c r="D39" s="1128">
        <f>HLOOKUP($B39,'SEF-30 pg 2 - 36 '!$E$10:$BF$128,117,FALSE)</f>
        <v>0</v>
      </c>
      <c r="E39" s="1128">
        <f>HLOOKUP($B39,'SEF-30 pg 2 - 36 '!$E$10:$BF$189,178,FALSE)</f>
        <v>0</v>
      </c>
      <c r="F39" s="1126">
        <f>HLOOKUP($B39,'SEF-30 pg 2 - 36 '!$E$10:$BF$250,239,FALSE)</f>
        <v>145258.7062621665</v>
      </c>
      <c r="G39" s="1124">
        <f t="shared" si="0"/>
        <v>10658.620721816638</v>
      </c>
      <c r="H39" s="1129">
        <f>HLOOKUP($B39,'SEF-30 pg 2 - 36 '!$E$10:$BF$311,300,FALSE)</f>
        <v>0</v>
      </c>
    </row>
    <row r="40" spans="1:8" x14ac:dyDescent="0.25">
      <c r="A40" s="1123">
        <v>6.36</v>
      </c>
      <c r="B40" s="1117" t="s">
        <v>709</v>
      </c>
      <c r="C40" s="1124">
        <f>HLOOKUP($B40,'SEF-30 pg 2 - 36 '!$E$10:$BF$67,56,FALSE)</f>
        <v>145998.88357851788</v>
      </c>
      <c r="D40" s="1125">
        <f>HLOOKUP($B40,'SEF-30 pg 2 - 36 '!$E$10:$BF$128,117,FALSE)</f>
        <v>294538.90738591622</v>
      </c>
      <c r="E40" s="1125">
        <f>HLOOKUP($B40,'SEF-30 pg 2 - 36 '!$E$10:$BF$189,178,FALSE)</f>
        <v>913318.81316361227</v>
      </c>
      <c r="F40" s="1126">
        <f>HLOOKUP($B40,'SEF-30 pg 2 - 36 '!$E$10:$BF$250,239,FALSE)</f>
        <v>7592530.4754150966</v>
      </c>
      <c r="G40" s="1124">
        <f t="shared" si="0"/>
        <v>8946387.0795431435</v>
      </c>
      <c r="H40" s="1126">
        <f>HLOOKUP($B40,'SEF-30 pg 2 - 36 '!$E$10:$BF$311,300,FALSE)</f>
        <v>-630770.14295364334</v>
      </c>
    </row>
    <row r="41" spans="1:8" x14ac:dyDescent="0.25">
      <c r="A41" s="1123" t="s">
        <v>710</v>
      </c>
      <c r="B41" s="1117" t="s">
        <v>134</v>
      </c>
      <c r="C41" s="1127">
        <f>HLOOKUP($B41,'SEF-30 pg 2 - 36 '!$E$10:$BF$67,56,FALSE)</f>
        <v>0</v>
      </c>
      <c r="D41" s="1128">
        <f>HLOOKUP($B41,'SEF-30 pg 2 - 36 '!$E$10:$BF$128,117,FALSE)</f>
        <v>0</v>
      </c>
      <c r="E41" s="1128">
        <f>HLOOKUP($B41,'SEF-30 pg 2 - 36 '!$E$10:$BF$189,178,FALSE)</f>
        <v>0</v>
      </c>
      <c r="F41" s="1126">
        <f>HLOOKUP($B41,'SEF-30 pg 2 - 36 '!$E$10:$BF$250,239,FALSE)</f>
        <v>592715.18994766613</v>
      </c>
      <c r="G41" s="1124">
        <f t="shared" si="0"/>
        <v>592715.18994766613</v>
      </c>
      <c r="H41" s="1126">
        <f>HLOOKUP($B41,'SEF-30 pg 2 - 36 '!$E$10:$BF$311,300,FALSE)</f>
        <v>20745.031648168071</v>
      </c>
    </row>
    <row r="42" spans="1:8" x14ac:dyDescent="0.25">
      <c r="A42" s="1123" t="s">
        <v>725</v>
      </c>
      <c r="B42" s="1117" t="s">
        <v>722</v>
      </c>
      <c r="C42" s="1127">
        <f>HLOOKUP($B42,'SEF-30 pg 2 - 36 '!$E$10:$BF$67,56,FALSE)</f>
        <v>0</v>
      </c>
      <c r="D42" s="1128">
        <f>HLOOKUP($B42,'SEF-30 pg 2 - 36 '!$E$10:$BF$128,117,FALSE)</f>
        <v>0</v>
      </c>
      <c r="E42" s="1128">
        <f>HLOOKUP($B42,'SEF-30 pg 2 - 36 '!$E$10:$BF$189,178,FALSE)</f>
        <v>0</v>
      </c>
      <c r="F42" s="1126">
        <f>HLOOKUP($B42,'SEF-30 pg 2 - 36 '!$E$10:$BF$250,239,FALSE)</f>
        <v>2672937.3962248988</v>
      </c>
      <c r="G42" s="1124">
        <f t="shared" si="0"/>
        <v>2672937.3962248988</v>
      </c>
      <c r="H42" s="1126">
        <f>HLOOKUP($B42,'SEF-30 pg 2 - 36 '!$E$10:$BF$311,300,FALSE)</f>
        <v>1335707.5745274962</v>
      </c>
    </row>
    <row r="43" spans="1:8" x14ac:dyDescent="0.25">
      <c r="A43" s="1123">
        <v>6.38</v>
      </c>
      <c r="B43" s="1117" t="s">
        <v>711</v>
      </c>
      <c r="C43" s="1124">
        <f>HLOOKUP($B43,'SEF-30 pg 2 - 36 '!$E$10:$BF$67,56,FALSE)</f>
        <v>-1202972.1970360975</v>
      </c>
      <c r="D43" s="1128">
        <f>HLOOKUP($B43,'SEF-30 pg 2 - 36 '!$E$10:$BF$128,117,FALSE)</f>
        <v>0</v>
      </c>
      <c r="E43" s="1128">
        <f>HLOOKUP($B43,'SEF-30 pg 2 - 36 '!$E$10:$BF$189,178,FALSE)</f>
        <v>0</v>
      </c>
      <c r="F43" s="1126">
        <f>HLOOKUP($B43,'SEF-30 pg 2 - 36 '!$E$10:$BF$250,239,FALSE)</f>
        <v>145490146.68608344</v>
      </c>
      <c r="G43" s="1124">
        <f t="shared" si="0"/>
        <v>144287174.48904735</v>
      </c>
      <c r="H43" s="1126">
        <f>HLOOKUP($B43,'SEF-30 pg 2 - 36 '!$E$10:$BF$311,300,FALSE)</f>
        <v>34551386.819238655</v>
      </c>
    </row>
    <row r="44" spans="1:8" x14ac:dyDescent="0.25">
      <c r="A44" s="1123">
        <v>6.39</v>
      </c>
      <c r="B44" s="1117" t="s">
        <v>712</v>
      </c>
      <c r="C44" s="1124">
        <f>HLOOKUP($B44,'SEF-30 pg 2 - 36 '!$E$10:$BF$67,56,FALSE)</f>
        <v>-345430.22143267089</v>
      </c>
      <c r="D44" s="1125">
        <f>HLOOKUP($B44,'SEF-30 pg 2 - 36 '!$E$10:$BF$128,117,FALSE)</f>
        <v>5458.252468611985</v>
      </c>
      <c r="E44" s="1125">
        <f>HLOOKUP($B44,'SEF-30 pg 2 - 36 '!$E$10:$BF$189,178,FALSE)</f>
        <v>8745.3266622077463</v>
      </c>
      <c r="F44" s="1126">
        <f>HLOOKUP($B44,'SEF-30 pg 2 - 36 '!$E$10:$BF$250,239,FALSE)</f>
        <v>4372.663331103885</v>
      </c>
      <c r="G44" s="1124">
        <f t="shared" si="0"/>
        <v>-326853.97897074732</v>
      </c>
      <c r="H44" s="1126">
        <f>HLOOKUP($B44,'SEF-30 pg 2 - 36 '!$E$10:$BF$311,300,FALSE)</f>
        <v>4567.0039235974245</v>
      </c>
    </row>
    <row r="45" spans="1:8" x14ac:dyDescent="0.25">
      <c r="A45" s="1123">
        <v>6.4</v>
      </c>
      <c r="B45" s="1117" t="s">
        <v>713</v>
      </c>
      <c r="C45" s="1124">
        <f>HLOOKUP($B45,'SEF-30 pg 2 - 36 '!$E$10:$BF$67,56,FALSE)</f>
        <v>1545565.728965</v>
      </c>
      <c r="D45" s="1128">
        <f>HLOOKUP($B45,'SEF-30 pg 2 - 36 '!$E$10:$BF$128,117,FALSE)</f>
        <v>0</v>
      </c>
      <c r="E45" s="1128">
        <f>HLOOKUP($B45,'SEF-30 pg 2 - 36 '!$E$10:$BF$189,178,FALSE)</f>
        <v>0</v>
      </c>
      <c r="F45" s="1126">
        <f>HLOOKUP($B45,'SEF-30 pg 2 - 36 '!$E$10:$BF$250,239,FALSE)</f>
        <v>1075066.893597309</v>
      </c>
      <c r="G45" s="1124">
        <f t="shared" si="0"/>
        <v>2620632.6225623088</v>
      </c>
      <c r="H45" s="1129">
        <f>HLOOKUP($B45,'SEF-30 pg 2 - 36 '!$E$10:$BF$311,300,FALSE)</f>
        <v>0</v>
      </c>
    </row>
    <row r="46" spans="1:8" x14ac:dyDescent="0.25">
      <c r="A46" s="1123">
        <v>6.41</v>
      </c>
      <c r="B46" s="1117" t="s">
        <v>714</v>
      </c>
      <c r="C46" s="1127">
        <f>HLOOKUP($B46,'SEF-30 pg 2 - 36 '!$E$10:$BF$67,56,FALSE)</f>
        <v>0</v>
      </c>
      <c r="D46" s="1125">
        <f>HLOOKUP($B46,'SEF-30 pg 2 - 36 '!$E$10:$BF$128,117,FALSE)</f>
        <v>10260618.853420237</v>
      </c>
      <c r="E46" s="1125">
        <f>HLOOKUP($B46,'SEF-30 pg 2 - 36 '!$E$10:$BF$189,178,FALSE)</f>
        <v>-9357732.7030731142</v>
      </c>
      <c r="F46" s="1126">
        <f>HLOOKUP($B46,'SEF-30 pg 2 - 36 '!$E$10:$BF$250,239,FALSE)</f>
        <v>-4232354.4271416049</v>
      </c>
      <c r="G46" s="1124">
        <f t="shared" si="0"/>
        <v>-3329468.276794482</v>
      </c>
      <c r="H46" s="1126">
        <f>HLOOKUP($B46,'SEF-30 pg 2 - 36 '!$E$10:$BF$311,300,FALSE)</f>
        <v>-11878214.294007465</v>
      </c>
    </row>
    <row r="47" spans="1:8" x14ac:dyDescent="0.25">
      <c r="A47" s="1123">
        <v>6.42</v>
      </c>
      <c r="B47" s="1117" t="s">
        <v>715</v>
      </c>
      <c r="C47" s="1124">
        <f>HLOOKUP($B47,'SEF-30 pg 2 - 36 '!$E$10:$BF$67,56,FALSE)</f>
        <v>-133609.74064735524</v>
      </c>
      <c r="D47" s="1128">
        <f>HLOOKUP($B47,'SEF-30 pg 2 - 36 '!$E$10:$BF$128,117,FALSE)</f>
        <v>0</v>
      </c>
      <c r="E47" s="1128">
        <f>HLOOKUP($B47,'SEF-30 pg 2 - 36 '!$E$10:$BF$189,178,FALSE)</f>
        <v>0</v>
      </c>
      <c r="F47" s="1129">
        <f>HLOOKUP($B47,'SEF-30 pg 2 - 36 '!$E$10:$BF$250,239,FALSE)</f>
        <v>0</v>
      </c>
      <c r="G47" s="1124">
        <f t="shared" si="0"/>
        <v>-133609.74064735524</v>
      </c>
      <c r="H47" s="1129">
        <f>HLOOKUP($B47,'SEF-30 pg 2 - 36 '!$E$10:$BF$311,300,FALSE)</f>
        <v>0</v>
      </c>
    </row>
    <row r="48" spans="1:8" x14ac:dyDescent="0.25">
      <c r="A48" s="1123">
        <v>6.43</v>
      </c>
      <c r="B48" s="1117" t="s">
        <v>716</v>
      </c>
      <c r="C48" s="1124">
        <f>HLOOKUP($B48,'SEF-30 pg 2 - 36 '!$E$10:$BF$67,56,FALSE)</f>
        <v>6876233.9533702889</v>
      </c>
      <c r="D48" s="1128">
        <f>HLOOKUP($B48,'SEF-30 pg 2 - 36 '!$E$10:$BF$128,117,FALSE)</f>
        <v>0</v>
      </c>
      <c r="E48" s="1128">
        <f>HLOOKUP($B48,'SEF-30 pg 2 - 36 '!$E$10:$BF$189,178,FALSE)</f>
        <v>0</v>
      </c>
      <c r="F48" s="1126">
        <f>HLOOKUP($B48,'SEF-30 pg 2 - 36 '!$E$10:$BF$250,239,FALSE)</f>
        <v>-5588731.72335923</v>
      </c>
      <c r="G48" s="1124">
        <f t="shared" si="0"/>
        <v>1287502.230011059</v>
      </c>
      <c r="H48" s="1126">
        <f>HLOOKUP($B48,'SEF-30 pg 2 - 36 '!$E$10:$BF$311,300,FALSE)</f>
        <v>-10445215.247046752</v>
      </c>
    </row>
    <row r="49" spans="1:8" x14ac:dyDescent="0.25">
      <c r="A49" s="1123">
        <v>6.44</v>
      </c>
      <c r="B49" s="1117" t="s">
        <v>717</v>
      </c>
      <c r="C49" s="1124">
        <f>HLOOKUP($B49,'SEF-30 pg 2 - 36 '!$E$10:$BF$67,56,FALSE)</f>
        <v>-27504346.142448019</v>
      </c>
      <c r="D49" s="1128">
        <f>HLOOKUP($B49,'SEF-30 pg 2 - 36 '!$E$10:$BF$128,117,FALSE)</f>
        <v>0</v>
      </c>
      <c r="E49" s="1128">
        <f>HLOOKUP($B49,'SEF-30 pg 2 - 36 '!$E$10:$BF$189,178,FALSE)</f>
        <v>0</v>
      </c>
      <c r="F49" s="1129">
        <f>HLOOKUP($B49,'SEF-30 pg 2 - 36 '!$E$10:$BF$250,239,FALSE)</f>
        <v>0</v>
      </c>
      <c r="G49" s="1124">
        <f t="shared" si="0"/>
        <v>-27504346.142448019</v>
      </c>
      <c r="H49" s="1129">
        <f>HLOOKUP($B49,'SEF-30 pg 2 - 36 '!$E$10:$BF$311,300,FALSE)</f>
        <v>0</v>
      </c>
    </row>
    <row r="50" spans="1:8" x14ac:dyDescent="0.25">
      <c r="A50" s="1123">
        <v>6.45</v>
      </c>
      <c r="B50" s="1117" t="s">
        <v>718</v>
      </c>
      <c r="C50" s="1124">
        <f>HLOOKUP($B50,'SEF-30 pg 2 - 36 '!$E$10:$BF$67,56,FALSE)</f>
        <v>-930822.1895931469</v>
      </c>
      <c r="D50" s="1125">
        <f>HLOOKUP($B50,'SEF-30 pg 2 - 36 '!$E$10:$BF$128,117,FALSE)</f>
        <v>-293631.39220250503</v>
      </c>
      <c r="E50" s="1125">
        <f>HLOOKUP($B50,'SEF-30 pg 2 - 36 '!$E$10:$BF$189,178,FALSE)</f>
        <v>-587262.78440501005</v>
      </c>
      <c r="F50" s="1126">
        <f>HLOOKUP($B50,'SEF-30 pg 2 - 36 '!$E$10:$BF$250,239,FALSE)</f>
        <v>-293631.39220250526</v>
      </c>
      <c r="G50" s="1124">
        <f t="shared" si="0"/>
        <v>-2105347.7584031671</v>
      </c>
      <c r="H50" s="1126">
        <f>HLOOKUP($B50,'SEF-30 pg 2 - 36 '!$E$10:$BF$311,300,FALSE)</f>
        <v>-613363.35260080325</v>
      </c>
    </row>
    <row r="51" spans="1:8" x14ac:dyDescent="0.25">
      <c r="A51" s="1123">
        <v>6.46</v>
      </c>
      <c r="B51" s="1117" t="s">
        <v>719</v>
      </c>
      <c r="C51" s="1124">
        <f>HLOOKUP($B51,'SEF-30 pg 2 - 36 '!$E$10:$BF$67,56,FALSE)</f>
        <v>-52716.879907220973</v>
      </c>
      <c r="D51" s="1128">
        <f>HLOOKUP($B51,'SEF-30 pg 2 - 36 '!$E$10:$BF$128,117,FALSE)</f>
        <v>0</v>
      </c>
      <c r="E51" s="1128">
        <f>HLOOKUP($B51,'SEF-30 pg 2 - 36 '!$E$10:$BF$189,178,FALSE)</f>
        <v>0</v>
      </c>
      <c r="F51" s="1129">
        <f>HLOOKUP($B51,'SEF-30 pg 2 - 36 '!$E$10:$BF$250,239,FALSE)</f>
        <v>0</v>
      </c>
      <c r="G51" s="1124">
        <f t="shared" si="0"/>
        <v>-52716.879907220973</v>
      </c>
      <c r="H51" s="1129">
        <f>HLOOKUP($B51,'SEF-30 pg 2 - 36 '!$E$10:$BF$311,300,FALSE)</f>
        <v>0</v>
      </c>
    </row>
    <row r="52" spans="1:8" x14ac:dyDescent="0.25">
      <c r="A52" s="1123">
        <v>6.47</v>
      </c>
      <c r="B52" s="1117" t="s">
        <v>720</v>
      </c>
      <c r="C52" s="1127">
        <f>HLOOKUP($B52,'SEF-30 pg 2 - 36 '!$E$10:$BF$67,56,FALSE)</f>
        <v>0</v>
      </c>
      <c r="D52" s="1125">
        <f>HLOOKUP($B52,'SEF-30 pg 2 - 36 '!$E$10:$BF$128,117,FALSE)</f>
        <v>69505.728037381923</v>
      </c>
      <c r="E52" s="1128">
        <f>HLOOKUP($B52,'SEF-30 pg 2 - 36 '!$E$10:$BF$189,178,FALSE)</f>
        <v>0</v>
      </c>
      <c r="F52" s="1126">
        <f>HLOOKUP($B52,'SEF-30 pg 2 - 36 '!$E$10:$BF$250,239,FALSE)</f>
        <v>898692.85456842103</v>
      </c>
      <c r="G52" s="1124">
        <f t="shared" si="0"/>
        <v>968198.58260580292</v>
      </c>
      <c r="H52" s="1126">
        <f>HLOOKUP($B52,'SEF-30 pg 2 - 36 '!$E$10:$BF$311,300,FALSE)</f>
        <v>-36297.43575285501</v>
      </c>
    </row>
    <row r="53" spans="1:8" x14ac:dyDescent="0.25">
      <c r="A53" s="1123">
        <v>6.48</v>
      </c>
      <c r="B53" s="1117" t="s">
        <v>721</v>
      </c>
      <c r="C53" s="1124">
        <f>HLOOKUP($B53,'SEF-30 pg 2 - 36 '!$E$10:$BF$67,56,FALSE)</f>
        <v>2223526.4135061814</v>
      </c>
      <c r="D53" s="1128">
        <f>HLOOKUP($B53,'SEF-30 pg 2 - 36 '!$E$10:$BF$128,117,FALSE)</f>
        <v>0</v>
      </c>
      <c r="E53" s="1128">
        <f>HLOOKUP($B53,'SEF-30 pg 2 - 36 '!$E$10:$BF$189,178,FALSE)</f>
        <v>0</v>
      </c>
      <c r="F53" s="1126">
        <f>HLOOKUP($B53,'SEF-30 pg 2 - 36 '!$E$10:$BF$250,239,FALSE)</f>
        <v>1603183.8076855405</v>
      </c>
      <c r="G53" s="1124">
        <f t="shared" si="0"/>
        <v>3826710.221191722</v>
      </c>
      <c r="H53" s="1129">
        <f>HLOOKUP($B53,'SEF-30 pg 2 - 36 '!$E$10:$BF$311,300,FALSE)</f>
        <v>0</v>
      </c>
    </row>
    <row r="54" spans="1:8" x14ac:dyDescent="0.25">
      <c r="A54" s="1142"/>
      <c r="B54" s="1117" t="s">
        <v>726</v>
      </c>
      <c r="C54" s="1127"/>
      <c r="D54" s="1128"/>
      <c r="E54" s="1128"/>
      <c r="F54" s="1129"/>
      <c r="G54" s="1143"/>
      <c r="H54" s="1130">
        <f>'SEF-30 pg 2 - 36 '!BH309-SUM('SEF-37 pg 2'!H5:H53,'SEF-37 pg 2'!G55)</f>
        <v>29928155.906356335</v>
      </c>
    </row>
    <row r="55" spans="1:8" x14ac:dyDescent="0.25">
      <c r="A55" s="1116"/>
      <c r="B55" s="1117" t="s">
        <v>723</v>
      </c>
      <c r="C55" s="1141">
        <f>SUM(C4:C53)</f>
        <v>163690004.32284188</v>
      </c>
      <c r="D55" s="1119">
        <f>SUM(D4:D53)</f>
        <v>472681899.26506335</v>
      </c>
      <c r="E55" s="1119">
        <f>SUM(E4:E53)</f>
        <v>540370262.49228716</v>
      </c>
      <c r="F55" s="1120">
        <f>SUM(F4:F53)</f>
        <v>784768475.1075865</v>
      </c>
      <c r="G55" s="1124">
        <f>SUM(G4:G54)</f>
        <v>784768475.10758662</v>
      </c>
      <c r="H55" s="1126">
        <f>SUM(H4:H54)</f>
        <v>169987769.85448411</v>
      </c>
    </row>
    <row r="56" spans="1:8" x14ac:dyDescent="0.25">
      <c r="A56" s="1116"/>
      <c r="B56" s="1117" t="s">
        <v>727</v>
      </c>
      <c r="C56" s="1116"/>
      <c r="D56" s="99"/>
      <c r="E56" s="99"/>
      <c r="F56" s="1117"/>
      <c r="G56" s="1144">
        <f>'SEF-29 pg 1-2'!C39</f>
        <v>-392046221.33914036</v>
      </c>
      <c r="H56" s="1145">
        <f>'SEF-29 pg 1-2'!D39</f>
        <v>25292882.794353902</v>
      </c>
    </row>
    <row r="57" spans="1:8" x14ac:dyDescent="0.25">
      <c r="A57" s="1132"/>
      <c r="B57" s="1133" t="s">
        <v>728</v>
      </c>
      <c r="C57" s="1132"/>
      <c r="D57" s="1146"/>
      <c r="E57" s="1146"/>
      <c r="F57" s="1133"/>
      <c r="G57" s="1147">
        <f>SUM(G55:G56)</f>
        <v>392722253.76844627</v>
      </c>
      <c r="H57" s="1148">
        <f>SUM(H55:H56)</f>
        <v>195280652.64883801</v>
      </c>
    </row>
    <row r="58" spans="1:8" x14ac:dyDescent="0.25">
      <c r="A58" s="65" t="s">
        <v>30</v>
      </c>
    </row>
    <row r="61" spans="1:8" x14ac:dyDescent="0.25">
      <c r="B61"/>
      <c r="C61"/>
      <c r="G61"/>
      <c r="H61"/>
    </row>
    <row r="62" spans="1:8" x14ac:dyDescent="0.25">
      <c r="B62"/>
      <c r="C62"/>
      <c r="G62"/>
      <c r="H62"/>
    </row>
    <row r="63" spans="1:8" x14ac:dyDescent="0.25">
      <c r="B63"/>
      <c r="C63"/>
      <c r="G63"/>
      <c r="H63"/>
    </row>
    <row r="64" spans="1:8" x14ac:dyDescent="0.25">
      <c r="G64"/>
      <c r="H64"/>
    </row>
  </sheetData>
  <printOptions horizontalCentered="1"/>
  <pageMargins left="0.45" right="0.45" top="0.5" bottom="0.5" header="0.3" footer="0.3"/>
  <pageSetup scale="64" orientation="landscape" horizontalDpi="4294967293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1"/>
  <sheetViews>
    <sheetView workbookViewId="0">
      <pane xSplit="2" ySplit="3" topLeftCell="C10" activePane="bottomRight" state="frozen"/>
      <selection sqref="A1:M83"/>
      <selection pane="topRight" sqref="A1:M83"/>
      <selection pane="bottomLeft" sqref="A1:M83"/>
      <selection pane="bottomRight" activeCell="O15" sqref="O15"/>
    </sheetView>
  </sheetViews>
  <sheetFormatPr defaultColWidth="9.140625" defaultRowHeight="15" outlineLevelCol="1" x14ac:dyDescent="0.25"/>
  <cols>
    <col min="1" max="1" width="9.140625" style="19"/>
    <col min="2" max="2" width="48.85546875" style="19" bestFit="1" customWidth="1"/>
    <col min="3" max="3" width="15" style="19" customWidth="1" outlineLevel="1"/>
    <col min="4" max="4" width="13.7109375" style="19" customWidth="1" outlineLevel="1" collapsed="1"/>
    <col min="5" max="5" width="13.7109375" style="19" customWidth="1" outlineLevel="1"/>
    <col min="6" max="6" width="14.28515625" style="19" customWidth="1" outlineLevel="1"/>
    <col min="7" max="7" width="14.28515625" style="19" customWidth="1"/>
    <col min="8" max="8" width="15" style="19" customWidth="1"/>
    <col min="9" max="9" width="15" style="19" customWidth="1" outlineLevel="1"/>
    <col min="10" max="10" width="15.28515625" style="19" customWidth="1" outlineLevel="1" collapsed="1"/>
    <col min="11" max="12" width="15.28515625" style="19" customWidth="1" outlineLevel="1"/>
    <col min="13" max="13" width="15.28515625" style="19" bestFit="1" customWidth="1"/>
    <col min="14" max="14" width="16" style="19" bestFit="1" customWidth="1" collapsed="1"/>
    <col min="16" max="16" width="85.28515625" bestFit="1" customWidth="1"/>
    <col min="17" max="17" width="17.42578125" bestFit="1" customWidth="1"/>
  </cols>
  <sheetData>
    <row r="1" spans="1:17" x14ac:dyDescent="0.25">
      <c r="A1" s="1106" t="s">
        <v>619</v>
      </c>
    </row>
    <row r="2" spans="1:17" x14ac:dyDescent="0.25">
      <c r="A2" s="1107"/>
      <c r="B2" s="1108"/>
      <c r="C2" s="1109" t="s">
        <v>1038</v>
      </c>
      <c r="D2" s="1110"/>
      <c r="E2" s="1110"/>
      <c r="F2" s="1140"/>
      <c r="G2" s="1109" t="s">
        <v>1037</v>
      </c>
      <c r="H2" s="1140"/>
      <c r="I2" s="1109" t="s">
        <v>1036</v>
      </c>
      <c r="J2" s="1110"/>
      <c r="K2" s="1110"/>
      <c r="L2" s="1140"/>
      <c r="M2" s="1109" t="s">
        <v>1035</v>
      </c>
      <c r="N2" s="1140"/>
    </row>
    <row r="3" spans="1:17" ht="45" x14ac:dyDescent="0.25">
      <c r="A3" s="1113" t="s">
        <v>624</v>
      </c>
      <c r="B3" s="1114" t="s">
        <v>625</v>
      </c>
      <c r="C3" s="1113" t="s">
        <v>626</v>
      </c>
      <c r="D3" s="1115" t="s">
        <v>627</v>
      </c>
      <c r="E3" s="1115" t="s">
        <v>628</v>
      </c>
      <c r="F3" s="1114" t="s">
        <v>629</v>
      </c>
      <c r="G3" s="1113" t="s">
        <v>630</v>
      </c>
      <c r="H3" s="1114" t="s">
        <v>631</v>
      </c>
      <c r="I3" s="1113" t="s">
        <v>632</v>
      </c>
      <c r="J3" s="1115" t="s">
        <v>633</v>
      </c>
      <c r="K3" s="1115" t="s">
        <v>634</v>
      </c>
      <c r="L3" s="1115" t="s">
        <v>635</v>
      </c>
      <c r="M3" s="1113" t="s">
        <v>636</v>
      </c>
      <c r="N3" s="1114" t="s">
        <v>637</v>
      </c>
      <c r="P3" s="1780"/>
      <c r="Q3" s="1780"/>
    </row>
    <row r="4" spans="1:17" x14ac:dyDescent="0.25">
      <c r="A4" s="1116"/>
      <c r="B4" s="1117" t="s">
        <v>638</v>
      </c>
      <c r="C4" s="1118">
        <f>'SEF-34 pg 2-36'!D47</f>
        <v>182074206.58999991</v>
      </c>
      <c r="D4" s="1119">
        <f>C46</f>
        <v>212745192.52175143</v>
      </c>
      <c r="E4" s="1119">
        <f>D46</f>
        <v>134005551.37923259</v>
      </c>
      <c r="F4" s="1120">
        <f>E46</f>
        <v>118144365.03319801</v>
      </c>
      <c r="G4" s="1118">
        <f>C4</f>
        <v>182074206.58999991</v>
      </c>
      <c r="H4" s="1120">
        <f>G46</f>
        <v>30177041.730425157</v>
      </c>
      <c r="I4" s="1118">
        <f>'SEF-34 pg 2-36'!D49</f>
        <v>2948894387.0453196</v>
      </c>
      <c r="J4" s="1121">
        <f>I46</f>
        <v>2910473035.7707133</v>
      </c>
      <c r="K4" s="1121">
        <f>J46</f>
        <v>2802449377.1695065</v>
      </c>
      <c r="L4" s="1122">
        <f>K46</f>
        <v>2900790224.7216001</v>
      </c>
      <c r="M4" s="1118">
        <f>I4</f>
        <v>2948894387.0453196</v>
      </c>
      <c r="N4" s="1122">
        <f>M46</f>
        <v>2866503992.9496746</v>
      </c>
    </row>
    <row r="5" spans="1:17" x14ac:dyDescent="0.25">
      <c r="A5" s="1123" t="s">
        <v>639</v>
      </c>
      <c r="B5" s="1117" t="s">
        <v>640</v>
      </c>
      <c r="C5" s="1124">
        <f>HLOOKUP($B5,'SEF-34 pg 2-36'!$E$10:$AR$65,38,FALSE)</f>
        <v>32219831.834406704</v>
      </c>
      <c r="D5" s="1125">
        <f>HLOOKUP($B5,'SEF-34 pg 2-36'!$E$10:$AR$126,99,FALSE)</f>
        <v>-43977920.498693615</v>
      </c>
      <c r="E5" s="1125">
        <f>HLOOKUP($B5,'SEF-34 pg 2-36'!$E$10:$AR$189,160,FALSE)</f>
        <v>-7820108.3476467468</v>
      </c>
      <c r="F5" s="1126">
        <f>HLOOKUP($B5,'SEF-34 pg 2-36'!$E$10:$AR$250,221,FALSE)</f>
        <v>-6424881.6007525399</v>
      </c>
      <c r="G5" s="1124">
        <f t="shared" ref="G5:G45" si="0">SUM(C5:F5)</f>
        <v>-26003078.612686198</v>
      </c>
      <c r="H5" s="1126">
        <f>HLOOKUP($B5,'SEF-34 pg 2-36'!$E$10:$AR$311,282,FALSE)</f>
        <v>-2071178.5169968852</v>
      </c>
      <c r="I5" s="1127">
        <f>HLOOKUP($B5,'SEF-34 pg 2-36'!$E$10:$AR$65,40,FALSE)</f>
        <v>0</v>
      </c>
      <c r="J5" s="1128">
        <f>HLOOKUP($B5,'SEF-34 pg 2-36'!$E$10:$AR$126,101,FALSE)</f>
        <v>0</v>
      </c>
      <c r="K5" s="1128">
        <f>HLOOKUP($B5,'SEF-34 pg 2-36'!$E$10:$AR$189,162,FALSE)</f>
        <v>0</v>
      </c>
      <c r="L5" s="1129">
        <f>HLOOKUP($B5,'SEF-34 pg 2-36'!$E$10:$AR$250,223,FALSE)</f>
        <v>0</v>
      </c>
      <c r="M5" s="1127">
        <f t="shared" ref="M5:M45" si="1">SUM(I5:L5)</f>
        <v>0</v>
      </c>
      <c r="N5" s="1129">
        <f>HLOOKUP($B5,'SEF-34 pg 2-36'!$E$10:$AR$311,284,FALSE)</f>
        <v>0</v>
      </c>
    </row>
    <row r="6" spans="1:17" x14ac:dyDescent="0.25">
      <c r="A6" s="1123" t="s">
        <v>641</v>
      </c>
      <c r="B6" s="1117" t="s">
        <v>642</v>
      </c>
      <c r="C6" s="1124">
        <f>HLOOKUP($B6,'SEF-34 pg 2-36'!$E$10:$AR$65,38,FALSE)</f>
        <v>2650763.4853924513</v>
      </c>
      <c r="D6" s="1128">
        <f>HLOOKUP($B6,'SEF-34 pg 2-36'!$E$10:$AR$126,99,FALSE)</f>
        <v>0</v>
      </c>
      <c r="E6" s="1128">
        <f>HLOOKUP($B6,'SEF-34 pg 2-36'!$E$10:$AR$189,160,FALSE)</f>
        <v>0</v>
      </c>
      <c r="F6" s="1129">
        <f>HLOOKUP($B6,'SEF-34 pg 2-36'!$E$10:$AR$250,221,FALSE)</f>
        <v>0</v>
      </c>
      <c r="G6" s="1124">
        <f t="shared" si="0"/>
        <v>2650763.4853924513</v>
      </c>
      <c r="H6" s="1129">
        <f>HLOOKUP($B6,'SEF-34 pg 2-36'!$E$10:$AR$311,282,FALSE)</f>
        <v>0</v>
      </c>
      <c r="I6" s="1127">
        <f>HLOOKUP($B6,'SEF-34 pg 2-36'!$E$10:$AR$65,40,FALSE)</f>
        <v>0</v>
      </c>
      <c r="J6" s="1128">
        <f>HLOOKUP($B6,'SEF-34 pg 2-36'!$E$10:$AR$126,101,FALSE)</f>
        <v>0</v>
      </c>
      <c r="K6" s="1128">
        <f>HLOOKUP($B6,'SEF-34 pg 2-36'!$E$10:$AR$189,162,FALSE)</f>
        <v>0</v>
      </c>
      <c r="L6" s="1129">
        <f>HLOOKUP($B6,'SEF-34 pg 2-36'!$E$10:$AR$250,223,FALSE)</f>
        <v>0</v>
      </c>
      <c r="M6" s="1127">
        <f t="shared" si="1"/>
        <v>0</v>
      </c>
      <c r="N6" s="1129">
        <f>HLOOKUP($B6,'SEF-34 pg 2-36'!$E$10:$AR$311,284,FALSE)</f>
        <v>0</v>
      </c>
    </row>
    <row r="7" spans="1:17" x14ac:dyDescent="0.25">
      <c r="A7" s="1123" t="s">
        <v>643</v>
      </c>
      <c r="B7" s="1117" t="s">
        <v>644</v>
      </c>
      <c r="C7" s="1124">
        <f>HLOOKUP($B7,'SEF-34 pg 2-36'!$E$10:$AR$65,38,FALSE)</f>
        <v>-361881.12555845373</v>
      </c>
      <c r="D7" s="1125">
        <f>HLOOKUP($B7,'SEF-34 pg 2-36'!$E$10:$AR$126,99,FALSE)</f>
        <v>-17672181.335449174</v>
      </c>
      <c r="E7" s="1128">
        <f>HLOOKUP($B7,'SEF-34 pg 2-36'!$E$10:$AR$189,160,FALSE)</f>
        <v>0</v>
      </c>
      <c r="F7" s="1129">
        <f>HLOOKUP($B7,'SEF-34 pg 2-36'!$E$10:$AR$250,221,FALSE)</f>
        <v>0</v>
      </c>
      <c r="G7" s="1124">
        <f t="shared" si="0"/>
        <v>-18034062.461007629</v>
      </c>
      <c r="H7" s="1129">
        <f>HLOOKUP($B7,'SEF-34 pg 2-36'!$E$10:$AR$311,282,FALSE)</f>
        <v>0</v>
      </c>
      <c r="I7" s="1127">
        <f>HLOOKUP($B7,'SEF-34 pg 2-36'!$E$10:$AR$65,40,FALSE)</f>
        <v>0</v>
      </c>
      <c r="J7" s="1128">
        <f>HLOOKUP($B7,'SEF-34 pg 2-36'!$E$10:$AR$126,101,FALSE)</f>
        <v>0</v>
      </c>
      <c r="K7" s="1128">
        <f>HLOOKUP($B7,'SEF-34 pg 2-36'!$E$10:$AR$189,162,FALSE)</f>
        <v>0</v>
      </c>
      <c r="L7" s="1129">
        <f>HLOOKUP($B7,'SEF-34 pg 2-36'!$E$10:$AR$250,223,FALSE)</f>
        <v>0</v>
      </c>
      <c r="M7" s="1127">
        <f t="shared" si="1"/>
        <v>0</v>
      </c>
      <c r="N7" s="1129">
        <f>HLOOKUP($B7,'SEF-34 pg 2-36'!$E$10:$AR$311,284,FALSE)</f>
        <v>0</v>
      </c>
    </row>
    <row r="8" spans="1:17" x14ac:dyDescent="0.25">
      <c r="A8" s="1123" t="s">
        <v>645</v>
      </c>
      <c r="B8" s="1117" t="s">
        <v>646</v>
      </c>
      <c r="C8" s="1127">
        <f>HLOOKUP($B8,'SEF-34 pg 2-36'!$E$10:$AR$65,38,FALSE)</f>
        <v>-2391601.7753268979</v>
      </c>
      <c r="D8" s="1128">
        <f>HLOOKUP($B8,'SEF-34 pg 2-36'!$E$10:$AR$126,99,FALSE)</f>
        <v>133104.75165847223</v>
      </c>
      <c r="E8" s="1128">
        <f>HLOOKUP($B8,'SEF-34 pg 2-36'!$E$10:$AR$189,160,FALSE)</f>
        <v>-348814.75209316192</v>
      </c>
      <c r="F8" s="1129">
        <f>HLOOKUP($B8,'SEF-34 pg 2-36'!$E$10:$AR$250,221,FALSE)</f>
        <v>3984285.403344369</v>
      </c>
      <c r="G8" s="1127">
        <f t="shared" si="0"/>
        <v>1376973.6275827815</v>
      </c>
      <c r="H8" s="1129">
        <f>HLOOKUP($B8,'SEF-34 pg 2-36'!$E$10:$AR$311,282,FALSE)</f>
        <v>184598.59659993602</v>
      </c>
      <c r="I8" s="1127">
        <f>HLOOKUP($B8,'SEF-34 pg 2-36'!$E$10:$AR$65,40,FALSE)</f>
        <v>0</v>
      </c>
      <c r="J8" s="1128">
        <f>HLOOKUP($B8,'SEF-34 pg 2-36'!$E$10:$AR$126,101,FALSE)</f>
        <v>0</v>
      </c>
      <c r="K8" s="1128">
        <f>HLOOKUP($B8,'SEF-34 pg 2-36'!$E$10:$AR$189,162,FALSE)</f>
        <v>0</v>
      </c>
      <c r="L8" s="1129">
        <f>HLOOKUP($B8,'SEF-34 pg 2-36'!$E$10:$AR$250,223,FALSE)</f>
        <v>0</v>
      </c>
      <c r="M8" s="1127">
        <f t="shared" si="1"/>
        <v>0</v>
      </c>
      <c r="N8" s="1129">
        <f>HLOOKUP($B8,'SEF-34 pg 2-36'!$E$10:$AR$311,284,FALSE)</f>
        <v>0</v>
      </c>
    </row>
    <row r="9" spans="1:17" x14ac:dyDescent="0.25">
      <c r="A9" s="1123" t="s">
        <v>647</v>
      </c>
      <c r="B9" s="1117" t="s">
        <v>648</v>
      </c>
      <c r="C9" s="1127">
        <f>HLOOKUP($B9,'SEF-34 pg 2-36'!$E$10:$AR$65,38,FALSE)</f>
        <v>16074542.57656165</v>
      </c>
      <c r="D9" s="1128">
        <f>HLOOKUP($B9,'SEF-34 pg 2-36'!$E$10:$AR$126,99,FALSE)</f>
        <v>-596614.66645446536</v>
      </c>
      <c r="E9" s="1128">
        <f>HLOOKUP($B9,'SEF-34 pg 2-36'!$E$10:$AR$189,160,FALSE)</f>
        <v>543136.50103020924</v>
      </c>
      <c r="F9" s="1129">
        <f>HLOOKUP($B9,'SEF-34 pg 2-36'!$E$10:$AR$250,221,FALSE)</f>
        <v>51423.477331428228</v>
      </c>
      <c r="G9" s="1127">
        <f t="shared" si="0"/>
        <v>16072487.888468821</v>
      </c>
      <c r="H9" s="1129">
        <f>HLOOKUP($B9,'SEF-34 pg 2-36'!$E$10:$AR$311,282,FALSE)</f>
        <v>-259430.30854620427</v>
      </c>
      <c r="I9" s="1127">
        <f>HLOOKUP($B9,'SEF-34 pg 2-36'!$E$10:$AR$65,40,FALSE)</f>
        <v>0</v>
      </c>
      <c r="J9" s="1128">
        <f>HLOOKUP($B9,'SEF-34 pg 2-36'!$E$10:$AR$126,101,FALSE)</f>
        <v>0</v>
      </c>
      <c r="K9" s="1128">
        <f>HLOOKUP($B9,'SEF-34 pg 2-36'!$E$10:$AR$189,162,FALSE)</f>
        <v>0</v>
      </c>
      <c r="L9" s="1129">
        <f>HLOOKUP($B9,'SEF-34 pg 2-36'!$E$10:$AR$250,223,FALSE)</f>
        <v>0</v>
      </c>
      <c r="M9" s="1127">
        <f t="shared" si="1"/>
        <v>0</v>
      </c>
      <c r="N9" s="1129">
        <f>HLOOKUP($B9,'SEF-34 pg 2-36'!$E$10:$AR$311,284,FALSE)</f>
        <v>0</v>
      </c>
    </row>
    <row r="10" spans="1:17" x14ac:dyDescent="0.25">
      <c r="A10" s="1123" t="s">
        <v>649</v>
      </c>
      <c r="B10" s="1117" t="s">
        <v>650</v>
      </c>
      <c r="C10" s="1127">
        <f>HLOOKUP($B10,'SEF-34 pg 2-36'!$E$10:$AR$65,38,FALSE)</f>
        <v>213041.17074922178</v>
      </c>
      <c r="D10" s="1128">
        <f>HLOOKUP($B10,'SEF-34 pg 2-36'!$E$10:$AR$126,99,FALSE)</f>
        <v>0</v>
      </c>
      <c r="E10" s="1128">
        <f>HLOOKUP($B10,'SEF-34 pg 2-36'!$E$10:$AR$189,160,FALSE)</f>
        <v>0</v>
      </c>
      <c r="F10" s="1129">
        <f>HLOOKUP($B10,'SEF-34 pg 2-36'!$E$10:$AR$250,221,FALSE)</f>
        <v>0</v>
      </c>
      <c r="G10" s="1127">
        <f t="shared" si="0"/>
        <v>213041.17074922178</v>
      </c>
      <c r="H10" s="1129">
        <f>HLOOKUP($B10,'SEF-34 pg 2-36'!$E$10:$AR$311,282,FALSE)</f>
        <v>0</v>
      </c>
      <c r="I10" s="1127">
        <f>HLOOKUP($B10,'SEF-34 pg 2-36'!$E$10:$AR$65,40,FALSE)</f>
        <v>0</v>
      </c>
      <c r="J10" s="1128">
        <f>HLOOKUP($B10,'SEF-34 pg 2-36'!$E$10:$AR$126,101,FALSE)</f>
        <v>0</v>
      </c>
      <c r="K10" s="1128">
        <f>HLOOKUP($B10,'SEF-34 pg 2-36'!$E$10:$AR$189,162,FALSE)</f>
        <v>0</v>
      </c>
      <c r="L10" s="1129">
        <f>HLOOKUP($B10,'SEF-34 pg 2-36'!$E$10:$AR$250,223,FALSE)</f>
        <v>0</v>
      </c>
      <c r="M10" s="1127">
        <f t="shared" si="1"/>
        <v>0</v>
      </c>
      <c r="N10" s="1129">
        <f>HLOOKUP($B10,'SEF-34 pg 2-36'!$E$10:$AR$311,284,FALSE)</f>
        <v>0</v>
      </c>
    </row>
    <row r="11" spans="1:17" x14ac:dyDescent="0.25">
      <c r="A11" s="1123" t="s">
        <v>651</v>
      </c>
      <c r="B11" s="1117" t="s">
        <v>652</v>
      </c>
      <c r="C11" s="1127">
        <f>HLOOKUP($B11,'SEF-34 pg 2-36'!$E$10:$AR$65,38,FALSE)</f>
        <v>-183413.51902969996</v>
      </c>
      <c r="D11" s="1128">
        <f>HLOOKUP($B11,'SEF-34 pg 2-36'!$E$10:$AR$126,99,FALSE)</f>
        <v>0</v>
      </c>
      <c r="E11" s="1128">
        <f>HLOOKUP($B11,'SEF-34 pg 2-36'!$E$10:$AR$189,160,FALSE)</f>
        <v>0</v>
      </c>
      <c r="F11" s="1129">
        <f>HLOOKUP($B11,'SEF-34 pg 2-36'!$E$10:$AR$250,221,FALSE)</f>
        <v>0</v>
      </c>
      <c r="G11" s="1127">
        <f t="shared" si="0"/>
        <v>-183413.51902969996</v>
      </c>
      <c r="H11" s="1129">
        <f>HLOOKUP($B11,'SEF-34 pg 2-36'!$E$10:$AR$311,282,FALSE)</f>
        <v>0</v>
      </c>
      <c r="I11" s="1127">
        <f>HLOOKUP($B11,'SEF-34 pg 2-36'!$E$10:$AR$65,40,FALSE)</f>
        <v>0</v>
      </c>
      <c r="J11" s="1128">
        <f>HLOOKUP($B11,'SEF-34 pg 2-36'!$E$10:$AR$126,101,FALSE)</f>
        <v>0</v>
      </c>
      <c r="K11" s="1128">
        <f>HLOOKUP($B11,'SEF-34 pg 2-36'!$E$10:$AR$189,162,FALSE)</f>
        <v>0</v>
      </c>
      <c r="L11" s="1129">
        <f>HLOOKUP($B11,'SEF-34 pg 2-36'!$E$10:$AR$250,223,FALSE)</f>
        <v>0</v>
      </c>
      <c r="M11" s="1127">
        <f t="shared" si="1"/>
        <v>0</v>
      </c>
      <c r="N11" s="1129">
        <f>HLOOKUP($B11,'SEF-34 pg 2-36'!$E$10:$AR$311,284,FALSE)</f>
        <v>0</v>
      </c>
    </row>
    <row r="12" spans="1:17" x14ac:dyDescent="0.25">
      <c r="A12" s="1123" t="s">
        <v>653</v>
      </c>
      <c r="B12" s="1117" t="s">
        <v>654</v>
      </c>
      <c r="C12" s="1127">
        <f>HLOOKUP($B12,'SEF-34 pg 2-36'!$E$10:$AR$65,38,FALSE)</f>
        <v>-678.41161519914863</v>
      </c>
      <c r="D12" s="1128">
        <f>HLOOKUP($B12,'SEF-34 pg 2-36'!$E$10:$AR$126,99,FALSE)</f>
        <v>0</v>
      </c>
      <c r="E12" s="1128">
        <f>HLOOKUP($B12,'SEF-34 pg 2-36'!$E$10:$AR$189,160,FALSE)</f>
        <v>0</v>
      </c>
      <c r="F12" s="1129">
        <f>HLOOKUP($B12,'SEF-34 pg 2-36'!$E$10:$AR$250,221,FALSE)</f>
        <v>0</v>
      </c>
      <c r="G12" s="1127">
        <f t="shared" si="0"/>
        <v>-678.41161519914863</v>
      </c>
      <c r="H12" s="1129">
        <f>HLOOKUP($B12,'SEF-34 pg 2-36'!$E$10:$AR$311,282,FALSE)</f>
        <v>0</v>
      </c>
      <c r="I12" s="1127">
        <f>HLOOKUP($B12,'SEF-34 pg 2-36'!$E$10:$AR$65,40,FALSE)</f>
        <v>0</v>
      </c>
      <c r="J12" s="1128">
        <f>HLOOKUP($B12,'SEF-34 pg 2-36'!$E$10:$AR$126,101,FALSE)</f>
        <v>0</v>
      </c>
      <c r="K12" s="1128">
        <f>HLOOKUP($B12,'SEF-34 pg 2-36'!$E$10:$AR$189,162,FALSE)</f>
        <v>0</v>
      </c>
      <c r="L12" s="1129">
        <f>HLOOKUP($B12,'SEF-34 pg 2-36'!$E$10:$AR$250,223,FALSE)</f>
        <v>0</v>
      </c>
      <c r="M12" s="1127">
        <f t="shared" si="1"/>
        <v>0</v>
      </c>
      <c r="N12" s="1129">
        <f>HLOOKUP($B12,'SEF-34 pg 2-36'!$E$10:$AR$311,284,FALSE)</f>
        <v>0</v>
      </c>
    </row>
    <row r="13" spans="1:17" x14ac:dyDescent="0.25">
      <c r="A13" s="1123" t="s">
        <v>655</v>
      </c>
      <c r="B13" s="1117" t="s">
        <v>656</v>
      </c>
      <c r="C13" s="1127">
        <f>HLOOKUP($B13,'SEF-34 pg 2-36'!$E$10:$AR$65,38,FALSE)</f>
        <v>13658.449104713156</v>
      </c>
      <c r="D13" s="1128">
        <f>HLOOKUP($B13,'SEF-34 pg 2-36'!$E$10:$AR$126,99,FALSE)</f>
        <v>-203582.65075738163</v>
      </c>
      <c r="E13" s="1128">
        <f>HLOOKUP($B13,'SEF-34 pg 2-36'!$E$10:$AR$189,160,FALSE)</f>
        <v>0</v>
      </c>
      <c r="F13" s="1129">
        <f>HLOOKUP($B13,'SEF-34 pg 2-36'!$E$10:$AR$250,221,FALSE)</f>
        <v>0</v>
      </c>
      <c r="G13" s="1127">
        <f t="shared" si="0"/>
        <v>-189924.20165266847</v>
      </c>
      <c r="H13" s="1129">
        <f>HLOOKUP($B13,'SEF-34 pg 2-36'!$E$10:$AR$311,282,FALSE)</f>
        <v>0</v>
      </c>
      <c r="I13" s="1127">
        <f>HLOOKUP($B13,'SEF-34 pg 2-36'!$E$10:$AR$65,40,FALSE)</f>
        <v>0</v>
      </c>
      <c r="J13" s="1128">
        <f>HLOOKUP($B13,'SEF-34 pg 2-36'!$E$10:$AR$126,101,FALSE)</f>
        <v>0</v>
      </c>
      <c r="K13" s="1128">
        <f>HLOOKUP($B13,'SEF-34 pg 2-36'!$E$10:$AR$189,162,FALSE)</f>
        <v>0</v>
      </c>
      <c r="L13" s="1129">
        <f>HLOOKUP($B13,'SEF-34 pg 2-36'!$E$10:$AR$250,223,FALSE)</f>
        <v>0</v>
      </c>
      <c r="M13" s="1127">
        <f t="shared" si="1"/>
        <v>0</v>
      </c>
      <c r="N13" s="1129">
        <f>HLOOKUP($B13,'SEF-34 pg 2-36'!$E$10:$AR$311,284,FALSE)</f>
        <v>0</v>
      </c>
    </row>
    <row r="14" spans="1:17" x14ac:dyDescent="0.25">
      <c r="A14" s="1123" t="s">
        <v>657</v>
      </c>
      <c r="B14" s="1117" t="s">
        <v>658</v>
      </c>
      <c r="C14" s="1127">
        <f>HLOOKUP($B14,'SEF-34 pg 2-36'!$E$10:$AR$65,38,FALSE)</f>
        <v>18993.65433911428</v>
      </c>
      <c r="D14" s="1128">
        <f>HLOOKUP($B14,'SEF-34 pg 2-36'!$E$10:$AR$126,99,FALSE)</f>
        <v>0</v>
      </c>
      <c r="E14" s="1128">
        <f>HLOOKUP($B14,'SEF-34 pg 2-36'!$E$10:$AR$189,160,FALSE)</f>
        <v>0</v>
      </c>
      <c r="F14" s="1129">
        <f>HLOOKUP($B14,'SEF-34 pg 2-36'!$E$10:$AR$250,221,FALSE)</f>
        <v>0</v>
      </c>
      <c r="G14" s="1127">
        <f t="shared" si="0"/>
        <v>18993.65433911428</v>
      </c>
      <c r="H14" s="1129">
        <f>HLOOKUP($B14,'SEF-34 pg 2-36'!$E$10:$AR$311,282,FALSE)</f>
        <v>0</v>
      </c>
      <c r="I14" s="1127">
        <f>HLOOKUP($B14,'SEF-34 pg 2-36'!$E$10:$AR$65,40,FALSE)</f>
        <v>0</v>
      </c>
      <c r="J14" s="1128">
        <f>HLOOKUP($B14,'SEF-34 pg 2-36'!$E$10:$AR$126,101,FALSE)</f>
        <v>0</v>
      </c>
      <c r="K14" s="1128">
        <f>HLOOKUP($B14,'SEF-34 pg 2-36'!$E$10:$AR$189,162,FALSE)</f>
        <v>0</v>
      </c>
      <c r="L14" s="1129">
        <f>HLOOKUP($B14,'SEF-34 pg 2-36'!$E$10:$AR$250,223,FALSE)</f>
        <v>0</v>
      </c>
      <c r="M14" s="1127">
        <f t="shared" si="1"/>
        <v>0</v>
      </c>
      <c r="N14" s="1129">
        <f>HLOOKUP($B14,'SEF-34 pg 2-36'!$E$10:$AR$311,284,FALSE)</f>
        <v>0</v>
      </c>
    </row>
    <row r="15" spans="1:17" x14ac:dyDescent="0.25">
      <c r="A15" s="1123" t="s">
        <v>659</v>
      </c>
      <c r="B15" s="1117" t="s">
        <v>660</v>
      </c>
      <c r="C15" s="1127">
        <f>HLOOKUP($B15,'SEF-34 pg 2-36'!$E$10:$AR$65,38,FALSE)</f>
        <v>1105216.3354017462</v>
      </c>
      <c r="D15" s="1128">
        <f>HLOOKUP($B15,'SEF-34 pg 2-36'!$E$10:$AR$126,99,FALSE)</f>
        <v>-185023.04623741916</v>
      </c>
      <c r="E15" s="1128">
        <f>HLOOKUP($B15,'SEF-34 pg 2-36'!$E$10:$AR$189,160,FALSE)</f>
        <v>-81134.752065464156</v>
      </c>
      <c r="F15" s="1129">
        <f>HLOOKUP($B15,'SEF-34 pg 2-36'!$E$10:$AR$250,221,FALSE)</f>
        <v>-19246.648578410714</v>
      </c>
      <c r="G15" s="1127">
        <f t="shared" si="0"/>
        <v>819811.88852045219</v>
      </c>
      <c r="H15" s="1129">
        <f>HLOOKUP($B15,'SEF-34 pg 2-36'!$E$10:$AR$311,282,FALSE)</f>
        <v>-1522.7486420287016</v>
      </c>
      <c r="I15" s="1127">
        <f>HLOOKUP($B15,'SEF-34 pg 2-36'!$E$10:$AR$65,40,FALSE)</f>
        <v>0</v>
      </c>
      <c r="J15" s="1128">
        <f>HLOOKUP($B15,'SEF-34 pg 2-36'!$E$10:$AR$126,101,FALSE)</f>
        <v>0</v>
      </c>
      <c r="K15" s="1128">
        <f>HLOOKUP($B15,'SEF-34 pg 2-36'!$E$10:$AR$189,162,FALSE)</f>
        <v>0</v>
      </c>
      <c r="L15" s="1129">
        <f>HLOOKUP($B15,'SEF-34 pg 2-36'!$E$10:$AR$250,223,FALSE)</f>
        <v>0</v>
      </c>
      <c r="M15" s="1127">
        <f t="shared" si="1"/>
        <v>0</v>
      </c>
      <c r="N15" s="1129">
        <f>HLOOKUP($B15,'SEF-34 pg 2-36'!$E$10:$AR$311,284,FALSE)</f>
        <v>0</v>
      </c>
    </row>
    <row r="16" spans="1:17" x14ac:dyDescent="0.25">
      <c r="A16" s="1123" t="s">
        <v>661</v>
      </c>
      <c r="B16" s="1117" t="s">
        <v>662</v>
      </c>
      <c r="C16" s="1127">
        <f>HLOOKUP($B16,'SEF-34 pg 2-36'!$E$10:$AR$65,38,FALSE)</f>
        <v>-151116.36784572125</v>
      </c>
      <c r="D16" s="1128">
        <f>HLOOKUP($B16,'SEF-34 pg 2-36'!$E$10:$AR$126,99,FALSE)</f>
        <v>0</v>
      </c>
      <c r="E16" s="1128">
        <f>HLOOKUP($B16,'SEF-34 pg 2-36'!$E$10:$AR$189,160,FALSE)</f>
        <v>0</v>
      </c>
      <c r="F16" s="1129">
        <f>HLOOKUP($B16,'SEF-34 pg 2-36'!$E$10:$AR$250,221,FALSE)</f>
        <v>0</v>
      </c>
      <c r="G16" s="1127">
        <f t="shared" si="0"/>
        <v>-151116.36784572125</v>
      </c>
      <c r="H16" s="1129">
        <f>HLOOKUP($B16,'SEF-34 pg 2-36'!$E$10:$AR$311,282,FALSE)</f>
        <v>0</v>
      </c>
      <c r="I16" s="1127">
        <f>HLOOKUP($B16,'SEF-34 pg 2-36'!$E$10:$AR$65,40,FALSE)</f>
        <v>0</v>
      </c>
      <c r="J16" s="1128">
        <f>HLOOKUP($B16,'SEF-34 pg 2-36'!$E$10:$AR$126,101,FALSE)</f>
        <v>0</v>
      </c>
      <c r="K16" s="1128">
        <f>HLOOKUP($B16,'SEF-34 pg 2-36'!$E$10:$AR$189,162,FALSE)</f>
        <v>0</v>
      </c>
      <c r="L16" s="1129">
        <f>HLOOKUP($B16,'SEF-34 pg 2-36'!$E$10:$AR$250,223,FALSE)</f>
        <v>0</v>
      </c>
      <c r="M16" s="1127">
        <f t="shared" si="1"/>
        <v>0</v>
      </c>
      <c r="N16" s="1129">
        <f>HLOOKUP($B16,'SEF-34 pg 2-36'!$E$10:$AR$311,284,FALSE)</f>
        <v>0</v>
      </c>
    </row>
    <row r="17" spans="1:14" x14ac:dyDescent="0.25">
      <c r="A17" s="1123" t="s">
        <v>663</v>
      </c>
      <c r="B17" s="1117" t="s">
        <v>664</v>
      </c>
      <c r="C17" s="1127">
        <f>HLOOKUP($B17,'SEF-34 pg 2-36'!$E$10:$AR$65,38,FALSE)</f>
        <v>-30503.742766919091</v>
      </c>
      <c r="D17" s="1128">
        <f>HLOOKUP($B17,'SEF-34 pg 2-36'!$E$10:$AR$126,99,FALSE)</f>
        <v>0</v>
      </c>
      <c r="E17" s="1128">
        <f>HLOOKUP($B17,'SEF-34 pg 2-36'!$E$10:$AR$189,160,FALSE)</f>
        <v>0</v>
      </c>
      <c r="F17" s="1129">
        <f>HLOOKUP($B17,'SEF-34 pg 2-36'!$E$10:$AR$250,221,FALSE)</f>
        <v>0</v>
      </c>
      <c r="G17" s="1127">
        <f t="shared" si="0"/>
        <v>-30503.742766919091</v>
      </c>
      <c r="H17" s="1129">
        <f>HLOOKUP($B17,'SEF-34 pg 2-36'!$E$10:$AR$311,282,FALSE)</f>
        <v>0</v>
      </c>
      <c r="I17" s="1127">
        <f>HLOOKUP($B17,'SEF-34 pg 2-36'!$E$10:$AR$65,40,FALSE)</f>
        <v>0</v>
      </c>
      <c r="J17" s="1128">
        <f>HLOOKUP($B17,'SEF-34 pg 2-36'!$E$10:$AR$126,101,FALSE)</f>
        <v>0</v>
      </c>
      <c r="K17" s="1128">
        <f>HLOOKUP($B17,'SEF-34 pg 2-36'!$E$10:$AR$189,162,FALSE)</f>
        <v>0</v>
      </c>
      <c r="L17" s="1129">
        <f>HLOOKUP($B17,'SEF-34 pg 2-36'!$E$10:$AR$250,223,FALSE)</f>
        <v>0</v>
      </c>
      <c r="M17" s="1127">
        <f t="shared" si="1"/>
        <v>0</v>
      </c>
      <c r="N17" s="1129">
        <f>HLOOKUP($B17,'SEF-34 pg 2-36'!$E$10:$AR$311,284,FALSE)</f>
        <v>0</v>
      </c>
    </row>
    <row r="18" spans="1:14" x14ac:dyDescent="0.25">
      <c r="A18" s="1123" t="s">
        <v>665</v>
      </c>
      <c r="B18" s="1117" t="s">
        <v>666</v>
      </c>
      <c r="C18" s="1127">
        <f>HLOOKUP($B18,'SEF-34 pg 2-36'!$E$10:$AR$65,38,FALSE)</f>
        <v>-435005.0623120963</v>
      </c>
      <c r="D18" s="1128">
        <f>HLOOKUP($B18,'SEF-34 pg 2-36'!$E$10:$AR$126,99,FALSE)</f>
        <v>0</v>
      </c>
      <c r="E18" s="1128">
        <f>HLOOKUP($B18,'SEF-34 pg 2-36'!$E$10:$AR$189,160,FALSE)</f>
        <v>0</v>
      </c>
      <c r="F18" s="1129">
        <f>HLOOKUP($B18,'SEF-34 pg 2-36'!$E$10:$AR$250,221,FALSE)</f>
        <v>0</v>
      </c>
      <c r="G18" s="1127">
        <f t="shared" si="0"/>
        <v>-435005.0623120963</v>
      </c>
      <c r="H18" s="1129">
        <f>HLOOKUP($B18,'SEF-34 pg 2-36'!$E$10:$AR$311,282,FALSE)</f>
        <v>0</v>
      </c>
      <c r="I18" s="1127">
        <f>HLOOKUP($B18,'SEF-34 pg 2-36'!$E$10:$AR$65,40,FALSE)</f>
        <v>0</v>
      </c>
      <c r="J18" s="1128">
        <f>HLOOKUP($B18,'SEF-34 pg 2-36'!$E$10:$AR$126,101,FALSE)</f>
        <v>0</v>
      </c>
      <c r="K18" s="1128">
        <f>HLOOKUP($B18,'SEF-34 pg 2-36'!$E$10:$AR$189,162,FALSE)</f>
        <v>0</v>
      </c>
      <c r="L18" s="1129">
        <f>HLOOKUP($B18,'SEF-34 pg 2-36'!$E$10:$AR$250,223,FALSE)</f>
        <v>0</v>
      </c>
      <c r="M18" s="1127">
        <f t="shared" si="1"/>
        <v>0</v>
      </c>
      <c r="N18" s="1129">
        <f>HLOOKUP($B18,'SEF-34 pg 2-36'!$E$10:$AR$311,284,FALSE)</f>
        <v>0</v>
      </c>
    </row>
    <row r="19" spans="1:14" x14ac:dyDescent="0.25">
      <c r="A19" s="1123" t="s">
        <v>667</v>
      </c>
      <c r="B19" s="1117" t="s">
        <v>668</v>
      </c>
      <c r="C19" s="1127">
        <f>HLOOKUP($B19,'SEF-34 pg 2-36'!$E$10:$AR$65,38,FALSE)</f>
        <v>-778045.66996666696</v>
      </c>
      <c r="D19" s="1128">
        <f>HLOOKUP($B19,'SEF-34 pg 2-36'!$E$10:$AR$126,99,FALSE)</f>
        <v>0</v>
      </c>
      <c r="E19" s="1128">
        <f>HLOOKUP($B19,'SEF-34 pg 2-36'!$E$10:$AR$189,160,FALSE)</f>
        <v>0</v>
      </c>
      <c r="F19" s="1129">
        <f>HLOOKUP($B19,'SEF-34 pg 2-36'!$E$10:$AR$250,221,FALSE)</f>
        <v>0</v>
      </c>
      <c r="G19" s="1127">
        <f t="shared" si="0"/>
        <v>-778045.66996666696</v>
      </c>
      <c r="H19" s="1129">
        <f>HLOOKUP($B19,'SEF-34 pg 2-36'!$E$10:$AR$311,282,FALSE)</f>
        <v>1483149.1865527751</v>
      </c>
      <c r="I19" s="1127">
        <f>HLOOKUP($B19,'SEF-34 pg 2-36'!$E$10:$AR$65,40,FALSE)</f>
        <v>0</v>
      </c>
      <c r="J19" s="1128">
        <f>HLOOKUP($B19,'SEF-34 pg 2-36'!$E$10:$AR$126,101,FALSE)</f>
        <v>0</v>
      </c>
      <c r="K19" s="1128">
        <f>HLOOKUP($B19,'SEF-34 pg 2-36'!$E$10:$AR$189,162,FALSE)</f>
        <v>0</v>
      </c>
      <c r="L19" s="1129">
        <f>HLOOKUP($B19,'SEF-34 pg 2-36'!$E$10:$AR$250,223,FALSE)</f>
        <v>0</v>
      </c>
      <c r="M19" s="1127">
        <f t="shared" si="1"/>
        <v>0</v>
      </c>
      <c r="N19" s="1129">
        <f>HLOOKUP($B19,'SEF-34 pg 2-36'!$E$10:$AR$311,284,FALSE)</f>
        <v>0</v>
      </c>
    </row>
    <row r="20" spans="1:14" x14ac:dyDescent="0.25">
      <c r="A20" s="1123" t="s">
        <v>669</v>
      </c>
      <c r="B20" s="1117" t="s">
        <v>670</v>
      </c>
      <c r="C20" s="1127">
        <f>HLOOKUP($B20,'SEF-34 pg 2-36'!$E$10:$AR$65,38,FALSE)</f>
        <v>13098.494505843493</v>
      </c>
      <c r="D20" s="1128">
        <f>HLOOKUP($B20,'SEF-34 pg 2-36'!$E$10:$AR$126,99,FALSE)</f>
        <v>0</v>
      </c>
      <c r="E20" s="1128">
        <f>HLOOKUP($B20,'SEF-34 pg 2-36'!$E$10:$AR$189,160,FALSE)</f>
        <v>0</v>
      </c>
      <c r="F20" s="1129">
        <f>HLOOKUP($B20,'SEF-34 pg 2-36'!$E$10:$AR$250,221,FALSE)</f>
        <v>0</v>
      </c>
      <c r="G20" s="1127">
        <f t="shared" si="0"/>
        <v>13098.494505843493</v>
      </c>
      <c r="H20" s="1129">
        <f>HLOOKUP($B20,'SEF-34 pg 2-36'!$E$10:$AR$311,282,FALSE)</f>
        <v>0</v>
      </c>
      <c r="I20" s="1127">
        <f>HLOOKUP($B20,'SEF-34 pg 2-36'!$E$10:$AR$65,40,FALSE)</f>
        <v>0</v>
      </c>
      <c r="J20" s="1128">
        <f>HLOOKUP($B20,'SEF-34 pg 2-36'!$E$10:$AR$126,101,FALSE)</f>
        <v>0</v>
      </c>
      <c r="K20" s="1128">
        <f>HLOOKUP($B20,'SEF-34 pg 2-36'!$E$10:$AR$189,162,FALSE)</f>
        <v>0</v>
      </c>
      <c r="L20" s="1129">
        <f>HLOOKUP($B20,'SEF-34 pg 2-36'!$E$10:$AR$250,223,FALSE)</f>
        <v>0</v>
      </c>
      <c r="M20" s="1127">
        <f t="shared" si="1"/>
        <v>0</v>
      </c>
      <c r="N20" s="1129">
        <f>HLOOKUP($B20,'SEF-34 pg 2-36'!$E$10:$AR$311,284,FALSE)</f>
        <v>0</v>
      </c>
    </row>
    <row r="21" spans="1:14" x14ac:dyDescent="0.25">
      <c r="A21" s="1123" t="s">
        <v>671</v>
      </c>
      <c r="B21" s="1117" t="s">
        <v>672</v>
      </c>
      <c r="C21" s="1127">
        <f>HLOOKUP($B21,'SEF-34 pg 2-36'!$E$10:$AR$65,38,FALSE)</f>
        <v>-1117190.4516966809</v>
      </c>
      <c r="D21" s="1128">
        <f>HLOOKUP($B21,'SEF-34 pg 2-36'!$E$10:$AR$126,99,FALSE)</f>
        <v>0</v>
      </c>
      <c r="E21" s="1128">
        <f>HLOOKUP($B21,'SEF-34 pg 2-36'!$E$10:$AR$189,160,FALSE)</f>
        <v>0</v>
      </c>
      <c r="F21" s="1129">
        <f>HLOOKUP($B21,'SEF-34 pg 2-36'!$E$10:$AR$250,221,FALSE)</f>
        <v>0</v>
      </c>
      <c r="G21" s="1127">
        <f t="shared" si="0"/>
        <v>-1117190.4516966809</v>
      </c>
      <c r="H21" s="1129">
        <f>HLOOKUP($B21,'SEF-34 pg 2-36'!$E$10:$AR$311,282,FALSE)</f>
        <v>0</v>
      </c>
      <c r="I21" s="1127">
        <f>HLOOKUP($B21,'SEF-34 pg 2-36'!$E$10:$AR$65,40,FALSE)</f>
        <v>0</v>
      </c>
      <c r="J21" s="1128">
        <f>HLOOKUP($B21,'SEF-34 pg 2-36'!$E$10:$AR$126,101,FALSE)</f>
        <v>0</v>
      </c>
      <c r="K21" s="1128">
        <f>HLOOKUP($B21,'SEF-34 pg 2-36'!$E$10:$AR$189,162,FALSE)</f>
        <v>0</v>
      </c>
      <c r="L21" s="1129">
        <f>HLOOKUP($B21,'SEF-34 pg 2-36'!$E$10:$AR$250,223,FALSE)</f>
        <v>0</v>
      </c>
      <c r="M21" s="1127">
        <f t="shared" si="1"/>
        <v>0</v>
      </c>
      <c r="N21" s="1129">
        <f>HLOOKUP($B21,'SEF-34 pg 2-36'!$E$10:$AR$311,284,FALSE)</f>
        <v>0</v>
      </c>
    </row>
    <row r="22" spans="1:14" x14ac:dyDescent="0.25">
      <c r="A22" s="1123" t="s">
        <v>673</v>
      </c>
      <c r="B22" s="1117" t="s">
        <v>674</v>
      </c>
      <c r="C22" s="1127">
        <f>HLOOKUP($B22,'SEF-34 pg 2-36'!$E$10:$AR$65,38,FALSE)</f>
        <v>-2924834.9278341117</v>
      </c>
      <c r="D22" s="1128">
        <f>HLOOKUP($B22,'SEF-34 pg 2-36'!$E$10:$AR$126,99,FALSE)</f>
        <v>0</v>
      </c>
      <c r="E22" s="1128">
        <f>HLOOKUP($B22,'SEF-34 pg 2-36'!$E$10:$AR$189,160,FALSE)</f>
        <v>0</v>
      </c>
      <c r="F22" s="1129">
        <f>HLOOKUP($B22,'SEF-34 pg 2-36'!$E$10:$AR$250,221,FALSE)</f>
        <v>0</v>
      </c>
      <c r="G22" s="1127">
        <f t="shared" si="0"/>
        <v>-2924834.9278341117</v>
      </c>
      <c r="H22" s="1129">
        <f>HLOOKUP($B22,'SEF-34 pg 2-36'!$E$10:$AR$311,282,FALSE)</f>
        <v>0</v>
      </c>
      <c r="I22" s="1127">
        <f>HLOOKUP($B22,'SEF-34 pg 2-36'!$E$10:$AR$65,40,FALSE)</f>
        <v>0</v>
      </c>
      <c r="J22" s="1128">
        <f>HLOOKUP($B22,'SEF-34 pg 2-36'!$E$10:$AR$126,101,FALSE)</f>
        <v>0</v>
      </c>
      <c r="K22" s="1128">
        <f>HLOOKUP($B22,'SEF-34 pg 2-36'!$E$10:$AR$189,162,FALSE)</f>
        <v>0</v>
      </c>
      <c r="L22" s="1129">
        <f>HLOOKUP($B22,'SEF-34 pg 2-36'!$E$10:$AR$250,223,FALSE)</f>
        <v>0</v>
      </c>
      <c r="M22" s="1127">
        <f t="shared" si="1"/>
        <v>0</v>
      </c>
      <c r="N22" s="1129">
        <f>HLOOKUP($B22,'SEF-34 pg 2-36'!$E$10:$AR$311,284,FALSE)</f>
        <v>0</v>
      </c>
    </row>
    <row r="23" spans="1:14" x14ac:dyDescent="0.25">
      <c r="A23" s="1123" t="s">
        <v>675</v>
      </c>
      <c r="B23" s="1117" t="s">
        <v>676</v>
      </c>
      <c r="C23" s="1127">
        <f>HLOOKUP($B23,'SEF-34 pg 2-36'!$E$10:$AR$65,38,FALSE)</f>
        <v>0</v>
      </c>
      <c r="D23" s="1128">
        <f>HLOOKUP($B23,'SEF-34 pg 2-36'!$E$10:$AR$126,99,FALSE)</f>
        <v>0</v>
      </c>
      <c r="E23" s="1128">
        <f>HLOOKUP($B23,'SEF-34 pg 2-36'!$E$10:$AR$189,160,FALSE)</f>
        <v>0</v>
      </c>
      <c r="F23" s="1129">
        <f>HLOOKUP($B23,'SEF-34 pg 2-36'!$E$10:$AR$250,221,FALSE)</f>
        <v>0</v>
      </c>
      <c r="G23" s="1127">
        <f t="shared" si="0"/>
        <v>0</v>
      </c>
      <c r="H23" s="1129">
        <f>HLOOKUP($B23,'SEF-34 pg 2-36'!$E$10:$AR$311,282,FALSE)</f>
        <v>0</v>
      </c>
      <c r="I23" s="1127">
        <f>HLOOKUP($B23,'SEF-34 pg 2-36'!$E$10:$AR$65,40,FALSE)</f>
        <v>50455434.08198075</v>
      </c>
      <c r="J23" s="1128">
        <f>HLOOKUP($B23,'SEF-34 pg 2-36'!$E$10:$AR$126,101,FALSE)</f>
        <v>0</v>
      </c>
      <c r="K23" s="1128">
        <f>HLOOKUP($B23,'SEF-34 pg 2-36'!$E$10:$AR$189,162,FALSE)</f>
        <v>0</v>
      </c>
      <c r="L23" s="1129">
        <f>HLOOKUP($B23,'SEF-34 pg 2-36'!$E$10:$AR$250,223,FALSE)</f>
        <v>0</v>
      </c>
      <c r="M23" s="1127">
        <f t="shared" si="1"/>
        <v>50455434.08198075</v>
      </c>
      <c r="N23" s="1129">
        <f>HLOOKUP($B23,'SEF-34 pg 2-36'!$E$10:$AR$311,284,FALSE)</f>
        <v>0</v>
      </c>
    </row>
    <row r="24" spans="1:14" x14ac:dyDescent="0.25">
      <c r="A24" s="1123" t="s">
        <v>677</v>
      </c>
      <c r="B24" s="1117" t="s">
        <v>759</v>
      </c>
      <c r="C24" s="1127">
        <f>HLOOKUP($B24,'SEF-34 pg 2-36'!$E$10:$AR$65,38,FALSE)</f>
        <v>-6824350.6486586146</v>
      </c>
      <c r="D24" s="1128">
        <f>HLOOKUP($B24,'SEF-34 pg 2-36'!$E$10:$AR$126,99,FALSE)</f>
        <v>0</v>
      </c>
      <c r="E24" s="1128">
        <f>HLOOKUP($B24,'SEF-34 pg 2-36'!$E$10:$AR$189,160,FALSE)</f>
        <v>0</v>
      </c>
      <c r="F24" s="1129">
        <f>HLOOKUP($B24,'SEF-34 pg 2-36'!$E$10:$AR$250,221,FALSE)</f>
        <v>0</v>
      </c>
      <c r="G24" s="1127">
        <f t="shared" si="0"/>
        <v>-6824350.6486586146</v>
      </c>
      <c r="H24" s="1129">
        <f>HLOOKUP($B24,'SEF-34 pg 2-36'!$E$10:$AR$311,282,FALSE)</f>
        <v>0</v>
      </c>
      <c r="I24" s="1127">
        <f>HLOOKUP($B24,'SEF-34 pg 2-36'!$E$10:$AR$65,40,FALSE)</f>
        <v>-6824350.6486586146</v>
      </c>
      <c r="J24" s="1128">
        <f>HLOOKUP($B24,'SEF-34 pg 2-36'!$E$10:$AR$126,101,FALSE)</f>
        <v>0</v>
      </c>
      <c r="K24" s="1128">
        <f>HLOOKUP($B24,'SEF-34 pg 2-36'!$E$10:$AR$189,162,FALSE)</f>
        <v>0</v>
      </c>
      <c r="L24" s="1129">
        <f>HLOOKUP($B24,'SEF-34 pg 2-36'!$E$10:$AR$250,223,FALSE)</f>
        <v>0</v>
      </c>
      <c r="M24" s="1127">
        <f t="shared" si="1"/>
        <v>-6824350.6486586146</v>
      </c>
      <c r="N24" s="1129">
        <f>HLOOKUP($B24,'SEF-34 pg 2-36'!$E$10:$AR$311,284,FALSE)</f>
        <v>0</v>
      </c>
    </row>
    <row r="25" spans="1:14" x14ac:dyDescent="0.25">
      <c r="A25" s="1123" t="s">
        <v>679</v>
      </c>
      <c r="B25" s="19" t="s">
        <v>680</v>
      </c>
      <c r="C25" s="1124">
        <f>HLOOKUP($B25,'SEF-34 pg 2-36'!$E$10:$AR$65,38,FALSE)</f>
        <v>-1028549.4787845002</v>
      </c>
      <c r="D25" s="1125">
        <f>HLOOKUP($B25,'SEF-34 pg 2-36'!$E$10:$AR$126,99,FALSE)</f>
        <v>0</v>
      </c>
      <c r="E25" s="1125">
        <f>HLOOKUP($B25,'SEF-34 pg 2-36'!$E$10:$AR$189,160,FALSE)</f>
        <v>0</v>
      </c>
      <c r="F25" s="1126">
        <f>HLOOKUP($B25,'SEF-34 pg 2-36'!$E$10:$AR$250,221,FALSE)</f>
        <v>0</v>
      </c>
      <c r="G25" s="1124">
        <f t="shared" si="0"/>
        <v>-1028549.4787845002</v>
      </c>
      <c r="H25" s="1129">
        <f>HLOOKUP($B25,'SEF-34 pg 2-36'!$E$10:$AR$311,282,FALSE)</f>
        <v>0</v>
      </c>
      <c r="I25" s="1127">
        <f>HLOOKUP($B25,'SEF-34 pg 2-36'!$E$10:$AR$65,40,FALSE)</f>
        <v>0</v>
      </c>
      <c r="J25" s="1128">
        <f>HLOOKUP($B25,'SEF-34 pg 2-36'!$E$10:$AR$126,101,FALSE)</f>
        <v>0</v>
      </c>
      <c r="K25" s="1128">
        <f>HLOOKUP($B25,'SEF-34 pg 2-36'!$E$10:$AR$189,162,FALSE)</f>
        <v>0</v>
      </c>
      <c r="L25" s="1129">
        <f>HLOOKUP($B25,'SEF-34 pg 2-36'!$E$10:$AR$250,223,FALSE)</f>
        <v>0</v>
      </c>
      <c r="M25" s="1127">
        <f t="shared" si="1"/>
        <v>0</v>
      </c>
      <c r="N25" s="1129">
        <f>HLOOKUP($B25,'SEF-34 pg 2-36'!$E$10:$AR$311,284,FALSE)</f>
        <v>0</v>
      </c>
    </row>
    <row r="26" spans="1:14" x14ac:dyDescent="0.25">
      <c r="A26" s="1123" t="s">
        <v>681</v>
      </c>
      <c r="B26" s="1117" t="s">
        <v>682</v>
      </c>
      <c r="C26" s="1127">
        <f>HLOOKUP($B26,'SEF-34 pg 2-36'!$E$10:$AR$65,38,FALSE)</f>
        <v>0</v>
      </c>
      <c r="D26" s="1128">
        <f>HLOOKUP($B26,'SEF-34 pg 2-36'!$E$10:$AR$126,99,FALSE)</f>
        <v>0</v>
      </c>
      <c r="E26" s="1128">
        <f>HLOOKUP($B26,'SEF-34 pg 2-36'!$E$10:$AR$189,160,FALSE)</f>
        <v>0</v>
      </c>
      <c r="F26" s="1129">
        <f>HLOOKUP($B26,'SEF-34 pg 2-36'!$E$10:$AR$250,221,FALSE)</f>
        <v>-7802542.1941056419</v>
      </c>
      <c r="G26" s="1127">
        <f t="shared" si="0"/>
        <v>-7802542.1941056419</v>
      </c>
      <c r="H26" s="1129">
        <f>HLOOKUP($B26,'SEF-34 pg 2-36'!$E$10:$AR$311,282,FALSE)</f>
        <v>-6512079.5518052848</v>
      </c>
      <c r="I26" s="1127">
        <f>HLOOKUP($B26,'SEF-34 pg 2-36'!$E$10:$AR$65,40,FALSE)</f>
        <v>0</v>
      </c>
      <c r="J26" s="1128">
        <f>HLOOKUP($B26,'SEF-34 pg 2-36'!$E$10:$AR$126,101,FALSE)</f>
        <v>0</v>
      </c>
      <c r="K26" s="1128">
        <f>HLOOKUP($B26,'SEF-34 pg 2-36'!$E$10:$AR$189,162,FALSE)</f>
        <v>0</v>
      </c>
      <c r="L26" s="1129">
        <f>HLOOKUP($B26,'SEF-34 pg 2-36'!$E$10:$AR$250,223,FALSE)</f>
        <v>0</v>
      </c>
      <c r="M26" s="1127">
        <f t="shared" si="1"/>
        <v>0</v>
      </c>
      <c r="N26" s="1129">
        <f>HLOOKUP($B26,'SEF-34 pg 2-36'!$E$10:$AR$311,284,FALSE)</f>
        <v>0</v>
      </c>
    </row>
    <row r="27" spans="1:14" x14ac:dyDescent="0.25">
      <c r="A27" s="1123" t="s">
        <v>683</v>
      </c>
      <c r="B27" s="1117" t="s">
        <v>684</v>
      </c>
      <c r="C27" s="1127">
        <f>HLOOKUP($B27,'SEF-34 pg 2-36'!$E$10:$AR$65,38,FALSE)</f>
        <v>0</v>
      </c>
      <c r="D27" s="1128">
        <f>HLOOKUP($B27,'SEF-34 pg 2-36'!$E$10:$AR$126,99,FALSE)</f>
        <v>2295831.8296000003</v>
      </c>
      <c r="E27" s="1128">
        <f>HLOOKUP($B27,'SEF-34 pg 2-36'!$E$10:$AR$189,160,FALSE)</f>
        <v>0</v>
      </c>
      <c r="F27" s="1129">
        <f>HLOOKUP($B27,'SEF-34 pg 2-36'!$E$10:$AR$250,221,FALSE)</f>
        <v>0</v>
      </c>
      <c r="G27" s="1127">
        <f t="shared" si="0"/>
        <v>2295831.8296000003</v>
      </c>
      <c r="H27" s="1129">
        <f>HLOOKUP($B27,'SEF-34 pg 2-36'!$E$10:$AR$311,282,FALSE)</f>
        <v>0</v>
      </c>
      <c r="I27" s="1127">
        <f>HLOOKUP($B27,'SEF-34 pg 2-36'!$E$10:$AR$65,40,FALSE)</f>
        <v>0</v>
      </c>
      <c r="J27" s="1128">
        <f>HLOOKUP($B27,'SEF-34 pg 2-36'!$E$10:$AR$126,101,FALSE)</f>
        <v>-28019480.875479184</v>
      </c>
      <c r="K27" s="1128">
        <f>HLOOKUP($B27,'SEF-34 pg 2-36'!$E$10:$AR$189,162,FALSE)</f>
        <v>0</v>
      </c>
      <c r="L27" s="1129">
        <f>HLOOKUP($B27,'SEF-34 pg 2-36'!$E$10:$AR$250,223,FALSE)</f>
        <v>0</v>
      </c>
      <c r="M27" s="1127">
        <f t="shared" si="1"/>
        <v>-28019480.875479184</v>
      </c>
      <c r="N27" s="1129">
        <f>HLOOKUP($B27,'SEF-34 pg 2-36'!$E$10:$AR$311,284,FALSE)</f>
        <v>0</v>
      </c>
    </row>
    <row r="28" spans="1:14" x14ac:dyDescent="0.25">
      <c r="A28" s="1123" t="s">
        <v>685</v>
      </c>
      <c r="B28" s="1117" t="s">
        <v>686</v>
      </c>
      <c r="C28" s="1124">
        <f>HLOOKUP($B28,'SEF-34 pg 2-36'!$E$10:$AR$65,38,FALSE)</f>
        <v>-2896285.0541862603</v>
      </c>
      <c r="D28" s="1128">
        <f>HLOOKUP($B28,'SEF-34 pg 2-36'!$E$10:$AR$126,99,FALSE)</f>
        <v>0</v>
      </c>
      <c r="E28" s="1128">
        <f>HLOOKUP($B28,'SEF-34 pg 2-36'!$E$10:$AR$189,160,FALSE)</f>
        <v>0</v>
      </c>
      <c r="F28" s="1126">
        <f>HLOOKUP($B28,'SEF-34 pg 2-36'!$E$10:$AR$250,221,FALSE)</f>
        <v>-3727575.3505524765</v>
      </c>
      <c r="G28" s="1124">
        <f t="shared" si="0"/>
        <v>-6623860.4047387373</v>
      </c>
      <c r="H28" s="1129">
        <f>HLOOKUP($B28,'SEF-34 pg 2-36'!$E$10:$AR$311,282,FALSE)</f>
        <v>0</v>
      </c>
      <c r="I28" s="1127">
        <f>HLOOKUP($B28,'SEF-34 pg 2-36'!$E$10:$AR$65,40,FALSE)</f>
        <v>-57834387.276298791</v>
      </c>
      <c r="J28" s="1128">
        <f>HLOOKUP($B28,'SEF-34 pg 2-36'!$E$10:$AR$126,101,FALSE)</f>
        <v>57834387.276298791</v>
      </c>
      <c r="K28" s="1128">
        <f>HLOOKUP($B28,'SEF-34 pg 2-36'!$E$10:$AR$189,162,FALSE)</f>
        <v>0</v>
      </c>
      <c r="L28" s="1129">
        <f>HLOOKUP($B28,'SEF-34 pg 2-36'!$E$10:$AR$250,223,FALSE)</f>
        <v>0</v>
      </c>
      <c r="M28" s="1127">
        <f t="shared" si="1"/>
        <v>0</v>
      </c>
      <c r="N28" s="1129">
        <f>HLOOKUP($B28,'SEF-34 pg 2-36'!$E$10:$AR$311,284,FALSE)</f>
        <v>0</v>
      </c>
    </row>
    <row r="29" spans="1:14" x14ac:dyDescent="0.25">
      <c r="A29" s="1123" t="s">
        <v>687</v>
      </c>
      <c r="B29" s="1117" t="s">
        <v>688</v>
      </c>
      <c r="C29" s="1127">
        <f>HLOOKUP($B29,'SEF-34 pg 2-36'!$E$10:$AR$65,38,FALSE)</f>
        <v>-267705.11489864736</v>
      </c>
      <c r="D29" s="1128">
        <f>HLOOKUP($B29,'SEF-34 pg 2-36'!$E$10:$AR$126,99,FALSE)</f>
        <v>8365.7662636469395</v>
      </c>
      <c r="E29" s="1128">
        <f>HLOOKUP($B29,'SEF-34 pg 2-36'!$E$10:$AR$189,160,FALSE)</f>
        <v>-8365.7772850000765</v>
      </c>
      <c r="F29" s="1129">
        <f>HLOOKUP($B29,'SEF-34 pg 2-36'!$E$10:$AR$250,221,FALSE)</f>
        <v>1366472.8491678936</v>
      </c>
      <c r="G29" s="1127">
        <f t="shared" si="0"/>
        <v>1098767.7232478932</v>
      </c>
      <c r="H29" s="1129">
        <f>HLOOKUP($B29,'SEF-34 pg 2-36'!$E$10:$AR$311,282,FALSE)</f>
        <v>1413394.9515225352</v>
      </c>
      <c r="I29" s="1127">
        <f>HLOOKUP($B29,'SEF-34 pg 2-36'!$E$10:$AR$65,40,FALSE)</f>
        <v>0</v>
      </c>
      <c r="J29" s="1128">
        <f>HLOOKUP($B29,'SEF-34 pg 2-36'!$E$10:$AR$126,101,FALSE)</f>
        <v>0</v>
      </c>
      <c r="K29" s="1128">
        <f>HLOOKUP($B29,'SEF-34 pg 2-36'!$E$10:$AR$189,162,FALSE)</f>
        <v>0</v>
      </c>
      <c r="L29" s="1129">
        <f>HLOOKUP($B29,'SEF-34 pg 2-36'!$E$10:$AR$250,223,FALSE)</f>
        <v>0</v>
      </c>
      <c r="M29" s="1127">
        <f t="shared" si="1"/>
        <v>0</v>
      </c>
      <c r="N29" s="1129">
        <f>HLOOKUP($B29,'SEF-34 pg 2-36'!$E$10:$AR$311,284,FALSE)</f>
        <v>0</v>
      </c>
    </row>
    <row r="30" spans="1:14" x14ac:dyDescent="0.25">
      <c r="A30" s="1123" t="s">
        <v>689</v>
      </c>
      <c r="B30" s="1117" t="s">
        <v>690</v>
      </c>
      <c r="C30" s="1127">
        <f>HLOOKUP($B30,'SEF-34 pg 2-36'!$E$10:$AR$65,38,FALSE)</f>
        <v>0</v>
      </c>
      <c r="D30" s="1128">
        <f>HLOOKUP($B30,'SEF-34 pg 2-36'!$E$10:$AR$126,99,FALSE)</f>
        <v>0</v>
      </c>
      <c r="E30" s="1128">
        <f>HLOOKUP($B30,'SEF-34 pg 2-36'!$E$10:$AR$189,160,FALSE)</f>
        <v>0</v>
      </c>
      <c r="F30" s="1129">
        <f>HLOOKUP($B30,'SEF-34 pg 2-36'!$E$10:$AR$250,221,FALSE)</f>
        <v>0</v>
      </c>
      <c r="G30" s="1127">
        <f t="shared" si="0"/>
        <v>0</v>
      </c>
      <c r="H30" s="1129">
        <f>HLOOKUP($B30,'SEF-34 pg 2-36'!$E$10:$AR$311,282,FALSE)</f>
        <v>0</v>
      </c>
      <c r="I30" s="1127">
        <f>HLOOKUP($B30,'SEF-34 pg 2-36'!$E$10:$AR$65,40,FALSE)</f>
        <v>0</v>
      </c>
      <c r="J30" s="1128">
        <f>HLOOKUP($B30,'SEF-34 pg 2-36'!$E$10:$AR$126,101,FALSE)</f>
        <v>0</v>
      </c>
      <c r="K30" s="1128">
        <f>HLOOKUP($B30,'SEF-34 pg 2-36'!$E$10:$AR$189,162,FALSE)</f>
        <v>0</v>
      </c>
      <c r="L30" s="1129">
        <f>HLOOKUP($B30,'SEF-34 pg 2-36'!$E$10:$AR$250,223,FALSE)</f>
        <v>0</v>
      </c>
      <c r="M30" s="1127">
        <f t="shared" si="1"/>
        <v>0</v>
      </c>
      <c r="N30" s="1129">
        <f>HLOOKUP($B30,'SEF-34 pg 2-36'!$E$10:$AR$311,284,FALSE)</f>
        <v>0</v>
      </c>
    </row>
    <row r="31" spans="1:14" x14ac:dyDescent="0.25">
      <c r="A31" s="1123" t="s">
        <v>691</v>
      </c>
      <c r="B31" s="1117" t="s">
        <v>692</v>
      </c>
      <c r="C31" s="1127">
        <f>HLOOKUP($B31,'SEF-34 pg 2-36'!$E$10:$AR$65,38,FALSE)</f>
        <v>0</v>
      </c>
      <c r="D31" s="1128">
        <f>HLOOKUP($B31,'SEF-34 pg 2-36'!$E$10:$AR$126,99,FALSE)</f>
        <v>-298420.97900107928</v>
      </c>
      <c r="E31" s="1128">
        <f>HLOOKUP($B31,'SEF-34 pg 2-36'!$E$10:$AR$189,160,FALSE)</f>
        <v>1555027.3769056804</v>
      </c>
      <c r="F31" s="1129">
        <f>HLOOKUP($B31,'SEF-34 pg 2-36'!$E$10:$AR$250,221,FALSE)</f>
        <v>-53244588.094624028</v>
      </c>
      <c r="G31" s="1127">
        <f t="shared" si="0"/>
        <v>-51987981.696719423</v>
      </c>
      <c r="H31" s="1129">
        <f>HLOOKUP($B31,'SEF-34 pg 2-36'!$E$10:$AR$311,282,FALSE)</f>
        <v>7125267.925121028</v>
      </c>
      <c r="I31" s="1127">
        <f>HLOOKUP($B31,'SEF-34 pg 2-36'!$E$10:$AR$65,40,FALSE)</f>
        <v>0</v>
      </c>
      <c r="J31" s="1128">
        <f>HLOOKUP($B31,'SEF-34 pg 2-36'!$E$10:$AR$126,101,FALSE)</f>
        <v>-81821842.066694736</v>
      </c>
      <c r="K31" s="1128">
        <f>HLOOKUP($B31,'SEF-34 pg 2-36'!$E$10:$AR$189,162,FALSE)</f>
        <v>-172911836.65312946</v>
      </c>
      <c r="L31" s="1129">
        <f>HLOOKUP($B31,'SEF-34 pg 2-36'!$E$10:$AR$250,223,FALSE)</f>
        <v>-110651507.27837408</v>
      </c>
      <c r="M31" s="1127">
        <f t="shared" si="1"/>
        <v>-365385185.99819827</v>
      </c>
      <c r="N31" s="1129">
        <f>HLOOKUP($B31,'SEF-34 pg 2-36'!$E$10:$AR$311,284,FALSE)</f>
        <v>-212142643.35983646</v>
      </c>
    </row>
    <row r="32" spans="1:14" x14ac:dyDescent="0.25">
      <c r="A32" s="1123" t="s">
        <v>693</v>
      </c>
      <c r="B32" s="1117" t="s">
        <v>694</v>
      </c>
      <c r="C32" s="1127">
        <f>HLOOKUP($B32,'SEF-34 pg 2-36'!$E$10:$AR$65,38,FALSE)</f>
        <v>0</v>
      </c>
      <c r="D32" s="1128">
        <f>HLOOKUP($B32,'SEF-34 pg 2-36'!$E$10:$AR$126,99,FALSE)</f>
        <v>33679.343200000003</v>
      </c>
      <c r="E32" s="1128">
        <f>HLOOKUP($B32,'SEF-34 pg 2-36'!$E$10:$AR$189,160,FALSE)</f>
        <v>201172.12539999996</v>
      </c>
      <c r="F32" s="1129">
        <f>HLOOKUP($B32,'SEF-34 pg 2-36'!$E$10:$AR$250,221,FALSE)</f>
        <v>497104.17410000088</v>
      </c>
      <c r="G32" s="1127">
        <f t="shared" si="0"/>
        <v>731955.6427000009</v>
      </c>
      <c r="H32" s="1129">
        <f>HLOOKUP($B32,'SEF-34 pg 2-36'!$E$10:$AR$311,282,FALSE)</f>
        <v>497104.17410000088</v>
      </c>
      <c r="I32" s="1127">
        <f>HLOOKUP($B32,'SEF-34 pg 2-36'!$E$10:$AR$65,40,FALSE)</f>
        <v>0</v>
      </c>
      <c r="J32" s="1128">
        <f>HLOOKUP($B32,'SEF-34 pg 2-36'!$E$10:$AR$126,101,FALSE)</f>
        <v>42632.08</v>
      </c>
      <c r="K32" s="1128">
        <f>HLOOKUP($B32,'SEF-34 pg 2-36'!$E$10:$AR$189,162,FALSE)</f>
        <v>297280.34000000003</v>
      </c>
      <c r="L32" s="1129">
        <f>HLOOKUP($B32,'SEF-34 pg 2-36'!$E$10:$AR$250,223,FALSE)</f>
        <v>424163.73</v>
      </c>
      <c r="M32" s="1127">
        <f t="shared" si="1"/>
        <v>764076.15</v>
      </c>
      <c r="N32" s="1129">
        <f>HLOOKUP($B32,'SEF-34 pg 2-36'!$E$10:$AR$311,284,FALSE)</f>
        <v>1154341.1600000001</v>
      </c>
    </row>
    <row r="33" spans="1:14" x14ac:dyDescent="0.25">
      <c r="A33" s="1123" t="s">
        <v>695</v>
      </c>
      <c r="B33" s="1117" t="s">
        <v>696</v>
      </c>
      <c r="C33" s="1127">
        <f>HLOOKUP($B33,'SEF-34 pg 2-36'!$E$10:$AR$65,38,FALSE)</f>
        <v>0</v>
      </c>
      <c r="D33" s="1128">
        <f>HLOOKUP($B33,'SEF-34 pg 2-36'!$E$10:$AR$126,99,FALSE)</f>
        <v>-482904.13487989997</v>
      </c>
      <c r="E33" s="1128">
        <f>HLOOKUP($B33,'SEF-34 pg 2-36'!$E$10:$AR$189,160,FALSE)</f>
        <v>-5523856.8748024488</v>
      </c>
      <c r="F33" s="1129">
        <f>HLOOKUP($B33,'SEF-34 pg 2-36'!$E$10:$AR$250,221,FALSE)</f>
        <v>-8419002.0806574002</v>
      </c>
      <c r="G33" s="1127">
        <f t="shared" si="0"/>
        <v>-14425763.09033975</v>
      </c>
      <c r="H33" s="1129">
        <f>HLOOKUP($B33,'SEF-34 pg 2-36'!$E$10:$AR$311,282,FALSE)</f>
        <v>-8356860.595495401</v>
      </c>
      <c r="I33" s="1127">
        <f>HLOOKUP($B33,'SEF-34 pg 2-36'!$E$10:$AR$65,40,FALSE)</f>
        <v>0</v>
      </c>
      <c r="J33" s="1128">
        <f>HLOOKUP($B33,'SEF-34 pg 2-36'!$E$10:$AR$126,101,FALSE)</f>
        <v>63796583.976750001</v>
      </c>
      <c r="K33" s="1128">
        <f>HLOOKUP($B33,'SEF-34 pg 2-36'!$E$10:$AR$189,162,FALSE)</f>
        <v>126477500.64549002</v>
      </c>
      <c r="L33" s="1129">
        <f>HLOOKUP($B33,'SEF-34 pg 2-36'!$E$10:$AR$250,223,FALSE)</f>
        <v>52167450.423619971</v>
      </c>
      <c r="M33" s="1127">
        <f t="shared" si="1"/>
        <v>242441535.04585999</v>
      </c>
      <c r="N33" s="1129">
        <f>HLOOKUP($B33,'SEF-34 pg 2-36'!$E$10:$AR$311,284,FALSE)</f>
        <v>122407421.21765506</v>
      </c>
    </row>
    <row r="34" spans="1:14" x14ac:dyDescent="0.25">
      <c r="A34" s="1123" t="s">
        <v>697</v>
      </c>
      <c r="B34" s="1117" t="s">
        <v>698</v>
      </c>
      <c r="C34" s="1127">
        <f>HLOOKUP($B34,'SEF-34 pg 2-36'!$E$10:$AR$65,38,FALSE)</f>
        <v>0</v>
      </c>
      <c r="D34" s="1128">
        <f>HLOOKUP($B34,'SEF-34 pg 2-36'!$E$10:$AR$126,99,FALSE)</f>
        <v>-318963.84299999994</v>
      </c>
      <c r="E34" s="1128">
        <f>HLOOKUP($B34,'SEF-34 pg 2-36'!$E$10:$AR$189,160,FALSE)</f>
        <v>-2203239.8638000004</v>
      </c>
      <c r="F34" s="1129">
        <f>HLOOKUP($B34,'SEF-34 pg 2-36'!$E$10:$AR$250,221,FALSE)</f>
        <v>-3675849.0017999993</v>
      </c>
      <c r="G34" s="1127">
        <f t="shared" si="0"/>
        <v>-6198052.7085999995</v>
      </c>
      <c r="H34" s="1129">
        <f>HLOOKUP($B34,'SEF-34 pg 2-36'!$E$10:$AR$311,282,FALSE)</f>
        <v>-1812642.6048999983</v>
      </c>
      <c r="I34" s="1127">
        <f>HLOOKUP($B34,'SEF-34 pg 2-36'!$E$10:$AR$65,40,FALSE)</f>
        <v>0</v>
      </c>
      <c r="J34" s="1128">
        <f>HLOOKUP($B34,'SEF-34 pg 2-36'!$E$10:$AR$126,101,FALSE)</f>
        <v>52899028.379999995</v>
      </c>
      <c r="K34" s="1128">
        <f>HLOOKUP($B34,'SEF-34 pg 2-36'!$E$10:$AR$189,162,FALSE)</f>
        <v>85035899.859999985</v>
      </c>
      <c r="L34" s="1129">
        <f>HLOOKUP($B34,'SEF-34 pg 2-36'!$E$10:$AR$250,223,FALSE)</f>
        <v>24244937.780000035</v>
      </c>
      <c r="M34" s="1127">
        <f t="shared" si="1"/>
        <v>162179866.02000001</v>
      </c>
      <c r="N34" s="1129">
        <f>HLOOKUP($B34,'SEF-34 pg 2-36'!$E$10:$AR$311,284,FALSE)</f>
        <v>43611657.550000012</v>
      </c>
    </row>
    <row r="35" spans="1:14" x14ac:dyDescent="0.25">
      <c r="A35" s="1123" t="s">
        <v>699</v>
      </c>
      <c r="B35" s="1117" t="s">
        <v>700</v>
      </c>
      <c r="C35" s="1127">
        <f>HLOOKUP($B35,'SEF-34 pg 2-36'!$E$10:$AR$65,38,FALSE)</f>
        <v>0</v>
      </c>
      <c r="D35" s="1128">
        <f>HLOOKUP($B35,'SEF-34 pg 2-36'!$E$10:$AR$126,99,FALSE)</f>
        <v>-488.0462</v>
      </c>
      <c r="E35" s="1128">
        <f>HLOOKUP($B35,'SEF-34 pg 2-36'!$E$10:$AR$189,160,FALSE)</f>
        <v>-12006.538499999999</v>
      </c>
      <c r="F35" s="1129">
        <f>HLOOKUP($B35,'SEF-34 pg 2-36'!$E$10:$AR$250,221,FALSE)</f>
        <v>-355434.6433</v>
      </c>
      <c r="G35" s="1127">
        <f t="shared" si="0"/>
        <v>-367929.228</v>
      </c>
      <c r="H35" s="1129">
        <f>HLOOKUP($B35,'SEF-34 pg 2-36'!$E$10:$AR$311,282,FALSE)</f>
        <v>-192576.32291440002</v>
      </c>
      <c r="I35" s="1127">
        <f>HLOOKUP($B35,'SEF-34 pg 2-36'!$E$10:$AR$65,40,FALSE)</f>
        <v>0</v>
      </c>
      <c r="J35" s="1128">
        <f>HLOOKUP($B35,'SEF-34 pg 2-36'!$E$10:$AR$126,101,FALSE)</f>
        <v>57980.340000000004</v>
      </c>
      <c r="K35" s="1128">
        <f>HLOOKUP($B35,'SEF-34 pg 2-36'!$E$10:$AR$189,162,FALSE)</f>
        <v>13028953.590000002</v>
      </c>
      <c r="L35" s="1129">
        <f>HLOOKUP($B35,'SEF-34 pg 2-36'!$E$10:$AR$250,223,FALSE)</f>
        <v>-280261.93000000005</v>
      </c>
      <c r="M35" s="1127">
        <f t="shared" si="1"/>
        <v>12806672.000000002</v>
      </c>
      <c r="N35" s="1129">
        <f>HLOOKUP($B35,'SEF-34 pg 2-36'!$E$10:$AR$311,284,FALSE)</f>
        <v>1774798.5898300002</v>
      </c>
    </row>
    <row r="36" spans="1:14" x14ac:dyDescent="0.25">
      <c r="A36" s="1123" t="s">
        <v>701</v>
      </c>
      <c r="B36" s="1117" t="s">
        <v>702</v>
      </c>
      <c r="C36" s="1127">
        <f>HLOOKUP($B36,'SEF-34 pg 2-36'!$E$10:$AR$65,38,FALSE)</f>
        <v>0</v>
      </c>
      <c r="D36" s="1128">
        <f>HLOOKUP($B36,'SEF-34 pg 2-36'!$E$10:$AR$126,99,FALSE)</f>
        <v>-300603.53971829993</v>
      </c>
      <c r="E36" s="1128">
        <f>HLOOKUP($B36,'SEF-34 pg 2-36'!$E$10:$AR$189,160,FALSE)</f>
        <v>-4818440.9902843507</v>
      </c>
      <c r="F36" s="1129">
        <f>HLOOKUP($B36,'SEF-34 pg 2-36'!$E$10:$AR$250,221,FALSE)</f>
        <v>-7251841.4363879003</v>
      </c>
      <c r="G36" s="1127">
        <f t="shared" si="0"/>
        <v>-12370885.96639055</v>
      </c>
      <c r="H36" s="1129">
        <f>HLOOKUP($B36,'SEF-34 pg 2-36'!$E$10:$AR$311,282,FALSE)</f>
        <v>-6593048.6901741503</v>
      </c>
      <c r="I36" s="1127">
        <f>HLOOKUP($B36,'SEF-34 pg 2-36'!$E$10:$AR$65,40,FALSE)</f>
        <v>0</v>
      </c>
      <c r="J36" s="1128">
        <f>HLOOKUP($B36,'SEF-34 pg 2-36'!$E$10:$AR$126,101,FALSE)</f>
        <v>46959913.410709992</v>
      </c>
      <c r="K36" s="1128">
        <f>HLOOKUP($B36,'SEF-34 pg 2-36'!$E$10:$AR$189,162,FALSE)</f>
        <v>54132411.425150014</v>
      </c>
      <c r="L36" s="1129">
        <f>HLOOKUP($B36,'SEF-34 pg 2-36'!$E$10:$AR$250,223,FALSE)</f>
        <v>4403069.303989986</v>
      </c>
      <c r="M36" s="1127">
        <f t="shared" si="1"/>
        <v>105495394.13985001</v>
      </c>
      <c r="N36" s="1129">
        <f>HLOOKUP($B36,'SEF-34 pg 2-36'!$E$10:$AR$311,284,FALSE)</f>
        <v>44104526.972805083</v>
      </c>
    </row>
    <row r="37" spans="1:14" x14ac:dyDescent="0.25">
      <c r="A37" s="1123" t="s">
        <v>703</v>
      </c>
      <c r="B37" s="1117" t="s">
        <v>704</v>
      </c>
      <c r="C37" s="1127">
        <f>HLOOKUP($B37,'SEF-34 pg 2-36'!$E$10:$AR$65,38,FALSE)</f>
        <v>-1702914.1352699972</v>
      </c>
      <c r="D37" s="1128">
        <f>HLOOKUP($B37,'SEF-34 pg 2-36'!$E$10:$AR$126,99,FALSE)</f>
        <v>0</v>
      </c>
      <c r="E37" s="1128">
        <f>HLOOKUP($B37,'SEF-34 pg 2-36'!$E$10:$AR$189,160,FALSE)</f>
        <v>0</v>
      </c>
      <c r="F37" s="1129">
        <f>HLOOKUP($B37,'SEF-34 pg 2-36'!$E$10:$AR$250,221,FALSE)</f>
        <v>0</v>
      </c>
      <c r="G37" s="1127">
        <f t="shared" si="0"/>
        <v>-1702914.1352699972</v>
      </c>
      <c r="H37" s="1129">
        <f>HLOOKUP($B37,'SEF-34 pg 2-36'!$E$10:$AR$311,282,FALSE)</f>
        <v>0</v>
      </c>
      <c r="I37" s="1127">
        <f>HLOOKUP($B37,'SEF-34 pg 2-36'!$E$10:$AR$65,40,FALSE)</f>
        <v>0</v>
      </c>
      <c r="J37" s="1128">
        <f>HLOOKUP($B37,'SEF-34 pg 2-36'!$E$10:$AR$126,101,FALSE)</f>
        <v>0</v>
      </c>
      <c r="K37" s="1128">
        <f>HLOOKUP($B37,'SEF-34 pg 2-36'!$E$10:$AR$189,162,FALSE)</f>
        <v>0</v>
      </c>
      <c r="L37" s="1129">
        <f>HLOOKUP($B37,'SEF-34 pg 2-36'!$E$10:$AR$250,223,FALSE)</f>
        <v>0</v>
      </c>
      <c r="M37" s="1127">
        <f t="shared" si="1"/>
        <v>0</v>
      </c>
      <c r="N37" s="1129">
        <f>HLOOKUP($B37,'SEF-34 pg 2-36'!$E$10:$AR$311,284,FALSE)</f>
        <v>0</v>
      </c>
    </row>
    <row r="38" spans="1:14" x14ac:dyDescent="0.25">
      <c r="A38" s="1123" t="s">
        <v>705</v>
      </c>
      <c r="B38" s="1117" t="s">
        <v>706</v>
      </c>
      <c r="C38" s="1127">
        <f>HLOOKUP($B38,'SEF-34 pg 2-36'!$E$10:$AR$65,38,FALSE)</f>
        <v>-1275792.7171000002</v>
      </c>
      <c r="D38" s="1128">
        <f>HLOOKUP($B38,'SEF-34 pg 2-36'!$E$10:$AR$126,99,FALSE)</f>
        <v>0</v>
      </c>
      <c r="E38" s="1128">
        <f>HLOOKUP($B38,'SEF-34 pg 2-36'!$E$10:$AR$189,160,FALSE)</f>
        <v>0</v>
      </c>
      <c r="F38" s="1129">
        <f>HLOOKUP($B38,'SEF-34 pg 2-36'!$E$10:$AR$250,221,FALSE)</f>
        <v>-2616499.8260468571</v>
      </c>
      <c r="G38" s="1127">
        <f t="shared" si="0"/>
        <v>-3892292.5431468571</v>
      </c>
      <c r="H38" s="1129">
        <f>HLOOKUP($B38,'SEF-34 pg 2-36'!$E$10:$AR$311,282,FALSE)</f>
        <v>0</v>
      </c>
      <c r="I38" s="1127">
        <f>HLOOKUP($B38,'SEF-34 pg 2-36'!$E$10:$AR$65,40,FALSE)</f>
        <v>0</v>
      </c>
      <c r="J38" s="1128">
        <f>HLOOKUP($B38,'SEF-34 pg 2-36'!$E$10:$AR$126,101,FALSE)</f>
        <v>0</v>
      </c>
      <c r="K38" s="1128">
        <f>HLOOKUP($B38,'SEF-34 pg 2-36'!$E$10:$AR$189,162,FALSE)</f>
        <v>0</v>
      </c>
      <c r="L38" s="1129">
        <f>HLOOKUP($B38,'SEF-34 pg 2-36'!$E$10:$AR$250,223,FALSE)</f>
        <v>0</v>
      </c>
      <c r="M38" s="1127">
        <f t="shared" si="1"/>
        <v>0</v>
      </c>
      <c r="N38" s="1129">
        <f>HLOOKUP($B38,'SEF-34 pg 2-36'!$E$10:$AR$311,284,FALSE)</f>
        <v>0</v>
      </c>
    </row>
    <row r="39" spans="1:14" x14ac:dyDescent="0.25">
      <c r="A39" s="1123" t="s">
        <v>707</v>
      </c>
      <c r="B39" s="1117" t="s">
        <v>708</v>
      </c>
      <c r="C39" s="1127">
        <f>HLOOKUP($B39,'SEF-34 pg 2-36'!$E$10:$AR$65,38,FALSE)</f>
        <v>69091.03</v>
      </c>
      <c r="D39" s="1128">
        <f>HLOOKUP($B39,'SEF-34 pg 2-36'!$E$10:$AR$126,99,FALSE)</f>
        <v>0</v>
      </c>
      <c r="E39" s="1128">
        <f>HLOOKUP($B39,'SEF-34 pg 2-36'!$E$10:$AR$189,160,FALSE)</f>
        <v>0</v>
      </c>
      <c r="F39" s="1129">
        <f>HLOOKUP($B39,'SEF-34 pg 2-36'!$E$10:$AR$250,221,FALSE)</f>
        <v>-48980</v>
      </c>
      <c r="G39" s="1127">
        <f t="shared" si="0"/>
        <v>20111.03</v>
      </c>
      <c r="H39" s="1129">
        <f>HLOOKUP($B39,'SEF-34 pg 2-36'!$E$10:$AR$311,282,FALSE)</f>
        <v>0</v>
      </c>
      <c r="I39" s="1127">
        <f>HLOOKUP($B39,'SEF-34 pg 2-36'!$E$10:$AR$65,40,FALSE)</f>
        <v>0</v>
      </c>
      <c r="J39" s="1128">
        <f>HLOOKUP($B39,'SEF-34 pg 2-36'!$E$10:$AR$126,101,FALSE)</f>
        <v>0</v>
      </c>
      <c r="K39" s="1128">
        <f>HLOOKUP($B39,'SEF-34 pg 2-36'!$E$10:$AR$189,162,FALSE)</f>
        <v>0</v>
      </c>
      <c r="L39" s="1129">
        <f>HLOOKUP($B39,'SEF-34 pg 2-36'!$E$10:$AR$250,223,FALSE)</f>
        <v>0</v>
      </c>
      <c r="M39" s="1127">
        <f t="shared" si="1"/>
        <v>0</v>
      </c>
      <c r="N39" s="1129">
        <f>HLOOKUP($B39,'SEF-34 pg 2-36'!$E$10:$AR$311,284,FALSE)</f>
        <v>0</v>
      </c>
    </row>
    <row r="40" spans="1:14" x14ac:dyDescent="0.25">
      <c r="A40" s="1123" t="s">
        <v>1034</v>
      </c>
      <c r="B40" s="1117" t="s">
        <v>709</v>
      </c>
      <c r="C40" s="1127">
        <f>HLOOKUP($B40,'SEF-34 pg 2-36'!$E$10:$AR$65,38,FALSE)</f>
        <v>0</v>
      </c>
      <c r="D40" s="1128">
        <f>HLOOKUP($B40,'SEF-34 pg 2-36'!$E$10:$AR$126,99,FALSE)</f>
        <v>0</v>
      </c>
      <c r="E40" s="1128">
        <f>HLOOKUP($B40,'SEF-34 pg 2-36'!$E$10:$AR$189,160,FALSE)</f>
        <v>0</v>
      </c>
      <c r="F40" s="1129">
        <f>HLOOKUP($B40,'SEF-34 pg 2-36'!$E$10:$AR$250,221,FALSE)</f>
        <v>0</v>
      </c>
      <c r="G40" s="1127">
        <f t="shared" si="0"/>
        <v>0</v>
      </c>
      <c r="H40" s="1129">
        <f>HLOOKUP($B40,'SEF-34 pg 2-36'!$E$10:$AR$311,282,FALSE)</f>
        <v>0</v>
      </c>
      <c r="I40" s="1127">
        <f>HLOOKUP($B40,'SEF-34 pg 2-36'!$E$10:$AR$65,40,FALSE)</f>
        <v>0</v>
      </c>
      <c r="J40" s="1128">
        <f>HLOOKUP($B40,'SEF-34 pg 2-36'!$E$10:$AR$126,101,FALSE)</f>
        <v>0</v>
      </c>
      <c r="K40" s="1128">
        <f>HLOOKUP($B40,'SEF-34 pg 2-36'!$E$10:$AR$189,162,FALSE)</f>
        <v>0</v>
      </c>
      <c r="L40" s="1129">
        <f>HLOOKUP($B40,'SEF-34 pg 2-36'!$E$10:$AR$250,223,FALSE)</f>
        <v>0</v>
      </c>
      <c r="M40" s="1127">
        <f t="shared" si="1"/>
        <v>0</v>
      </c>
      <c r="N40" s="1129">
        <f>HLOOKUP($B40,'SEF-34 pg 2-36'!$E$10:$AR$311,284,FALSE)</f>
        <v>0</v>
      </c>
    </row>
    <row r="41" spans="1:14" x14ac:dyDescent="0.25">
      <c r="A41" s="1123" t="s">
        <v>710</v>
      </c>
      <c r="B41" s="1117" t="s">
        <v>134</v>
      </c>
      <c r="C41" s="1127">
        <f>HLOOKUP($B41,'SEF-34 pg 2-36'!$E$10:$AR$65,38,FALSE)</f>
        <v>0</v>
      </c>
      <c r="D41" s="1128">
        <f>HLOOKUP($B41,'SEF-34 pg 2-36'!$E$10:$AR$126,99,FALSE)</f>
        <v>0</v>
      </c>
      <c r="E41" s="1128">
        <f>HLOOKUP($B41,'SEF-34 pg 2-36'!$E$10:$AR$189,160,FALSE)</f>
        <v>0</v>
      </c>
      <c r="F41" s="1129">
        <f>HLOOKUP($B41,'SEF-34 pg 2-36'!$E$10:$AR$250,221,FALSE)</f>
        <v>-318969.52152150846</v>
      </c>
      <c r="G41" s="1127">
        <f t="shared" si="0"/>
        <v>-318969.52152150846</v>
      </c>
      <c r="H41" s="1129">
        <f>HLOOKUP($B41,'SEF-34 pg 2-36'!$E$10:$AR$311,282,FALSE)</f>
        <v>-11163.933253252708</v>
      </c>
      <c r="I41" s="1127">
        <f>HLOOKUP($B41,'SEF-34 pg 2-36'!$E$10:$AR$65,40,FALSE)</f>
        <v>0</v>
      </c>
      <c r="J41" s="1128">
        <f>HLOOKUP($B41,'SEF-34 pg 2-36'!$E$10:$AR$126,101,FALSE)</f>
        <v>0</v>
      </c>
      <c r="K41" s="1128">
        <f>HLOOKUP($B41,'SEF-34 pg 2-36'!$E$10:$AR$189,162,FALSE)</f>
        <v>0</v>
      </c>
      <c r="L41" s="1129">
        <f>HLOOKUP($B41,'SEF-34 pg 2-36'!$E$10:$AR$250,223,FALSE)</f>
        <v>0</v>
      </c>
      <c r="M41" s="1127">
        <f t="shared" si="1"/>
        <v>0</v>
      </c>
      <c r="N41" s="1129">
        <f>HLOOKUP($B41,'SEF-34 pg 2-36'!$E$10:$AR$311,284,FALSE)</f>
        <v>0</v>
      </c>
    </row>
    <row r="42" spans="1:14" x14ac:dyDescent="0.25">
      <c r="A42" s="1123" t="s">
        <v>725</v>
      </c>
      <c r="B42" s="1117" t="s">
        <v>135</v>
      </c>
      <c r="C42" s="1127">
        <f>HLOOKUP($B42,'SEF-34 pg 2-36'!$E$10:$AS$65,39,FALSE)</f>
        <v>0</v>
      </c>
      <c r="D42" s="1128">
        <f>HLOOKUP($B42,'SEF-34 pg 2-36'!$E$10:$AS$126,99,FALSE)</f>
        <v>0</v>
      </c>
      <c r="E42" s="1128">
        <f>HLOOKUP($B42,'SEF-34 pg 2-36'!$E$10:$AS$189,160,FALSE)</f>
        <v>0</v>
      </c>
      <c r="F42" s="1126">
        <f>HLOOKUP($B42,'SEF-34 pg 2-36'!$E$10:$AS$250,221,FALSE)</f>
        <v>-473094.90797310008</v>
      </c>
      <c r="G42" s="1124">
        <f t="shared" si="0"/>
        <v>-473094.90797310008</v>
      </c>
      <c r="H42" s="1126">
        <f>HLOOKUP($B42,'SEF-34 pg 2-36'!$E$10:$AS$311,282,FALSE)</f>
        <v>-517474.02904289996</v>
      </c>
      <c r="I42" s="1127">
        <f>HLOOKUP($B42,'SEF-34 pg 2-36'!$E$10:$AS$65,40,FALSE)</f>
        <v>0</v>
      </c>
      <c r="J42" s="1128">
        <f>HLOOKUP($B42,'SEF-34 pg 2-36'!$E$10:$AS$126,101,FALSE)</f>
        <v>0</v>
      </c>
      <c r="K42" s="1128">
        <f>HLOOKUP($B42,'SEF-34 pg 2-36'!$E$10:$AS$189,162,FALSE)</f>
        <v>0</v>
      </c>
      <c r="L42" s="1129">
        <f>HLOOKUP($B42,'SEF-34 pg 2-36'!$E$10:$AS$250,223,FALSE)</f>
        <v>0</v>
      </c>
      <c r="M42" s="1127">
        <f t="shared" si="1"/>
        <v>0</v>
      </c>
      <c r="N42" s="1129">
        <f>HLOOKUP($B42,'SEF-34 pg 2-36'!$E$10:$AS$311,284,FALSE)</f>
        <v>0</v>
      </c>
    </row>
    <row r="43" spans="1:14" x14ac:dyDescent="0.25">
      <c r="A43" s="1123">
        <v>11.39</v>
      </c>
      <c r="B43" s="1117" t="s">
        <v>1033</v>
      </c>
      <c r="C43" s="1127">
        <f>HLOOKUP($B43,'SEF-34 pg 2-36'!$E$10:$AR$65,38,FALSE)</f>
        <v>0</v>
      </c>
      <c r="D43" s="1125">
        <f>HLOOKUP($B43,'SEF-34 pg 2-36'!$E$10:$AR$126,99,FALSE)</f>
        <v>-15129569.386107001</v>
      </c>
      <c r="E43" s="1128">
        <f>HLOOKUP($B43,'SEF-34 pg 2-36'!$E$10:$AR$189,160,FALSE)</f>
        <v>0</v>
      </c>
      <c r="F43" s="1129">
        <f>HLOOKUP($B43,'SEF-34 pg 2-36'!$E$10:$AR$250,221,FALSE)</f>
        <v>0</v>
      </c>
      <c r="G43" s="1124">
        <f t="shared" si="0"/>
        <v>-15129569.386107001</v>
      </c>
      <c r="H43" s="1129">
        <f>HLOOKUP($B43,'SEF-34 pg 2-36'!$E$10:$AR$311,282,FALSE)</f>
        <v>0</v>
      </c>
      <c r="I43" s="1127">
        <f>HLOOKUP($B43,'SEF-34 pg 2-36'!$E$10:$AR$65,40,FALSE)</f>
        <v>0</v>
      </c>
      <c r="J43" s="1128">
        <f>HLOOKUP($B43,'SEF-34 pg 2-36'!$E$10:$AR$126,101,FALSE)</f>
        <v>-244980865.4539476</v>
      </c>
      <c r="K43" s="1128">
        <f>HLOOKUP($B43,'SEF-34 pg 2-36'!$E$10:$AR$189,162,FALSE)</f>
        <v>0</v>
      </c>
      <c r="L43" s="1129">
        <f>HLOOKUP($B43,'SEF-34 pg 2-36'!$E$10:$AR$250,223,FALSE)</f>
        <v>0</v>
      </c>
      <c r="M43" s="1127">
        <f t="shared" si="1"/>
        <v>-244980865.4539476</v>
      </c>
      <c r="N43" s="1129">
        <f>HLOOKUP($B43,'SEF-34 pg 2-36'!$E$10:$AR$311,284,FALSE)</f>
        <v>0</v>
      </c>
    </row>
    <row r="44" spans="1:14" x14ac:dyDescent="0.25">
      <c r="A44" s="1123">
        <v>11.4</v>
      </c>
      <c r="B44" s="1117" t="s">
        <v>1032</v>
      </c>
      <c r="C44" s="1127">
        <f>HLOOKUP($B44,'SEF-34 pg 2-36'!$E$10:$AR$65,38,FALSE)</f>
        <v>0</v>
      </c>
      <c r="D44" s="1128">
        <f>HLOOKUP($B44,'SEF-34 pg 2-36'!$E$10:$AR$126,99,FALSE)</f>
        <v>-2374790.7095624562</v>
      </c>
      <c r="E44" s="1128">
        <f>HLOOKUP($B44,'SEF-34 pg 2-36'!$E$10:$AR$189,160,FALSE)</f>
        <v>1994565.5414671653</v>
      </c>
      <c r="F44" s="1129">
        <f>HLOOKUP($B44,'SEF-34 pg 2-36'!$E$10:$AR$250,221,FALSE)</f>
        <v>-10199.104871913682</v>
      </c>
      <c r="G44" s="1127">
        <f t="shared" si="0"/>
        <v>-390424.27296720457</v>
      </c>
      <c r="H44" s="1129">
        <f>HLOOKUP($B44,'SEF-34 pg 2-36'!$E$10:$AR$311,282,FALSE)</f>
        <v>4573331.9478821624</v>
      </c>
      <c r="I44" s="1127">
        <f>HLOOKUP($B44,'SEF-34 pg 2-36'!$E$10:$AR$65,40,FALSE)</f>
        <v>0</v>
      </c>
      <c r="J44" s="1128">
        <f>HLOOKUP($B44,'SEF-34 pg 2-36'!$E$10:$AR$126,101,FALSE)</f>
        <v>24719599.411719467</v>
      </c>
      <c r="K44" s="1128">
        <f>HLOOKUP($B44,'SEF-34 pg 2-36'!$E$10:$AR$189,162,FALSE)</f>
        <v>-8672507.3526021261</v>
      </c>
      <c r="L44" s="1129">
        <f>HLOOKUP($B44,'SEF-34 pg 2-36'!$E$10:$AR$250,223,FALSE)</f>
        <v>-5170723.4230643986</v>
      </c>
      <c r="M44" s="1127">
        <f t="shared" si="1"/>
        <v>10876368.636052944</v>
      </c>
      <c r="N44" s="1129">
        <f>HLOOKUP($B44,'SEF-34 pg 2-36'!$E$10:$AR$311,284,FALSE)</f>
        <v>-5437988.3141693044</v>
      </c>
    </row>
    <row r="45" spans="1:14" x14ac:dyDescent="0.25">
      <c r="A45" s="1123">
        <v>11.41</v>
      </c>
      <c r="B45" s="1117" t="s">
        <v>1031</v>
      </c>
      <c r="C45" s="1127">
        <f>HLOOKUP($B45,'SEF-34 pg 2-36'!$E$10:$AR$65,38,FALSE)</f>
        <v>662617.10414054128</v>
      </c>
      <c r="D45" s="1128">
        <f>HLOOKUP($B45,'SEF-34 pg 2-36'!$E$10:$AR$126,99,FALSE)</f>
        <v>330440.00281978119</v>
      </c>
      <c r="E45" s="1128">
        <f>HLOOKUP($B45,'SEF-34 pg 2-36'!$E$10:$AR$189,160,FALSE)</f>
        <v>660880.00563955808</v>
      </c>
      <c r="F45" s="1131">
        <f>HLOOKUP($B45,'SEF-34 pg 2-36'!$E$10:$AR$250,221,FALSE)</f>
        <v>522095.20445525099</v>
      </c>
      <c r="G45" s="1127">
        <f t="shared" si="0"/>
        <v>2176032.3170551313</v>
      </c>
      <c r="H45" s="1129">
        <f>HLOOKUP($B45,'SEF-34 pg 2-36'!$E$10:$AR$311,282,FALSE)</f>
        <v>684799.57034431375</v>
      </c>
      <c r="I45" s="1127">
        <f>HLOOKUP($B45,'SEF-34 pg 2-36'!$E$10:$AR$65,40,FALSE)</f>
        <v>-24218047.431628965</v>
      </c>
      <c r="J45" s="1128">
        <f>HLOOKUP($B45,'SEF-34 pg 2-36'!$E$10:$AR$126,101,FALSE)</f>
        <v>488404.91943644884</v>
      </c>
      <c r="K45" s="1128">
        <f>HLOOKUP($B45,'SEF-34 pg 2-36'!$E$10:$AR$189,162,FALSE)</f>
        <v>953145.69718474289</v>
      </c>
      <c r="L45" s="1129">
        <f>HLOOKUP($B45,'SEF-34 pg 2-36'!$E$10:$AR$250,223,FALSE)</f>
        <v>576639.62190245662</v>
      </c>
      <c r="M45" s="1127">
        <f t="shared" si="1"/>
        <v>-22199857.193105318</v>
      </c>
      <c r="N45" s="1129">
        <f>HLOOKUP($B45,'SEF-34 pg 2-36'!$E$10:$AR$311,284,FALSE)</f>
        <v>1152189.4358550543</v>
      </c>
    </row>
    <row r="46" spans="1:14" ht="15.75" thickBot="1" x14ac:dyDescent="0.3">
      <c r="A46" s="1132"/>
      <c r="B46" s="1133" t="s">
        <v>723</v>
      </c>
      <c r="C46" s="1134">
        <f t="shared" ref="C46:N46" si="2">SUM(C4:C45)</f>
        <v>212745192.52175143</v>
      </c>
      <c r="D46" s="1865">
        <f t="shared" si="2"/>
        <v>134005551.37923259</v>
      </c>
      <c r="E46" s="1865">
        <f t="shared" si="2"/>
        <v>118144365.03319801</v>
      </c>
      <c r="F46" s="1864">
        <f t="shared" si="2"/>
        <v>30177041.730425194</v>
      </c>
      <c r="G46" s="1134">
        <f t="shared" si="2"/>
        <v>30177041.730425157</v>
      </c>
      <c r="H46" s="1864">
        <f t="shared" si="2"/>
        <v>19810710.780777402</v>
      </c>
      <c r="I46" s="1862">
        <f t="shared" si="2"/>
        <v>2910473035.7707133</v>
      </c>
      <c r="J46" s="1863">
        <f t="shared" si="2"/>
        <v>2802449377.1695065</v>
      </c>
      <c r="K46" s="1863">
        <f t="shared" si="2"/>
        <v>2900790224.7216001</v>
      </c>
      <c r="L46" s="1861">
        <f t="shared" si="2"/>
        <v>2866503992.9496741</v>
      </c>
      <c r="M46" s="1862">
        <f t="shared" si="2"/>
        <v>2866503992.9496746</v>
      </c>
      <c r="N46" s="1861">
        <f t="shared" si="2"/>
        <v>2863128296.2018137</v>
      </c>
    </row>
    <row r="47" spans="1:14" ht="15.75" thickTop="1" x14ac:dyDescent="0.25"/>
    <row r="48" spans="1:14" x14ac:dyDescent="0.25">
      <c r="A48" s="1298" t="s">
        <v>838</v>
      </c>
    </row>
    <row r="50" spans="2:14" x14ac:dyDescent="0.25">
      <c r="B50" s="1136"/>
      <c r="C50" s="1137"/>
      <c r="D50" s="1137"/>
      <c r="E50" s="1137"/>
      <c r="F50" s="1137"/>
      <c r="G50" s="1137"/>
      <c r="H50" s="1137"/>
      <c r="I50" s="1137"/>
      <c r="J50" s="1137"/>
      <c r="K50" s="1137"/>
      <c r="L50" s="1137"/>
      <c r="M50" s="1137"/>
      <c r="N50" s="1137"/>
    </row>
    <row r="51" spans="2:14" x14ac:dyDescent="0.25">
      <c r="B51" s="1136"/>
      <c r="C51" s="1137"/>
      <c r="D51" s="1137"/>
      <c r="E51" s="1137"/>
      <c r="F51" s="1137"/>
      <c r="G51" s="1137"/>
      <c r="H51" s="1137"/>
      <c r="I51" s="1137"/>
      <c r="J51" s="1137"/>
      <c r="K51" s="1137"/>
      <c r="L51" s="1137"/>
      <c r="M51" s="1137"/>
      <c r="N51" s="1137"/>
    </row>
  </sheetData>
  <printOptions horizontalCentered="1"/>
  <pageMargins left="0.2" right="0.2" top="0.5" bottom="0.5" header="0.3" footer="0.3"/>
  <pageSetup scale="57" orientation="landscape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1"/>
  <sheetViews>
    <sheetView tabSelected="1" workbookViewId="0">
      <pane xSplit="2" ySplit="3" topLeftCell="C19" activePane="bottomRight" state="frozen"/>
      <selection sqref="A1:M83"/>
      <selection pane="topRight" sqref="A1:M83"/>
      <selection pane="bottomLeft" sqref="A1:M83"/>
      <selection pane="bottomRight" activeCell="A60" sqref="A60:XFD60"/>
    </sheetView>
  </sheetViews>
  <sheetFormatPr defaultColWidth="9.140625" defaultRowHeight="15" outlineLevelCol="1" x14ac:dyDescent="0.25"/>
  <cols>
    <col min="1" max="1" width="8.28515625" style="19" customWidth="1"/>
    <col min="2" max="2" width="48.85546875" style="19" bestFit="1" customWidth="1"/>
    <col min="3" max="3" width="13.7109375" style="19" customWidth="1" outlineLevel="1"/>
    <col min="4" max="5" width="13.42578125" style="19" customWidth="1" outlineLevel="1"/>
    <col min="6" max="6" width="13.7109375" style="19" customWidth="1" outlineLevel="1" collapsed="1"/>
    <col min="7" max="7" width="13.7109375" style="19" bestFit="1" customWidth="1"/>
    <col min="8" max="8" width="13.7109375" bestFit="1" customWidth="1"/>
    <col min="9" max="9" width="14.42578125" style="1866" bestFit="1" customWidth="1"/>
    <col min="10" max="10" width="13.42578125" hidden="1" customWidth="1" outlineLevel="1"/>
    <col min="11" max="11" width="20.42578125" hidden="1" customWidth="1" outlineLevel="1"/>
    <col min="12" max="12" width="9.140625" collapsed="1"/>
    <col min="13" max="13" width="20.42578125" customWidth="1"/>
  </cols>
  <sheetData>
    <row r="1" spans="1:11" x14ac:dyDescent="0.25">
      <c r="A1" s="1106" t="s">
        <v>724</v>
      </c>
      <c r="H1" s="19"/>
    </row>
    <row r="2" spans="1:11" x14ac:dyDescent="0.25">
      <c r="A2" s="1107"/>
      <c r="B2" s="1108"/>
      <c r="C2" s="1138"/>
      <c r="D2" s="1139"/>
      <c r="E2" s="1139"/>
      <c r="F2" s="1108"/>
      <c r="G2" s="1109" t="s">
        <v>1045</v>
      </c>
      <c r="H2" s="1140"/>
    </row>
    <row r="3" spans="1:11" ht="45" x14ac:dyDescent="0.25">
      <c r="A3" s="1113" t="s">
        <v>624</v>
      </c>
      <c r="B3" s="1114" t="s">
        <v>625</v>
      </c>
      <c r="C3" s="1113" t="s">
        <v>626</v>
      </c>
      <c r="D3" s="1115" t="s">
        <v>627</v>
      </c>
      <c r="E3" s="1115" t="s">
        <v>628</v>
      </c>
      <c r="F3" s="1114" t="s">
        <v>629</v>
      </c>
      <c r="G3" s="1113" t="s">
        <v>630</v>
      </c>
      <c r="H3" s="1114" t="s">
        <v>631</v>
      </c>
    </row>
    <row r="4" spans="1:11" x14ac:dyDescent="0.25">
      <c r="A4" s="1116"/>
      <c r="B4" s="1117" t="s">
        <v>638</v>
      </c>
      <c r="C4" s="1141">
        <f>'SEF-34 pg 2-36'!D65</f>
        <v>57758011.12916255</v>
      </c>
      <c r="D4" s="1141">
        <f>C47</f>
        <v>13147985.546908161</v>
      </c>
      <c r="E4" s="1141">
        <f>D47</f>
        <v>106688840.09943253</v>
      </c>
      <c r="F4" s="1141">
        <f>E47</f>
        <v>137726200.49826518</v>
      </c>
      <c r="G4" s="1141">
        <f>C4</f>
        <v>57758011.12916255</v>
      </c>
      <c r="H4" s="1886"/>
    </row>
    <row r="5" spans="1:11" x14ac:dyDescent="0.25">
      <c r="A5" s="1123" t="s">
        <v>639</v>
      </c>
      <c r="B5" s="1117" t="s">
        <v>640</v>
      </c>
      <c r="C5" s="1127">
        <f>HLOOKUP($B5,'SEF-34 pg 2-36'!$E$10:$AR$65,56,FALSE)</f>
        <v>-42764598.153237566</v>
      </c>
      <c r="D5" s="1128">
        <f>HLOOKUP($B5,'SEF-34 pg 2-36'!$E$10:$AR$126,117,FALSE)</f>
        <v>58370822.895894624</v>
      </c>
      <c r="E5" s="1125">
        <f>HLOOKUP($B5,'SEF-34 pg 2-36'!$E$10:$AR$189,178,FALSE)</f>
        <v>10379439.36891593</v>
      </c>
      <c r="F5" s="1126">
        <f>HLOOKUP($B5,'SEF-34 pg 2-36'!$E$10:$AR$250,239,FALSE)</f>
        <v>8527588.8853307385</v>
      </c>
      <c r="G5" s="1124">
        <f t="shared" ref="G5:G45" si="0">SUM(C5:F5)</f>
        <v>34513252.996903725</v>
      </c>
      <c r="H5" s="1126">
        <f>HLOOKUP($B5,'SEF-34 pg 2-36'!$E$10:$AR$311,300,FALSE)</f>
        <v>2749024.8067777138</v>
      </c>
    </row>
    <row r="6" spans="1:11" x14ac:dyDescent="0.25">
      <c r="A6" s="1123" t="s">
        <v>641</v>
      </c>
      <c r="B6" s="1117" t="s">
        <v>642</v>
      </c>
      <c r="C6" s="1124">
        <f>HLOOKUP($B6,'SEF-34 pg 2-36'!$E$10:$AR$65,56,FALSE)</f>
        <v>-3518293.8208582052</v>
      </c>
      <c r="D6" s="1128">
        <f>HLOOKUP($B6,'SEF-34 pg 2-36'!$E$10:$AR$126,117,FALSE)</f>
        <v>0</v>
      </c>
      <c r="E6" s="1128">
        <f>HLOOKUP($B6,'SEF-34 pg 2-36'!$E$10:$AR$189,178,FALSE)</f>
        <v>0</v>
      </c>
      <c r="F6" s="1129">
        <f>HLOOKUP($B6,'SEF-34 pg 2-36'!$E$10:$AR$250,239,FALSE)</f>
        <v>0</v>
      </c>
      <c r="G6" s="1124">
        <f t="shared" si="0"/>
        <v>-3518293.8208582052</v>
      </c>
      <c r="H6" s="1129">
        <f>HLOOKUP($B6,'SEF-34 pg 2-36'!$E$10:$AR$311,300,FALSE)</f>
        <v>0</v>
      </c>
      <c r="J6" s="1885"/>
      <c r="K6" s="1660"/>
    </row>
    <row r="7" spans="1:11" x14ac:dyDescent="0.25">
      <c r="A7" s="1123" t="s">
        <v>643</v>
      </c>
      <c r="B7" s="1117" t="s">
        <v>644</v>
      </c>
      <c r="C7" s="1124">
        <f>HLOOKUP($B7,'SEF-34 pg 2-36'!$E$10:$AR$65,56,FALSE)</f>
        <v>480316.00516370451</v>
      </c>
      <c r="D7" s="1128">
        <f>HLOOKUP($B7,'SEF-34 pg 2-36'!$E$10:$AR$126,117,FALSE)</f>
        <v>23455855.920842841</v>
      </c>
      <c r="E7" s="1128">
        <f>HLOOKUP($B7,'SEF-34 pg 2-36'!$E$10:$AR$189,178,FALSE)</f>
        <v>0</v>
      </c>
      <c r="F7" s="1129">
        <f>HLOOKUP($B7,'SEF-34 pg 2-36'!$E$10:$AR$250,239,FALSE)</f>
        <v>0</v>
      </c>
      <c r="G7" s="1124">
        <f t="shared" si="0"/>
        <v>23936171.926006544</v>
      </c>
      <c r="H7" s="1129">
        <f>HLOOKUP($B7,'SEF-34 pg 2-36'!$E$10:$AR$311,300,FALSE)</f>
        <v>0</v>
      </c>
      <c r="J7" s="1885"/>
      <c r="K7" s="1660"/>
    </row>
    <row r="8" spans="1:11" x14ac:dyDescent="0.25">
      <c r="A8" s="1123" t="s">
        <v>645</v>
      </c>
      <c r="B8" s="1117" t="s">
        <v>646</v>
      </c>
      <c r="C8" s="1124">
        <f>HLOOKUP($B8,'SEF-34 pg 2-36'!$E$10:$AR$65,56,FALSE)</f>
        <v>3174314.7943809759</v>
      </c>
      <c r="D8" s="1125">
        <f>HLOOKUP($B8,'SEF-34 pg 2-36'!$E$10:$AR$126,117,FALSE)</f>
        <v>-176666.69541342944</v>
      </c>
      <c r="E8" s="1125">
        <f>HLOOKUP($B8,'SEF-34 pg 2-36'!$E$10:$AR$189,178,FALSE)</f>
        <v>462973.32586496818</v>
      </c>
      <c r="F8" s="1126">
        <f>HLOOKUP($B8,'SEF-34 pg 2-36'!$E$10:$AR$250,239,FALSE)</f>
        <v>-5288244.9876687722</v>
      </c>
      <c r="G8" s="1124">
        <f t="shared" si="0"/>
        <v>-1827623.5628362573</v>
      </c>
      <c r="H8" s="1126">
        <f>HLOOKUP($B8,'SEF-34 pg 2-36'!$E$10:$AR$311,300,FALSE)</f>
        <v>-245013.22178900303</v>
      </c>
      <c r="J8" s="1885"/>
      <c r="K8" s="1660"/>
    </row>
    <row r="9" spans="1:11" x14ac:dyDescent="0.25">
      <c r="A9" s="1123" t="s">
        <v>647</v>
      </c>
      <c r="B9" s="1117" t="s">
        <v>648</v>
      </c>
      <c r="C9" s="1124">
        <f>HLOOKUP($B9,'SEF-34 pg 2-36'!$E$10:$AR$65,56,FALSE)</f>
        <v>-21335348.90302214</v>
      </c>
      <c r="D9" s="1125">
        <f>HLOOKUP($B9,'SEF-34 pg 2-36'!$E$10:$AR$126,117,FALSE)</f>
        <v>791872.11759458552</v>
      </c>
      <c r="E9" s="1125">
        <f>HLOOKUP($B9,'SEF-34 pg 2-36'!$E$10:$AR$189,178,FALSE)</f>
        <v>-720891.85096580442</v>
      </c>
      <c r="F9" s="1126">
        <f>HLOOKUP($B9,'SEF-34 pg 2-36'!$E$10:$AR$250,239,FALSE)</f>
        <v>-68253.129160416167</v>
      </c>
      <c r="G9" s="1124">
        <f t="shared" si="0"/>
        <v>-21332621.765553776</v>
      </c>
      <c r="H9" s="1126">
        <f>HLOOKUP($B9,'SEF-34 pg 2-36'!$E$10:$AR$311,300,FALSE)</f>
        <v>344335.53069949325</v>
      </c>
      <c r="J9" s="1885"/>
      <c r="K9" s="1660"/>
    </row>
    <row r="10" spans="1:11" x14ac:dyDescent="0.25">
      <c r="A10" s="1123" t="s">
        <v>649</v>
      </c>
      <c r="B10" s="1117" t="s">
        <v>650</v>
      </c>
      <c r="C10" s="1124">
        <f>HLOOKUP($B10,'SEF-34 pg 2-36'!$E$10:$AR$65,56,FALSE)</f>
        <v>-282764.35780328157</v>
      </c>
      <c r="D10" s="1128">
        <f>HLOOKUP($B10,'SEF-34 pg 2-36'!$E$10:$AR$126,117,FALSE)</f>
        <v>0</v>
      </c>
      <c r="E10" s="1128">
        <f>HLOOKUP($B10,'SEF-34 pg 2-36'!$E$10:$AR$189,178,FALSE)</f>
        <v>0</v>
      </c>
      <c r="F10" s="1129">
        <f>HLOOKUP($B10,'SEF-34 pg 2-36'!$E$10:$AR$250,239,FALSE)</f>
        <v>0</v>
      </c>
      <c r="G10" s="1124">
        <f t="shared" si="0"/>
        <v>-282764.35780328157</v>
      </c>
      <c r="H10" s="1129">
        <f>HLOOKUP($B10,'SEF-34 pg 2-36'!$E$10:$AR$311,300,FALSE)</f>
        <v>0</v>
      </c>
      <c r="J10" s="1885"/>
      <c r="K10" s="1660"/>
    </row>
    <row r="11" spans="1:11" x14ac:dyDescent="0.25">
      <c r="A11" s="1123" t="s">
        <v>651</v>
      </c>
      <c r="B11" s="1117" t="s">
        <v>652</v>
      </c>
      <c r="C11" s="1124">
        <f>HLOOKUP($B11,'SEF-34 pg 2-36'!$E$10:$AR$65,56,FALSE)</f>
        <v>243440.29718989198</v>
      </c>
      <c r="D11" s="1128">
        <f>HLOOKUP($B11,'SEF-34 pg 2-36'!$E$10:$AR$126,117,FALSE)</f>
        <v>0</v>
      </c>
      <c r="E11" s="1125">
        <f>HLOOKUP($B11,'SEF-34 pg 2-36'!$E$10:$AR$189,178,FALSE)</f>
        <v>0</v>
      </c>
      <c r="F11" s="1129">
        <f>HLOOKUP($B11,'SEF-34 pg 2-36'!$E$10:$AR$250,239,FALSE)</f>
        <v>0</v>
      </c>
      <c r="G11" s="1124">
        <f t="shared" si="0"/>
        <v>243440.29718989198</v>
      </c>
      <c r="H11" s="1129">
        <f>HLOOKUP($B11,'SEF-34 pg 2-36'!$E$10:$AR$311,300,FALSE)</f>
        <v>0</v>
      </c>
      <c r="J11" s="1885"/>
      <c r="K11" s="1660"/>
    </row>
    <row r="12" spans="1:11" x14ac:dyDescent="0.25">
      <c r="A12" s="1123" t="s">
        <v>653</v>
      </c>
      <c r="B12" s="1117" t="s">
        <v>654</v>
      </c>
      <c r="C12" s="1124">
        <f>HLOOKUP($B12,'SEF-34 pg 2-36'!$E$10:$AR$65,56,FALSE)</f>
        <v>900.43921568514452</v>
      </c>
      <c r="D12" s="1128">
        <f>HLOOKUP($B12,'SEF-34 pg 2-36'!$E$10:$AR$126,117,FALSE)</f>
        <v>0</v>
      </c>
      <c r="E12" s="1128">
        <f>HLOOKUP($B12,'SEF-34 pg 2-36'!$E$10:$AR$189,178,FALSE)</f>
        <v>0</v>
      </c>
      <c r="F12" s="1129">
        <f>HLOOKUP($B12,'SEF-34 pg 2-36'!$E$10:$AR$250,239,FALSE)</f>
        <v>0</v>
      </c>
      <c r="G12" s="1124">
        <f t="shared" si="0"/>
        <v>900.43921568514452</v>
      </c>
      <c r="H12" s="1129">
        <f>HLOOKUP($B12,'SEF-34 pg 2-36'!$E$10:$AR$311,300,FALSE)</f>
        <v>0</v>
      </c>
      <c r="J12" s="1885"/>
      <c r="K12" s="1660"/>
    </row>
    <row r="13" spans="1:11" x14ac:dyDescent="0.25">
      <c r="A13" s="1123" t="s">
        <v>655</v>
      </c>
      <c r="B13" s="1117" t="s">
        <v>656</v>
      </c>
      <c r="C13" s="1124">
        <f>HLOOKUP($B13,'SEF-34 pg 2-36'!$E$10:$AR$65,56,FALSE)</f>
        <v>-18128.526876287498</v>
      </c>
      <c r="D13" s="1125">
        <f>HLOOKUP($B13,'SEF-34 pg 2-36'!$E$10:$AR$126,117,FALSE)</f>
        <v>270210.29455880914</v>
      </c>
      <c r="E13" s="1128">
        <f>HLOOKUP($B13,'SEF-34 pg 2-36'!$E$10:$AR$189,178,FALSE)</f>
        <v>0</v>
      </c>
      <c r="F13" s="1129">
        <f>HLOOKUP($B13,'SEF-34 pg 2-36'!$E$10:$AR$250,239,FALSE)</f>
        <v>0</v>
      </c>
      <c r="G13" s="1124">
        <f t="shared" si="0"/>
        <v>252081.76768252163</v>
      </c>
      <c r="H13" s="1129">
        <f>HLOOKUP($B13,'SEF-34 pg 2-36'!$E$10:$AR$311,300,FALSE)</f>
        <v>0</v>
      </c>
      <c r="J13" s="1885"/>
      <c r="K13" s="1660"/>
    </row>
    <row r="14" spans="1:11" x14ac:dyDescent="0.25">
      <c r="A14" s="1123" t="s">
        <v>657</v>
      </c>
      <c r="B14" s="1117" t="s">
        <v>658</v>
      </c>
      <c r="C14" s="1124">
        <f>HLOOKUP($B14,'SEF-34 pg 2-36'!$E$10:$AR$65,56,FALSE)</f>
        <v>-25209.814857144367</v>
      </c>
      <c r="D14" s="1128">
        <f>HLOOKUP($B14,'SEF-34 pg 2-36'!$E$10:$AR$126,117,FALSE)</f>
        <v>0</v>
      </c>
      <c r="E14" s="1128">
        <f>HLOOKUP($B14,'SEF-34 pg 2-36'!$E$10:$AR$189,178,FALSE)</f>
        <v>0</v>
      </c>
      <c r="F14" s="1129">
        <f>HLOOKUP($B14,'SEF-34 pg 2-36'!$E$10:$AR$250,239,FALSE)</f>
        <v>0</v>
      </c>
      <c r="G14" s="1124">
        <f t="shared" si="0"/>
        <v>-25209.814857144367</v>
      </c>
      <c r="H14" s="1129">
        <f>HLOOKUP($B14,'SEF-34 pg 2-36'!$E$10:$AR$311,300,FALSE)</f>
        <v>0</v>
      </c>
      <c r="J14" s="1885"/>
      <c r="K14" s="1660"/>
    </row>
    <row r="15" spans="1:11" x14ac:dyDescent="0.25">
      <c r="A15" s="1123" t="s">
        <v>659</v>
      </c>
      <c r="B15" s="1117" t="s">
        <v>660</v>
      </c>
      <c r="C15" s="1124">
        <f>HLOOKUP($B15,'SEF-34 pg 2-36'!$E$10:$AR$65,56,FALSE)</f>
        <v>-1466926.7269538443</v>
      </c>
      <c r="D15" s="1125">
        <f>HLOOKUP($B15,'SEF-34 pg 2-36'!$E$10:$AR$126,117,FALSE)</f>
        <v>245576.58345633087</v>
      </c>
      <c r="E15" s="1125">
        <f>HLOOKUP($B15,'SEF-34 pg 2-36'!$E$10:$AR$189,178,FALSE)</f>
        <v>107688.18056452239</v>
      </c>
      <c r="F15" s="1126">
        <f>HLOOKUP($B15,'SEF-34 pg 2-36'!$E$10:$AR$250,239,FALSE)</f>
        <v>25545.607949864439</v>
      </c>
      <c r="G15" s="1124">
        <f t="shared" si="0"/>
        <v>-1088116.3549831265</v>
      </c>
      <c r="H15" s="1126">
        <f>HLOOKUP($B15,'SEF-34 pg 2-36'!$E$10:$AR$311,300,FALSE)</f>
        <v>2021.1071894920938</v>
      </c>
      <c r="J15" s="1885"/>
      <c r="K15" s="1660"/>
    </row>
    <row r="16" spans="1:11" x14ac:dyDescent="0.25">
      <c r="A16" s="1123" t="s">
        <v>661</v>
      </c>
      <c r="B16" s="1117" t="s">
        <v>662</v>
      </c>
      <c r="C16" s="1124">
        <f>HLOOKUP($B16,'SEF-34 pg 2-36'!$E$10:$AR$65,56,FALSE)</f>
        <v>200573.074946904</v>
      </c>
      <c r="D16" s="1128">
        <f>HLOOKUP($B16,'SEF-34 pg 2-36'!$E$10:$AR$126,117,FALSE)</f>
        <v>0</v>
      </c>
      <c r="E16" s="1128">
        <f>HLOOKUP($B16,'SEF-34 pg 2-36'!$E$10:$AR$189,178,FALSE)</f>
        <v>0</v>
      </c>
      <c r="F16" s="1129">
        <f>HLOOKUP($B16,'SEF-34 pg 2-36'!$E$10:$AR$250,239,FALSE)</f>
        <v>0</v>
      </c>
      <c r="G16" s="1124">
        <f t="shared" si="0"/>
        <v>200573.074946904</v>
      </c>
      <c r="H16" s="1129">
        <f>HLOOKUP($B16,'SEF-34 pg 2-36'!$E$10:$AR$311,300,FALSE)</f>
        <v>0</v>
      </c>
      <c r="J16" s="1885"/>
      <c r="K16" s="1660"/>
    </row>
    <row r="17" spans="1:11" x14ac:dyDescent="0.25">
      <c r="A17" s="1123" t="s">
        <v>663</v>
      </c>
      <c r="B17" s="1117" t="s">
        <v>664</v>
      </c>
      <c r="C17" s="1124">
        <f>HLOOKUP($B17,'SEF-34 pg 2-36'!$E$10:$AR$65,56,FALSE)</f>
        <v>40486.874925399272</v>
      </c>
      <c r="D17" s="1128">
        <f>HLOOKUP($B17,'SEF-34 pg 2-36'!$E$10:$AR$126,117,FALSE)</f>
        <v>0</v>
      </c>
      <c r="E17" s="1128">
        <f>HLOOKUP($B17,'SEF-34 pg 2-36'!$E$10:$AR$189,178,FALSE)</f>
        <v>0</v>
      </c>
      <c r="F17" s="1129">
        <f>HLOOKUP($B17,'SEF-34 pg 2-36'!$E$10:$AR$250,239,FALSE)</f>
        <v>0</v>
      </c>
      <c r="G17" s="1124">
        <f t="shared" si="0"/>
        <v>40486.874925399272</v>
      </c>
      <c r="H17" s="1129">
        <f>HLOOKUP($B17,'SEF-34 pg 2-36'!$E$10:$AR$311,300,FALSE)</f>
        <v>0</v>
      </c>
      <c r="J17" s="1885"/>
      <c r="K17" s="1660"/>
    </row>
    <row r="18" spans="1:11" x14ac:dyDescent="0.25">
      <c r="A18" s="1123" t="s">
        <v>665</v>
      </c>
      <c r="B18" s="1117" t="s">
        <v>666</v>
      </c>
      <c r="C18" s="1124">
        <f>HLOOKUP($B18,'SEF-34 pg 2-36'!$E$10:$AR$65,56,FALSE)</f>
        <v>577371.62564999517</v>
      </c>
      <c r="D18" s="1128">
        <f>HLOOKUP($B18,'SEF-34 pg 2-36'!$E$10:$AR$126,117,FALSE)</f>
        <v>0</v>
      </c>
      <c r="E18" s="1128">
        <f>HLOOKUP($B18,'SEF-34 pg 2-36'!$E$10:$AR$189,178,FALSE)</f>
        <v>0</v>
      </c>
      <c r="F18" s="1129">
        <f>HLOOKUP($B18,'SEF-34 pg 2-36'!$E$10:$AR$250,239,FALSE)</f>
        <v>0</v>
      </c>
      <c r="G18" s="1124">
        <f t="shared" si="0"/>
        <v>577371.62564999517</v>
      </c>
      <c r="H18" s="1129">
        <f>HLOOKUP($B18,'SEF-34 pg 2-36'!$E$10:$AR$311,300,FALSE)</f>
        <v>0</v>
      </c>
      <c r="J18" s="1885"/>
      <c r="K18" s="1660"/>
    </row>
    <row r="19" spans="1:11" x14ac:dyDescent="0.25">
      <c r="A19" s="1123" t="s">
        <v>667</v>
      </c>
      <c r="B19" s="1117" t="s">
        <v>668</v>
      </c>
      <c r="C19" s="1124">
        <f>HLOOKUP($B19,'SEF-34 pg 2-36'!$E$10:$AR$65,56,FALSE)</f>
        <v>1032681.0702177489</v>
      </c>
      <c r="D19" s="1128">
        <f>HLOOKUP($B19,'SEF-34 pg 2-36'!$E$10:$AR$126,117,FALSE)</f>
        <v>0</v>
      </c>
      <c r="E19" s="1128">
        <f>HLOOKUP($B19,'SEF-34 pg 2-36'!$E$10:$AR$189,178,FALSE)</f>
        <v>0</v>
      </c>
      <c r="F19" s="1129">
        <f>HLOOKUP($B19,'SEF-34 pg 2-36'!$E$10:$AR$250,239,FALSE)</f>
        <v>0</v>
      </c>
      <c r="G19" s="1124">
        <f t="shared" si="0"/>
        <v>1032681.0702177489</v>
      </c>
      <c r="H19" s="1126">
        <f>HLOOKUP($B19,'SEF-34 pg 2-36'!$E$10:$AR$311,300,FALSE)</f>
        <v>-1968547.7965933813</v>
      </c>
      <c r="J19" s="1885"/>
      <c r="K19" s="1660"/>
    </row>
    <row r="20" spans="1:11" x14ac:dyDescent="0.25">
      <c r="A20" s="1123" t="s">
        <v>669</v>
      </c>
      <c r="B20" s="1117" t="s">
        <v>670</v>
      </c>
      <c r="C20" s="1124">
        <f>HLOOKUP($B20,'SEF-34 pg 2-36'!$E$10:$AR$65,56,FALSE)</f>
        <v>-17385.312773625832</v>
      </c>
      <c r="D20" s="1128">
        <f>HLOOKUP($B20,'SEF-34 pg 2-36'!$E$10:$AR$126,117,FALSE)</f>
        <v>0</v>
      </c>
      <c r="E20" s="1128">
        <f>HLOOKUP($B20,'SEF-34 pg 2-36'!$E$10:$AR$189,178,FALSE)</f>
        <v>0</v>
      </c>
      <c r="F20" s="1129">
        <f>HLOOKUP($B20,'SEF-34 pg 2-36'!$E$10:$AR$250,239,FALSE)</f>
        <v>0</v>
      </c>
      <c r="G20" s="1124">
        <f t="shared" si="0"/>
        <v>-17385.312773625832</v>
      </c>
      <c r="H20" s="1129">
        <f>HLOOKUP($B20,'SEF-34 pg 2-36'!$E$10:$AR$311,300,FALSE)</f>
        <v>0</v>
      </c>
      <c r="J20" s="1885"/>
      <c r="K20" s="1660"/>
    </row>
    <row r="21" spans="1:11" x14ac:dyDescent="0.25">
      <c r="A21" s="1123" t="s">
        <v>671</v>
      </c>
      <c r="B21" s="1117" t="s">
        <v>672</v>
      </c>
      <c r="C21" s="1124">
        <f>HLOOKUP($B21,'SEF-34 pg 2-36'!$E$10:$AR$65,56,FALSE)</f>
        <v>1482819.6799097995</v>
      </c>
      <c r="D21" s="1128">
        <f>HLOOKUP($B21,'SEF-34 pg 2-36'!$E$10:$AR$126,117,FALSE)</f>
        <v>0</v>
      </c>
      <c r="E21" s="1128">
        <f>HLOOKUP($B21,'SEF-34 pg 2-36'!$E$10:$AR$189,178,FALSE)</f>
        <v>0</v>
      </c>
      <c r="F21" s="1129">
        <f>HLOOKUP($B21,'SEF-34 pg 2-36'!$E$10:$AR$250,239,FALSE)</f>
        <v>0</v>
      </c>
      <c r="G21" s="1124">
        <f t="shared" si="0"/>
        <v>1482819.6799097995</v>
      </c>
      <c r="H21" s="1129">
        <f>HLOOKUP($B21,'SEF-34 pg 2-36'!$E$10:$AR$311,300,FALSE)</f>
        <v>0</v>
      </c>
      <c r="J21" s="1885"/>
      <c r="K21" s="1660"/>
    </row>
    <row r="22" spans="1:11" x14ac:dyDescent="0.25">
      <c r="A22" s="1123" t="s">
        <v>673</v>
      </c>
      <c r="B22" s="1117" t="s">
        <v>674</v>
      </c>
      <c r="C22" s="1124">
        <f>HLOOKUP($B22,'SEF-34 pg 2-36'!$E$10:$AR$65,56,FALSE)</f>
        <v>3882062.1720256908</v>
      </c>
      <c r="D22" s="1128">
        <f>HLOOKUP($B22,'SEF-34 pg 2-36'!$E$10:$AR$126,117,FALSE)</f>
        <v>0</v>
      </c>
      <c r="E22" s="1128">
        <f>HLOOKUP($B22,'SEF-34 pg 2-36'!$E$10:$AR$189,178,FALSE)</f>
        <v>0</v>
      </c>
      <c r="F22" s="1129">
        <f>HLOOKUP($B22,'SEF-34 pg 2-36'!$E$10:$AR$250,239,FALSE)</f>
        <v>0</v>
      </c>
      <c r="G22" s="1124">
        <f t="shared" si="0"/>
        <v>3882062.1720256908</v>
      </c>
      <c r="H22" s="1129">
        <f>HLOOKUP($B22,'SEF-34 pg 2-36'!$E$10:$AR$311,300,FALSE)</f>
        <v>0</v>
      </c>
      <c r="J22" s="1885"/>
      <c r="K22" s="1660"/>
    </row>
    <row r="23" spans="1:11" x14ac:dyDescent="0.25">
      <c r="A23" s="1123" t="s">
        <v>675</v>
      </c>
      <c r="B23" s="1117" t="s">
        <v>676</v>
      </c>
      <c r="C23" s="1124">
        <f>HLOOKUP($B23,'SEF-34 pg 2-36'!$E$10:$AR$65,56,FALSE)</f>
        <v>5123072.5731382342</v>
      </c>
      <c r="D23" s="1128">
        <f>HLOOKUP($B23,'SEF-34 pg 2-36'!$E$10:$AR$126,117,FALSE)</f>
        <v>0</v>
      </c>
      <c r="E23" s="1128">
        <f>HLOOKUP($B23,'SEF-34 pg 2-36'!$E$10:$AR$189,178,FALSE)</f>
        <v>0</v>
      </c>
      <c r="F23" s="1129">
        <f>HLOOKUP($B23,'SEF-34 pg 2-36'!$E$10:$AR$250,239,FALSE)</f>
        <v>0</v>
      </c>
      <c r="G23" s="1124">
        <f t="shared" si="0"/>
        <v>5123072.5731382342</v>
      </c>
      <c r="H23" s="1129">
        <f>HLOOKUP($B23,'SEF-34 pg 2-36'!$E$10:$AR$311,300,FALSE)</f>
        <v>0</v>
      </c>
      <c r="J23" s="1885"/>
      <c r="K23" s="1660"/>
    </row>
    <row r="24" spans="1:11" x14ac:dyDescent="0.25">
      <c r="A24" s="1123" t="s">
        <v>677</v>
      </c>
      <c r="B24" s="1117" t="s">
        <v>759</v>
      </c>
      <c r="C24" s="1124">
        <f>HLOOKUP($B24,'SEF-34 pg 2-36'!$E$10:$AR$65,56,FALSE)</f>
        <v>8364873.1509872023</v>
      </c>
      <c r="D24" s="1128">
        <f>HLOOKUP($B24,'SEF-34 pg 2-36'!$E$10:$AR$126,117,FALSE)</f>
        <v>0</v>
      </c>
      <c r="E24" s="1128">
        <f>HLOOKUP($B24,'SEF-34 pg 2-36'!$E$10:$AR$189,178,FALSE)</f>
        <v>0</v>
      </c>
      <c r="F24" s="1129">
        <f>HLOOKUP($B24,'SEF-34 pg 2-36'!$E$10:$AR$250,239,FALSE)</f>
        <v>0</v>
      </c>
      <c r="G24" s="1124">
        <f t="shared" si="0"/>
        <v>8364873.1509872023</v>
      </c>
      <c r="H24" s="1129">
        <f>HLOOKUP($B24,'SEF-34 pg 2-36'!$E$10:$AR$311,300,FALSE)</f>
        <v>0</v>
      </c>
      <c r="J24" s="1885"/>
      <c r="K24" s="1660"/>
    </row>
    <row r="25" spans="1:11" x14ac:dyDescent="0.25">
      <c r="A25" s="1123" t="s">
        <v>679</v>
      </c>
      <c r="B25" s="1117" t="s">
        <v>680</v>
      </c>
      <c r="C25" s="1124">
        <f>HLOOKUP($B25,'SEF-34 pg 2-36'!$E$10:$AR$65,56,FALSE)</f>
        <v>1365168.6752123311</v>
      </c>
      <c r="D25" s="1128">
        <f>HLOOKUP($B25,'SEF-34 pg 2-36'!$E$10:$AR$126,117,FALSE)</f>
        <v>0</v>
      </c>
      <c r="E25" s="1128">
        <f>HLOOKUP($B25,'SEF-34 pg 2-36'!$E$10:$AR$189,178,FALSE)</f>
        <v>0</v>
      </c>
      <c r="F25" s="1129">
        <f>HLOOKUP($B25,'SEF-34 pg 2-36'!$E$10:$AR$250,239,FALSE)</f>
        <v>0</v>
      </c>
      <c r="G25" s="1124">
        <f t="shared" si="0"/>
        <v>1365168.6752123311</v>
      </c>
      <c r="H25" s="1129">
        <f>HLOOKUP($B25,'SEF-34 pg 2-36'!$E$10:$AR$311,300,FALSE)</f>
        <v>0</v>
      </c>
      <c r="J25" s="1885"/>
      <c r="K25" s="1660"/>
    </row>
    <row r="26" spans="1:11" x14ac:dyDescent="0.25">
      <c r="A26" s="1123" t="s">
        <v>681</v>
      </c>
      <c r="B26" s="1117" t="s">
        <v>682</v>
      </c>
      <c r="C26" s="1127">
        <f>HLOOKUP($B26,'SEF-34 pg 2-36'!$E$10:$AR$65,56,FALSE)</f>
        <v>0</v>
      </c>
      <c r="D26" s="1128">
        <f>HLOOKUP($B26,'SEF-34 pg 2-36'!$E$10:$AR$126,117,FALSE)</f>
        <v>0</v>
      </c>
      <c r="E26" s="1128">
        <f>HLOOKUP($B26,'SEF-34 pg 2-36'!$E$10:$AR$189,178,FALSE)</f>
        <v>0</v>
      </c>
      <c r="F26" s="1126">
        <f>HLOOKUP($B26,'SEF-34 pg 2-36'!$E$10:$AR$250,239,FALSE)</f>
        <v>10356124.241104456</v>
      </c>
      <c r="G26" s="1124">
        <f t="shared" si="0"/>
        <v>10356124.241104456</v>
      </c>
      <c r="H26" s="1126">
        <f>HLOOKUP($B26,'SEF-34 pg 2-36'!$E$10:$AR$311,300,FALSE)</f>
        <v>8643324.6022556853</v>
      </c>
      <c r="J26" s="1885"/>
      <c r="K26" s="1660"/>
    </row>
    <row r="27" spans="1:11" x14ac:dyDescent="0.25">
      <c r="A27" s="1123" t="s">
        <v>683</v>
      </c>
      <c r="B27" s="1117" t="s">
        <v>684</v>
      </c>
      <c r="C27" s="1127">
        <f>HLOOKUP($B27,'SEF-34 pg 2-36'!$E$10:$AR$65,56,FALSE)</f>
        <v>0</v>
      </c>
      <c r="D27" s="1125">
        <f>HLOOKUP($B27,'SEF-34 pg 2-36'!$E$10:$AR$126,117,FALSE)</f>
        <v>-5892204.1357566174</v>
      </c>
      <c r="E27" s="1128">
        <f>HLOOKUP($B27,'SEF-34 pg 2-36'!$E$10:$AR$189,178,FALSE)</f>
        <v>0</v>
      </c>
      <c r="F27" s="1129">
        <f>HLOOKUP($B27,'SEF-34 pg 2-36'!$E$10:$AR$250,239,FALSE)</f>
        <v>0</v>
      </c>
      <c r="G27" s="1124">
        <f t="shared" si="0"/>
        <v>-5892204.1357566174</v>
      </c>
      <c r="H27" s="1129">
        <f>HLOOKUP($B27,'SEF-34 pg 2-36'!$E$10:$AR$311,300,FALSE)</f>
        <v>0</v>
      </c>
      <c r="J27" s="1885"/>
      <c r="K27" s="1660"/>
    </row>
    <row r="28" spans="1:11" x14ac:dyDescent="0.25">
      <c r="A28" s="1123" t="s">
        <v>685</v>
      </c>
      <c r="B28" s="1117" t="s">
        <v>686</v>
      </c>
      <c r="C28" s="1124">
        <f>HLOOKUP($B28,'SEF-34 pg 2-36'!$E$10:$AR$65,56,FALSE)</f>
        <v>-2028137.6762464072</v>
      </c>
      <c r="D28" s="1125">
        <f>HLOOKUP($B28,'SEF-34 pg 2-36'!$E$10:$AR$126,117,FALSE)</f>
        <v>5872306.2962464076</v>
      </c>
      <c r="E28" s="1125">
        <f>HLOOKUP($B28,'SEF-34 pg 2-36'!$E$10:$AR$189,178,FALSE)</f>
        <v>0</v>
      </c>
      <c r="F28" s="1126">
        <f>HLOOKUP($B28,'SEF-34 pg 2-36'!$E$10:$AR$250,239,FALSE)</f>
        <v>4947519.9861863479</v>
      </c>
      <c r="G28" s="1124">
        <f t="shared" si="0"/>
        <v>8791688.6061863489</v>
      </c>
      <c r="H28" s="1129">
        <f>HLOOKUP($B28,'SEF-34 pg 2-36'!$E$10:$AR$311,300,FALSE)</f>
        <v>0</v>
      </c>
      <c r="J28" s="1885"/>
      <c r="K28" s="1660"/>
    </row>
    <row r="29" spans="1:11" x14ac:dyDescent="0.25">
      <c r="A29" s="1123" t="s">
        <v>687</v>
      </c>
      <c r="B29" s="1117" t="s">
        <v>688</v>
      </c>
      <c r="C29" s="1124">
        <f>HLOOKUP($B29,'SEF-34 pg 2-36'!$E$10:$AR$65,56,FALSE)</f>
        <v>355318.47965704178</v>
      </c>
      <c r="D29" s="1125">
        <f>HLOOKUP($B29,'SEF-34 pg 2-36'!$E$10:$AR$126,117,FALSE)</f>
        <v>-11103.677832568079</v>
      </c>
      <c r="E29" s="1125">
        <f>HLOOKUP($B29,'SEF-34 pg 2-36'!$E$10:$AR$189,178,FALSE)</f>
        <v>11103.692460941698</v>
      </c>
      <c r="F29" s="1126">
        <f>HLOOKUP($B29,'SEF-34 pg 2-36'!$E$10:$AR$250,239,FALSE)</f>
        <v>-1813686.1353687022</v>
      </c>
      <c r="G29" s="1124">
        <f t="shared" si="0"/>
        <v>-1458367.6410832868</v>
      </c>
      <c r="H29" s="1126">
        <f>HLOOKUP($B29,'SEF-34 pg 2-36'!$E$10:$AR$311,300,FALSE)</f>
        <v>-1875964.6991431576</v>
      </c>
      <c r="J29" s="1885"/>
      <c r="K29" s="1660"/>
    </row>
    <row r="30" spans="1:11" x14ac:dyDescent="0.25">
      <c r="A30" s="1123" t="s">
        <v>689</v>
      </c>
      <c r="B30" s="1117" t="s">
        <v>690</v>
      </c>
      <c r="C30" s="1127">
        <f>HLOOKUP($B30,'SEF-34 pg 2-36'!$E$10:$AR$65,56,FALSE)</f>
        <v>0</v>
      </c>
      <c r="D30" s="1125">
        <f>HLOOKUP($B30,'SEF-34 pg 2-36'!$E$10:$AR$126,117,FALSE)</f>
        <v>0</v>
      </c>
      <c r="E30" s="1128">
        <f>HLOOKUP($B30,'SEF-34 pg 2-36'!$E$10:$AR$189,178,FALSE)</f>
        <v>0</v>
      </c>
      <c r="F30" s="1129">
        <f>HLOOKUP($B30,'SEF-34 pg 2-36'!$E$10:$AR$250,239,FALSE)</f>
        <v>0</v>
      </c>
      <c r="G30" s="1127">
        <f t="shared" si="0"/>
        <v>0</v>
      </c>
      <c r="H30" s="1129">
        <f>HLOOKUP($B30,'SEF-34 pg 2-36'!$E$10:$AR$311,300,FALSE)</f>
        <v>0</v>
      </c>
      <c r="J30" s="1885"/>
      <c r="K30" s="1660"/>
    </row>
    <row r="31" spans="1:11" x14ac:dyDescent="0.25">
      <c r="A31" s="1123" t="s">
        <v>691</v>
      </c>
      <c r="B31" s="1117" t="s">
        <v>692</v>
      </c>
      <c r="C31" s="1127">
        <f>HLOOKUP($B31,'SEF-34 pg 2-36'!$E$10:$AR$65,56,FALSE)</f>
        <v>0</v>
      </c>
      <c r="D31" s="1125">
        <f>HLOOKUP($B31,'SEF-34 pg 2-36'!$E$10:$AR$126,117,FALSE)</f>
        <v>-7911823.6888189875</v>
      </c>
      <c r="E31" s="1125">
        <f>HLOOKUP($B31,'SEF-34 pg 2-36'!$E$10:$AR$189,178,FALSE)</f>
        <v>-19620827.716793999</v>
      </c>
      <c r="F31" s="1126">
        <f>HLOOKUP($B31,'SEF-34 pg 2-36'!$E$10:$AR$250,239,FALSE)</f>
        <v>59435068.730087094</v>
      </c>
      <c r="G31" s="1124">
        <f t="shared" si="0"/>
        <v>31902417.324474107</v>
      </c>
      <c r="H31" s="1126">
        <f>HLOOKUP($B31,'SEF-34 pg 2-36'!$E$10:$AR$311,300,FALSE)</f>
        <v>-31954778.563399259</v>
      </c>
      <c r="J31" s="1885"/>
      <c r="K31" s="1660"/>
    </row>
    <row r="32" spans="1:11" x14ac:dyDescent="0.25">
      <c r="A32" s="1123" t="s">
        <v>693</v>
      </c>
      <c r="B32" s="1117" t="s">
        <v>694</v>
      </c>
      <c r="C32" s="1127">
        <f>HLOOKUP($B32,'SEF-34 pg 2-36'!$E$10:$AR$65,56,FALSE)</f>
        <v>0</v>
      </c>
      <c r="D32" s="1125">
        <f>HLOOKUP($B32,'SEF-34 pg 2-36'!$E$10:$AR$126,117,FALSE)</f>
        <v>-40373.056145087161</v>
      </c>
      <c r="E32" s="1125">
        <f>HLOOKUP($B32,'SEF-34 pg 2-36'!$E$10:$AR$189,178,FALSE)</f>
        <v>-236826.03184399728</v>
      </c>
      <c r="F32" s="1126">
        <f>HLOOKUP($B32,'SEF-34 pg 2-36'!$E$10:$AR$250,239,FALSE)</f>
        <v>-616726.12696320785</v>
      </c>
      <c r="G32" s="1124">
        <f t="shared" si="0"/>
        <v>-893925.21495229227</v>
      </c>
      <c r="H32" s="1126">
        <f>HLOOKUP($B32,'SEF-34 pg 2-36'!$E$10:$AR$311,300,FALSE)</f>
        <v>-537377.16450918128</v>
      </c>
      <c r="J32" s="1885"/>
      <c r="K32" s="1660"/>
    </row>
    <row r="33" spans="1:13" x14ac:dyDescent="0.25">
      <c r="A33" s="1123" t="s">
        <v>695</v>
      </c>
      <c r="B33" s="1117" t="s">
        <v>696</v>
      </c>
      <c r="C33" s="1127">
        <f>HLOOKUP($B33,'SEF-34 pg 2-36'!$E$10:$AR$65,56,FALSE)</f>
        <v>0</v>
      </c>
      <c r="D33" s="1125">
        <f>HLOOKUP($B33,'SEF-34 pg 2-36'!$E$10:$AR$126,117,FALSE)</f>
        <v>7118634.2985298773</v>
      </c>
      <c r="E33" s="1125">
        <f>HLOOKUP($B33,'SEF-34 pg 2-36'!$E$10:$AR$189,178,FALSE)</f>
        <v>20173774.458945949</v>
      </c>
      <c r="F33" s="1126">
        <f>HLOOKUP($B33,'SEF-34 pg 2-36'!$E$10:$AR$250,239,FALSE)</f>
        <v>16471241.305434434</v>
      </c>
      <c r="G33" s="1124">
        <f t="shared" si="0"/>
        <v>43763650.062910259</v>
      </c>
      <c r="H33" s="1126">
        <f>HLOOKUP($B33,'SEF-34 pg 2-36'!$E$10:$AR$311,300,FALSE)</f>
        <v>24073081.855459739</v>
      </c>
      <c r="J33" s="1885"/>
      <c r="K33" s="1660"/>
    </row>
    <row r="34" spans="1:13" x14ac:dyDescent="0.25">
      <c r="A34" s="1123" t="s">
        <v>697</v>
      </c>
      <c r="B34" s="1117" t="s">
        <v>698</v>
      </c>
      <c r="C34" s="1127">
        <f>HLOOKUP($B34,'SEF-34 pg 2-36'!$E$10:$AR$65,56,FALSE)</f>
        <v>0</v>
      </c>
      <c r="D34" s="1125">
        <f>HLOOKUP($B34,'SEF-34 pg 2-36'!$E$10:$AR$126,117,FALSE)</f>
        <v>5794539.7393894261</v>
      </c>
      <c r="E34" s="1125">
        <f>HLOOKUP($B34,'SEF-34 pg 2-36'!$E$10:$AR$189,178,FALSE)</f>
        <v>11558561.662027838</v>
      </c>
      <c r="F34" s="1126">
        <f>HLOOKUP($B34,'SEF-34 pg 2-36'!$E$10:$AR$250,239,FALSE)</f>
        <v>7340613.0977817271</v>
      </c>
      <c r="G34" s="1124">
        <f t="shared" si="0"/>
        <v>24693714.499198988</v>
      </c>
      <c r="H34" s="1126">
        <f>HLOOKUP($B34,'SEF-34 pg 2-36'!$E$10:$AR$311,300,FALSE)</f>
        <v>7030863.1978914887</v>
      </c>
      <c r="J34" s="1885"/>
    </row>
    <row r="35" spans="1:13" x14ac:dyDescent="0.25">
      <c r="A35" s="1123" t="s">
        <v>699</v>
      </c>
      <c r="B35" s="1117" t="s">
        <v>700</v>
      </c>
      <c r="C35" s="1127">
        <f>HLOOKUP($B35,'SEF-34 pg 2-36'!$E$10:$AR$65,56,FALSE)</f>
        <v>0</v>
      </c>
      <c r="D35" s="1125">
        <f>HLOOKUP($B35,'SEF-34 pg 2-36'!$E$10:$AR$126,117,FALSE)</f>
        <v>6534.8976736839732</v>
      </c>
      <c r="E35" s="1125">
        <f>HLOOKUP($B35,'SEF-34 pg 2-36'!$E$10:$AR$189,178,FALSE)</f>
        <v>1338851.4660887711</v>
      </c>
      <c r="F35" s="1126">
        <f>HLOOKUP($B35,'SEF-34 pg 2-36'!$E$10:$AR$250,239,FALSE)</f>
        <v>443302.90640848497</v>
      </c>
      <c r="G35" s="1124">
        <f t="shared" si="0"/>
        <v>1788689.2701709401</v>
      </c>
      <c r="H35" s="1126">
        <f>HLOOKUP($B35,'SEF-34 pg 2-36'!$E$10:$AR$311,300,FALSE)</f>
        <v>443818.05472067761</v>
      </c>
      <c r="J35" s="1885"/>
    </row>
    <row r="36" spans="1:13" x14ac:dyDescent="0.25">
      <c r="A36" s="1123" t="s">
        <v>701</v>
      </c>
      <c r="B36" s="1117" t="s">
        <v>702</v>
      </c>
      <c r="C36" s="1127">
        <f>HLOOKUP($B36,'SEF-34 pg 2-36'!$E$10:$AR$65,56,FALSE)</f>
        <v>0</v>
      </c>
      <c r="D36" s="1125">
        <f>HLOOKUP($B36,'SEF-34 pg 2-36'!$E$10:$AR$126,117,FALSE)</f>
        <v>5167133.0920845456</v>
      </c>
      <c r="E36" s="1125">
        <f>HLOOKUP($B36,'SEF-34 pg 2-36'!$E$10:$AR$189,178,FALSE)</f>
        <v>11891819.687358001</v>
      </c>
      <c r="F36" s="1126">
        <f>HLOOKUP($B36,'SEF-34 pg 2-36'!$E$10:$AR$250,239,FALSE)</f>
        <v>10072265.165973343</v>
      </c>
      <c r="G36" s="1124">
        <f t="shared" si="0"/>
        <v>27131217.945415892</v>
      </c>
      <c r="H36" s="1126">
        <f>HLOOKUP($B36,'SEF-34 pg 2-36'!$E$10:$AR$311,300,FALSE)</f>
        <v>13428048.248196932</v>
      </c>
      <c r="J36" s="1885"/>
    </row>
    <row r="37" spans="1:13" x14ac:dyDescent="0.25">
      <c r="A37" s="1123" t="s">
        <v>703</v>
      </c>
      <c r="B37" s="1117" t="s">
        <v>704</v>
      </c>
      <c r="C37" s="1124">
        <f>HLOOKUP($B37,'SEF-34 pg 2-36'!$E$10:$AR$65,56,FALSE)</f>
        <v>2260236.4611513019</v>
      </c>
      <c r="D37" s="1128">
        <f>HLOOKUP($B37,'SEF-34 pg 2-36'!$E$10:$AR$126,117,FALSE)</f>
        <v>0</v>
      </c>
      <c r="E37" s="1128">
        <f>HLOOKUP($B37,'SEF-34 pg 2-36'!$E$10:$AR$189,178,FALSE)</f>
        <v>0</v>
      </c>
      <c r="F37" s="1129">
        <f>HLOOKUP($B37,'SEF-34 pg 2-36'!$E$10:$AR$250,239,FALSE)</f>
        <v>0</v>
      </c>
      <c r="G37" s="1124">
        <f t="shared" si="0"/>
        <v>2260236.4611513019</v>
      </c>
      <c r="H37" s="1129">
        <f>HLOOKUP($B37,'SEF-34 pg 2-36'!$E$10:$AR$311,300,FALSE)</f>
        <v>0</v>
      </c>
      <c r="J37" s="1885"/>
    </row>
    <row r="38" spans="1:13" x14ac:dyDescent="0.25">
      <c r="A38" s="1123" t="s">
        <v>705</v>
      </c>
      <c r="B38" s="1117" t="s">
        <v>706</v>
      </c>
      <c r="C38" s="1124">
        <f>HLOOKUP($B38,'SEF-34 pg 2-36'!$E$10:$AR$65,56,FALSE)</f>
        <v>1693328.6043829301</v>
      </c>
      <c r="D38" s="1128">
        <f>HLOOKUP($B38,'SEF-34 pg 2-36'!$E$10:$AR$126,117,FALSE)</f>
        <v>0</v>
      </c>
      <c r="E38" s="1128">
        <f>HLOOKUP($B38,'SEF-34 pg 2-36'!$E$10:$AR$189,178,FALSE)</f>
        <v>0</v>
      </c>
      <c r="F38" s="1126">
        <f>HLOOKUP($B38,'SEF-34 pg 2-36'!$E$10:$AR$250,239,FALSE)</f>
        <v>3472816.5002221293</v>
      </c>
      <c r="G38" s="1124">
        <f t="shared" si="0"/>
        <v>5166145.1046050591</v>
      </c>
      <c r="H38" s="1129">
        <f>HLOOKUP($B38,'SEF-34 pg 2-36'!$E$10:$AR$311,300,FALSE)</f>
        <v>0</v>
      </c>
      <c r="J38" s="1885"/>
    </row>
    <row r="39" spans="1:13" x14ac:dyDescent="0.25">
      <c r="A39" s="1123" t="s">
        <v>707</v>
      </c>
      <c r="B39" s="1117" t="s">
        <v>708</v>
      </c>
      <c r="C39" s="1124">
        <f>HLOOKUP($B39,'SEF-34 pg 2-36'!$E$10:$AR$65,56,FALSE)</f>
        <v>-91702.841564433271</v>
      </c>
      <c r="D39" s="1128">
        <f>HLOOKUP($B39,'SEF-34 pg 2-36'!$E$10:$AR$126,117,FALSE)</f>
        <v>0</v>
      </c>
      <c r="E39" s="1128">
        <f>HLOOKUP($B39,'SEF-34 pg 2-36'!$E$10:$AR$189,178,FALSE)</f>
        <v>0</v>
      </c>
      <c r="F39" s="1126">
        <f>HLOOKUP($B39,'SEF-34 pg 2-36'!$E$10:$AR$250,239,FALSE)</f>
        <v>65009.961203732833</v>
      </c>
      <c r="G39" s="1124">
        <f t="shared" si="0"/>
        <v>-26692.880360700437</v>
      </c>
      <c r="H39" s="1129">
        <f>HLOOKUP($B39,'SEF-34 pg 2-36'!$E$10:$AR$311,300,FALSE)</f>
        <v>0</v>
      </c>
      <c r="J39" s="1885"/>
    </row>
    <row r="40" spans="1:13" x14ac:dyDescent="0.25">
      <c r="A40" s="1123" t="s">
        <v>1034</v>
      </c>
      <c r="B40" s="1117" t="s">
        <v>709</v>
      </c>
      <c r="C40" s="1127">
        <f>HLOOKUP($B40,'SEF-34 pg 2-36'!$E$10:$AR$65,56,FALSE)</f>
        <v>0</v>
      </c>
      <c r="D40" s="1128">
        <f>HLOOKUP($B40,'SEF-34 pg 2-36'!$E$10:$AR$126,117,FALSE)</f>
        <v>0</v>
      </c>
      <c r="E40" s="1128">
        <f>HLOOKUP($B40,'SEF-34 pg 2-36'!$E$10:$AR$189,178,FALSE)</f>
        <v>0</v>
      </c>
      <c r="F40" s="1129">
        <f>HLOOKUP($B40,'SEF-34 pg 2-36'!$E$10:$AR$250,239,FALSE)</f>
        <v>0</v>
      </c>
      <c r="G40" s="1127">
        <f t="shared" si="0"/>
        <v>0</v>
      </c>
      <c r="H40" s="1129">
        <f>HLOOKUP($B40,'SEF-34 pg 2-36'!$E$10:$AR$311,300,FALSE)</f>
        <v>0</v>
      </c>
      <c r="J40" s="1885"/>
    </row>
    <row r="41" spans="1:13" x14ac:dyDescent="0.25">
      <c r="A41" s="1123" t="s">
        <v>710</v>
      </c>
      <c r="B41" s="1117" t="s">
        <v>134</v>
      </c>
      <c r="C41" s="1127">
        <f>HLOOKUP($B41,'SEF-34 pg 2-36'!$E$10:$AR$65,56,FALSE)</f>
        <v>0</v>
      </c>
      <c r="D41" s="1128">
        <f>HLOOKUP($B41,'SEF-34 pg 2-36'!$E$10:$AR$126,117,FALSE)</f>
        <v>0</v>
      </c>
      <c r="E41" s="1128">
        <f>HLOOKUP($B41,'SEF-34 pg 2-36'!$E$10:$AR$189,178,FALSE)</f>
        <v>0</v>
      </c>
      <c r="F41" s="1126">
        <f>HLOOKUP($B41,'SEF-34 pg 2-36'!$E$10:$AR$250,239,FALSE)</f>
        <v>423360.47813978133</v>
      </c>
      <c r="G41" s="1124">
        <f t="shared" si="0"/>
        <v>423360.47813978133</v>
      </c>
      <c r="H41" s="1126">
        <f>HLOOKUP($B41,'SEF-34 pg 2-36'!$E$10:$AR$311,300,FALSE)</f>
        <v>14817.61673489223</v>
      </c>
      <c r="J41" s="1885"/>
    </row>
    <row r="42" spans="1:13" x14ac:dyDescent="0.25">
      <c r="A42" s="1123" t="s">
        <v>1044</v>
      </c>
      <c r="B42" s="1117" t="s">
        <v>135</v>
      </c>
      <c r="C42" s="1127">
        <f>HLOOKUP($B42,'SEF-34 pg 2-36'!$E$10:$AS$65,56,FALSE)</f>
        <v>0</v>
      </c>
      <c r="D42" s="1128">
        <f>HLOOKUP($B42,'SEF-34 pg 2-36'!$E$10:$AS$126,117,FALSE)</f>
        <v>0</v>
      </c>
      <c r="E42" s="1128">
        <f>HLOOKUP($B42,'SEF-34 pg 2-36'!$E$10:$AS$189,178,FALSE)</f>
        <v>0</v>
      </c>
      <c r="F42" s="1126">
        <f>HLOOKUP($B42,'SEF-34 pg 2-36'!$E$10:$AS$250,239,FALSE)</f>
        <v>627927.35020446696</v>
      </c>
      <c r="G42" s="1124">
        <f t="shared" si="0"/>
        <v>627927.35020446696</v>
      </c>
      <c r="H42" s="1126">
        <f>HLOOKUP($B42,'SEF-34 pg 2-36'!$E$10:$AS$311,300,FALSE)</f>
        <v>686830.67684806546</v>
      </c>
      <c r="J42" s="1885"/>
    </row>
    <row r="43" spans="1:13" x14ac:dyDescent="0.25">
      <c r="A43" s="1123">
        <v>11.38</v>
      </c>
      <c r="B43" s="1117" t="s">
        <v>1033</v>
      </c>
      <c r="C43" s="1127">
        <f>HLOOKUP($B43,'SEF-34 pg 2-36'!$E$10:$AR$65,56,FALSE)</f>
        <v>0</v>
      </c>
      <c r="D43" s="1125">
        <f>HLOOKUP($B43,'SEF-34 pg 2-36'!$E$10:$AR$126,117,FALSE)</f>
        <v>-4793411.9626292139</v>
      </c>
      <c r="E43" s="1128">
        <f>HLOOKUP($B43,'SEF-34 pg 2-36'!$E$10:$AR$189,178,FALSE)</f>
        <v>0</v>
      </c>
      <c r="F43" s="1129">
        <f>HLOOKUP($B43,'SEF-34 pg 2-36'!$E$10:$AR$250,239,FALSE)</f>
        <v>0</v>
      </c>
      <c r="G43" s="1124">
        <f t="shared" si="0"/>
        <v>-4793411.9626292139</v>
      </c>
      <c r="H43" s="1129">
        <f>HLOOKUP($B43,'SEF-34 pg 2-36'!$E$10:$AR$311,300,FALSE)</f>
        <v>0</v>
      </c>
      <c r="J43" s="1885"/>
    </row>
    <row r="44" spans="1:13" x14ac:dyDescent="0.25">
      <c r="A44" s="1123">
        <v>11.39</v>
      </c>
      <c r="B44" s="1117" t="s">
        <v>1032</v>
      </c>
      <c r="C44" s="1127">
        <f>HLOOKUP($B44,'SEF-34 pg 2-36'!$E$10:$AR$65,56,FALSE)</f>
        <v>0</v>
      </c>
      <c r="D44" s="1125">
        <f>HLOOKUP($B44,'SEF-34 pg 2-36'!$E$10:$AR$126,117,FALSE)</f>
        <v>5661945.6328768777</v>
      </c>
      <c r="E44" s="1125">
        <f>HLOOKUP($B44,'SEF-34 pg 2-36'!$E$10:$AR$189,178,FALSE)</f>
        <v>-3527915.0675533246</v>
      </c>
      <c r="F44" s="1126">
        <f>HLOOKUP($B44,'SEF-34 pg 2-36'!$E$10:$AR$250,239,FALSE)</f>
        <v>-511480.5852655319</v>
      </c>
      <c r="G44" s="1124">
        <f t="shared" si="0"/>
        <v>1622549.9800580211</v>
      </c>
      <c r="H44" s="1126">
        <f>HLOOKUP($B44,'SEF-34 pg 2-36'!$E$10:$AR$311,300,FALSE)</f>
        <v>-6646767.1071686028</v>
      </c>
      <c r="I44"/>
      <c r="J44" s="1884" t="s">
        <v>1043</v>
      </c>
      <c r="K44" s="1883"/>
    </row>
    <row r="45" spans="1:13" x14ac:dyDescent="0.25">
      <c r="A45" s="1123">
        <v>11.4</v>
      </c>
      <c r="B45" s="1117" t="s">
        <v>1031</v>
      </c>
      <c r="C45" s="1124">
        <f>HLOOKUP($B45,'SEF-34 pg 2-36'!$E$10:$AR$65,56,FALSE)</f>
        <v>-3338493.4262162917</v>
      </c>
      <c r="D45" s="1125">
        <f>HLOOKUP($B45,'SEF-34 pg 2-36'!$E$10:$AR$126,117,FALSE)</f>
        <v>-388994.0000277306</v>
      </c>
      <c r="E45" s="1125">
        <f>HLOOKUP($B45,'SEF-34 pg 2-36'!$E$10:$AR$189,178,FALSE)</f>
        <v>-780390.77623715403</v>
      </c>
      <c r="F45" s="1126">
        <f>HLOOKUP($B45,'SEF-34 pg 2-36'!$E$10:$AR$250,239,FALSE)</f>
        <v>-634414.23128801899</v>
      </c>
      <c r="G45" s="1124">
        <f t="shared" si="0"/>
        <v>-5142292.4337691953</v>
      </c>
      <c r="H45" s="1126">
        <f>HLOOKUP($B45,'SEF-34 pg 2-36'!$E$10:$AR$311,300,FALSE)</f>
        <v>-786728.88194214262</v>
      </c>
      <c r="I45"/>
      <c r="J45" s="1882">
        <v>7.9899999999999999E-2</v>
      </c>
      <c r="K45" s="1881" t="s">
        <v>1042</v>
      </c>
    </row>
    <row r="46" spans="1:13" x14ac:dyDescent="0.25">
      <c r="A46" s="1142"/>
      <c r="B46" s="1117" t="s">
        <v>726</v>
      </c>
      <c r="C46" s="1127"/>
      <c r="D46" s="1128"/>
      <c r="E46" s="1128"/>
      <c r="F46" s="1129"/>
      <c r="G46" s="1127"/>
      <c r="H46" s="1126">
        <f>J48-G47-SUM(H4:H45)</f>
        <v>12935779.205079157</v>
      </c>
      <c r="I46"/>
      <c r="J46" s="1880">
        <v>0.75342299999999995</v>
      </c>
      <c r="K46" s="1879" t="s">
        <v>1041</v>
      </c>
    </row>
    <row r="47" spans="1:13" x14ac:dyDescent="0.25">
      <c r="A47" s="1116"/>
      <c r="B47" s="1117" t="s">
        <v>723</v>
      </c>
      <c r="C47" s="1141">
        <f t="shared" ref="C47:H47" si="1">SUM(C4:C46)</f>
        <v>13147985.546908161</v>
      </c>
      <c r="D47" s="1119">
        <f t="shared" si="1"/>
        <v>106688840.09943253</v>
      </c>
      <c r="E47" s="1119">
        <f t="shared" si="1"/>
        <v>137726200.49826518</v>
      </c>
      <c r="F47" s="1120">
        <f t="shared" si="1"/>
        <v>251001779.51857713</v>
      </c>
      <c r="G47" s="1878">
        <f t="shared" si="1"/>
        <v>251001779.51857713</v>
      </c>
      <c r="H47" s="1877">
        <f t="shared" si="1"/>
        <v>26336767.467308611</v>
      </c>
      <c r="I47"/>
      <c r="J47" s="1876">
        <f>'SEF-34 pg 2-36'!BB291-('SEF-34 pg 2-36'!BB304*J45)</f>
        <v>-208953240.08574697</v>
      </c>
      <c r="K47" s="1875" t="s">
        <v>1040</v>
      </c>
      <c r="M47" s="1071"/>
    </row>
    <row r="48" spans="1:13" x14ac:dyDescent="0.25">
      <c r="A48" s="1116"/>
      <c r="B48" s="1117" t="s">
        <v>727</v>
      </c>
      <c r="C48" s="1116"/>
      <c r="D48" s="99"/>
      <c r="E48" s="99"/>
      <c r="F48" s="1117"/>
      <c r="G48" s="1874">
        <v>-52544391.10847839</v>
      </c>
      <c r="H48" s="1131">
        <v>0</v>
      </c>
      <c r="I48"/>
      <c r="J48" s="1873">
        <f>-J47/J46</f>
        <v>277338546.98588574</v>
      </c>
      <c r="K48" s="1872" t="s">
        <v>1039</v>
      </c>
      <c r="M48" s="1871"/>
    </row>
    <row r="49" spans="1:10" ht="15.75" thickBot="1" x14ac:dyDescent="0.3">
      <c r="A49" s="1116"/>
      <c r="B49" s="1117" t="s">
        <v>728</v>
      </c>
      <c r="C49" s="1116"/>
      <c r="D49" s="1870"/>
      <c r="E49" s="99"/>
      <c r="F49" s="1117"/>
      <c r="G49" s="1134">
        <f>SUM(G47:G48)</f>
        <v>198457388.41009873</v>
      </c>
      <c r="H49" s="1864">
        <f>SUM(H47:H48)</f>
        <v>26336767.467308611</v>
      </c>
      <c r="I49"/>
    </row>
    <row r="50" spans="1:10" ht="15.75" thickTop="1" x14ac:dyDescent="0.25">
      <c r="A50" s="1132"/>
      <c r="B50" s="1133"/>
      <c r="C50" s="1132"/>
      <c r="D50" s="1869"/>
      <c r="E50" s="1146"/>
      <c r="F50" s="1133"/>
      <c r="G50" s="1132"/>
      <c r="H50" s="1868"/>
      <c r="I50"/>
    </row>
    <row r="51" spans="1:10" x14ac:dyDescent="0.25">
      <c r="I51"/>
    </row>
    <row r="52" spans="1:10" x14ac:dyDescent="0.25">
      <c r="A52" s="1298" t="s">
        <v>838</v>
      </c>
      <c r="I52"/>
    </row>
    <row r="53" spans="1:10" x14ac:dyDescent="0.25">
      <c r="I53"/>
    </row>
    <row r="54" spans="1:10" x14ac:dyDescent="0.25">
      <c r="B54" s="1136"/>
      <c r="G54" s="1137"/>
      <c r="H54" s="1867"/>
      <c r="I54"/>
    </row>
    <row r="55" spans="1:10" x14ac:dyDescent="0.25">
      <c r="B55" s="1136"/>
      <c r="G55" s="1137"/>
      <c r="H55" s="1867"/>
    </row>
    <row r="58" spans="1:10" x14ac:dyDescent="0.25">
      <c r="J58" s="19"/>
    </row>
    <row r="59" spans="1:10" x14ac:dyDescent="0.25">
      <c r="J59" s="19"/>
    </row>
    <row r="60" spans="1:10" x14ac:dyDescent="0.25">
      <c r="J60" s="19"/>
    </row>
    <row r="61" spans="1:10" x14ac:dyDescent="0.25">
      <c r="J61" s="19"/>
    </row>
  </sheetData>
  <printOptions horizontalCentered="1"/>
  <pageMargins left="0.2" right="0.2" top="0.5" bottom="0.5" header="0.3" footer="0.3"/>
  <pageSetup scale="72" orientation="landscape" horizontalDpi="4294967293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8"/>
  <sheetViews>
    <sheetView zoomScale="85" zoomScaleNormal="85" workbookViewId="0">
      <pane xSplit="2" ySplit="12" topLeftCell="C13" activePane="bottomRight" state="frozen"/>
      <selection activeCell="H26" sqref="H26"/>
      <selection pane="topRight" activeCell="H26" sqref="H26"/>
      <selection pane="bottomLeft" activeCell="H26" sqref="H26"/>
      <selection pane="bottomRight" activeCell="K81" sqref="K81"/>
    </sheetView>
  </sheetViews>
  <sheetFormatPr defaultColWidth="9.42578125" defaultRowHeight="15" outlineLevelRow="1" x14ac:dyDescent="0.25"/>
  <cols>
    <col min="1" max="1" width="4.5703125" style="102" bestFit="1" customWidth="1"/>
    <col min="2" max="2" width="47.7109375" style="102" customWidth="1"/>
    <col min="3" max="3" width="16.42578125" style="102" bestFit="1" customWidth="1"/>
    <col min="4" max="4" width="15" style="102" customWidth="1"/>
    <col min="5" max="5" width="17.5703125" style="102" customWidth="1"/>
    <col min="6" max="6" width="15.42578125" style="102" customWidth="1"/>
    <col min="7" max="7" width="16.42578125" style="102" customWidth="1"/>
    <col min="8" max="8" width="15.42578125" style="102" customWidth="1"/>
    <col min="9" max="9" width="16.42578125" style="102" customWidth="1"/>
    <col min="10" max="10" width="16.5703125" style="102" customWidth="1"/>
    <col min="11" max="11" width="16.42578125" style="102" customWidth="1"/>
    <col min="12" max="12" width="15.42578125" style="102" customWidth="1"/>
    <col min="13" max="13" width="17" style="102" customWidth="1"/>
    <col min="14" max="15" width="17" customWidth="1"/>
    <col min="16" max="16" width="16.42578125" customWidth="1"/>
    <col min="17" max="17" width="17" customWidth="1"/>
    <col min="18" max="18" width="3.7109375" customWidth="1"/>
    <col min="19" max="19" width="15" bestFit="1" customWidth="1"/>
    <col min="20" max="20" width="16.7109375" bestFit="1" customWidth="1"/>
    <col min="21" max="21" width="16" bestFit="1" customWidth="1"/>
    <col min="22" max="22" width="16.7109375" bestFit="1" customWidth="1"/>
    <col min="23" max="23" width="16" bestFit="1" customWidth="1"/>
    <col min="24" max="24" width="16.7109375" bestFit="1" customWidth="1"/>
    <col min="25" max="25" width="14.7109375" bestFit="1" customWidth="1"/>
    <col min="26" max="26" width="14.5703125" bestFit="1" customWidth="1"/>
    <col min="27" max="27" width="14.28515625" bestFit="1" customWidth="1"/>
    <col min="28" max="28" width="13.42578125" style="102" bestFit="1" customWidth="1"/>
    <col min="29" max="29" width="14.28515625" style="102" bestFit="1" customWidth="1"/>
    <col min="30" max="30" width="13.42578125" style="102" bestFit="1" customWidth="1"/>
    <col min="31" max="31" width="14.28515625" style="102" bestFit="1" customWidth="1"/>
    <col min="32" max="16384" width="9.42578125" style="102"/>
  </cols>
  <sheetData>
    <row r="1" spans="1:13" x14ac:dyDescent="0.25">
      <c r="A1" s="101" t="s">
        <v>48</v>
      </c>
      <c r="L1" s="935"/>
      <c r="M1" s="935"/>
    </row>
    <row r="2" spans="1:13" x14ac:dyDescent="0.25">
      <c r="A2" s="101" t="s">
        <v>49</v>
      </c>
      <c r="L2" s="287"/>
      <c r="M2" s="287"/>
    </row>
    <row r="3" spans="1:13" x14ac:dyDescent="0.25">
      <c r="A3" s="101" t="s">
        <v>50</v>
      </c>
    </row>
    <row r="4" spans="1:13" x14ac:dyDescent="0.25">
      <c r="A4" s="101" t="s">
        <v>51</v>
      </c>
    </row>
    <row r="5" spans="1:13" x14ac:dyDescent="0.25">
      <c r="A5" s="101" t="s">
        <v>52</v>
      </c>
      <c r="K5" s="103"/>
    </row>
    <row r="6" spans="1:13" x14ac:dyDescent="0.25">
      <c r="A6" s="101"/>
      <c r="C6" s="104"/>
      <c r="D6" s="104"/>
      <c r="E6" s="104"/>
      <c r="F6" s="104"/>
      <c r="G6" s="104"/>
      <c r="H6" s="104"/>
      <c r="I6" s="104"/>
      <c r="J6" s="104"/>
      <c r="K6" s="105"/>
      <c r="L6" s="104"/>
      <c r="M6" s="104"/>
    </row>
    <row r="7" spans="1:13" x14ac:dyDescent="0.25">
      <c r="A7" s="101"/>
      <c r="C7" s="104" t="s">
        <v>53</v>
      </c>
      <c r="D7" s="104" t="s">
        <v>54</v>
      </c>
      <c r="E7" s="104" t="s">
        <v>54</v>
      </c>
      <c r="F7" s="104" t="s">
        <v>55</v>
      </c>
      <c r="G7" s="104" t="s">
        <v>55</v>
      </c>
      <c r="H7" s="104" t="s">
        <v>56</v>
      </c>
      <c r="I7" s="104" t="s">
        <v>56</v>
      </c>
      <c r="J7" s="104" t="s">
        <v>57</v>
      </c>
      <c r="K7" s="104" t="s">
        <v>58</v>
      </c>
      <c r="L7" s="104" t="s">
        <v>59</v>
      </c>
      <c r="M7" s="104" t="s">
        <v>60</v>
      </c>
    </row>
    <row r="8" spans="1:13" x14ac:dyDescent="0.25">
      <c r="A8" s="106"/>
      <c r="B8" s="107"/>
      <c r="C8" s="108"/>
      <c r="D8" s="109"/>
      <c r="E8" s="109"/>
      <c r="F8" s="109"/>
      <c r="G8" s="110"/>
      <c r="H8" s="108"/>
      <c r="I8" s="109"/>
      <c r="J8" s="109"/>
      <c r="K8" s="109"/>
      <c r="L8" s="109"/>
      <c r="M8" s="110"/>
    </row>
    <row r="9" spans="1:13" x14ac:dyDescent="0.25">
      <c r="A9" s="115"/>
      <c r="B9" s="116"/>
      <c r="C9" s="117"/>
      <c r="D9" s="118"/>
      <c r="E9" s="119"/>
      <c r="F9" s="120"/>
      <c r="G9" s="121" t="s">
        <v>61</v>
      </c>
      <c r="H9" s="122"/>
      <c r="I9" s="123" t="s">
        <v>62</v>
      </c>
      <c r="J9" s="122"/>
      <c r="K9" s="123" t="s">
        <v>62</v>
      </c>
      <c r="L9" s="122"/>
      <c r="M9" s="124" t="s">
        <v>62</v>
      </c>
    </row>
    <row r="10" spans="1:13" x14ac:dyDescent="0.25">
      <c r="A10" s="130"/>
      <c r="B10" s="131"/>
      <c r="C10" s="132" t="s">
        <v>63</v>
      </c>
      <c r="D10" s="133"/>
      <c r="E10" s="134" t="s">
        <v>64</v>
      </c>
      <c r="F10" s="135" t="s">
        <v>65</v>
      </c>
      <c r="G10" s="136" t="s">
        <v>62</v>
      </c>
      <c r="H10" s="137">
        <v>2024</v>
      </c>
      <c r="I10" s="134" t="s">
        <v>66</v>
      </c>
      <c r="J10" s="137">
        <v>2025</v>
      </c>
      <c r="K10" s="134" t="s">
        <v>66</v>
      </c>
      <c r="L10" s="137">
        <v>2026</v>
      </c>
      <c r="M10" s="138" t="s">
        <v>66</v>
      </c>
    </row>
    <row r="11" spans="1:13" x14ac:dyDescent="0.25">
      <c r="A11" s="130"/>
      <c r="B11" s="131"/>
      <c r="C11" s="132" t="s">
        <v>67</v>
      </c>
      <c r="D11" s="135" t="s">
        <v>68</v>
      </c>
      <c r="E11" s="134" t="s">
        <v>69</v>
      </c>
      <c r="F11" s="135" t="s">
        <v>70</v>
      </c>
      <c r="G11" s="136" t="s">
        <v>69</v>
      </c>
      <c r="H11" s="137" t="s">
        <v>71</v>
      </c>
      <c r="I11" s="134" t="s">
        <v>72</v>
      </c>
      <c r="J11" s="137" t="s">
        <v>9</v>
      </c>
      <c r="K11" s="134" t="s">
        <v>73</v>
      </c>
      <c r="L11" s="137" t="s">
        <v>10</v>
      </c>
      <c r="M11" s="138" t="s">
        <v>73</v>
      </c>
    </row>
    <row r="12" spans="1:13" x14ac:dyDescent="0.25">
      <c r="A12" s="144" t="s">
        <v>4</v>
      </c>
      <c r="B12" s="145" t="s">
        <v>8</v>
      </c>
      <c r="C12" s="146" t="s">
        <v>74</v>
      </c>
      <c r="D12" s="147" t="s">
        <v>75</v>
      </c>
      <c r="E12" s="148" t="s">
        <v>76</v>
      </c>
      <c r="F12" s="147" t="s">
        <v>75</v>
      </c>
      <c r="G12" s="149" t="s">
        <v>76</v>
      </c>
      <c r="H12" s="150" t="s">
        <v>75</v>
      </c>
      <c r="I12" s="148" t="s">
        <v>9</v>
      </c>
      <c r="J12" s="150" t="s">
        <v>75</v>
      </c>
      <c r="K12" s="148" t="s">
        <v>9</v>
      </c>
      <c r="L12" s="150" t="s">
        <v>75</v>
      </c>
      <c r="M12" s="151" t="s">
        <v>10</v>
      </c>
    </row>
    <row r="13" spans="1:13" x14ac:dyDescent="0.25">
      <c r="A13" s="157"/>
      <c r="B13" s="158"/>
      <c r="C13" s="159" t="s">
        <v>783</v>
      </c>
      <c r="D13" s="160" t="s">
        <v>463</v>
      </c>
      <c r="E13" s="161" t="s">
        <v>464</v>
      </c>
      <c r="F13" s="160" t="s">
        <v>160</v>
      </c>
      <c r="G13" s="162" t="s">
        <v>465</v>
      </c>
      <c r="H13" s="163" t="s">
        <v>466</v>
      </c>
      <c r="I13" s="161" t="s">
        <v>467</v>
      </c>
      <c r="J13" s="163" t="s">
        <v>79</v>
      </c>
      <c r="K13" s="161" t="s">
        <v>80</v>
      </c>
      <c r="L13" s="163" t="s">
        <v>77</v>
      </c>
      <c r="M13" s="164" t="s">
        <v>78</v>
      </c>
    </row>
    <row r="14" spans="1:13" x14ac:dyDescent="0.25">
      <c r="A14" s="165">
        <f>ROW()</f>
        <v>14</v>
      </c>
      <c r="B14" s="116" t="s">
        <v>81</v>
      </c>
      <c r="C14" s="166"/>
      <c r="D14" s="167"/>
      <c r="E14" s="168"/>
      <c r="F14" s="167"/>
      <c r="G14" s="169"/>
      <c r="H14" s="170"/>
      <c r="I14" s="168"/>
      <c r="J14" s="170"/>
      <c r="K14" s="168"/>
      <c r="L14" s="170"/>
      <c r="M14" s="171"/>
    </row>
    <row r="15" spans="1:13" x14ac:dyDescent="0.25">
      <c r="A15" s="165">
        <f>ROW()</f>
        <v>15</v>
      </c>
      <c r="B15" s="116" t="s">
        <v>82</v>
      </c>
      <c r="C15" s="173">
        <f>'SEF-30 pg 2 - 36 '!D16</f>
        <v>2655527874.4899998</v>
      </c>
      <c r="D15" s="174">
        <f>'SEF-30 pg 2 - 36 '!BG16</f>
        <v>-258734585.6744763</v>
      </c>
      <c r="E15" s="175">
        <f>SUM(C15:D15)</f>
        <v>2396793288.8155236</v>
      </c>
      <c r="F15" s="176">
        <f>'SEF-30 pg 2 - 36 '!BG77</f>
        <v>-300478873.58290166</v>
      </c>
      <c r="G15" s="175">
        <f>SUM(E15:F15)</f>
        <v>2096314415.2326219</v>
      </c>
      <c r="H15" s="177">
        <f>'SEF-30 pg 2 - 36 '!BG138</f>
        <v>12111248.292725325</v>
      </c>
      <c r="I15" s="178">
        <f>SUM(G15:H15)</f>
        <v>2108425663.5253472</v>
      </c>
      <c r="J15" s="179">
        <f>+'SEF-30 pg 2 - 36 '!BG199</f>
        <v>9749529.1303141117</v>
      </c>
      <c r="K15" s="178">
        <f>SUM(I15:J15)</f>
        <v>2118175192.6556613</v>
      </c>
      <c r="L15" s="179">
        <f>+'SEF-30 pg 2 - 36 '!BG260</f>
        <v>22389080.988265514</v>
      </c>
      <c r="M15" s="180">
        <f>SUM(K15:L15)</f>
        <v>2140564273.6439269</v>
      </c>
    </row>
    <row r="16" spans="1:13" x14ac:dyDescent="0.25">
      <c r="A16" s="165">
        <f>ROW()</f>
        <v>16</v>
      </c>
      <c r="B16" s="116" t="s">
        <v>83</v>
      </c>
      <c r="C16" s="181">
        <f>'SEF-30 pg 2 - 36 '!D17</f>
        <v>335744.31</v>
      </c>
      <c r="D16" s="182">
        <f>'SEF-30 pg 2 - 36 '!BG17</f>
        <v>132811.87608000002</v>
      </c>
      <c r="E16" s="183">
        <f>SUM(C16:D16)</f>
        <v>468556.18608000001</v>
      </c>
      <c r="F16" s="182">
        <f>'SEF-30 pg 2 - 36 '!BG78</f>
        <v>-34111.146079999999</v>
      </c>
      <c r="G16" s="184">
        <f>SUM(E16:F16)</f>
        <v>434445.04000000004</v>
      </c>
      <c r="H16" s="185">
        <f>'SEF-30 pg 2 - 36 '!BG139</f>
        <v>0</v>
      </c>
      <c r="I16" s="183">
        <f>SUM(G16:H16)</f>
        <v>434445.04000000004</v>
      </c>
      <c r="J16" s="185">
        <f>+'SEF-30 pg 2 - 36 '!BG200</f>
        <v>0</v>
      </c>
      <c r="K16" s="183">
        <f>SUM(I16:J16)</f>
        <v>434445.04000000004</v>
      </c>
      <c r="L16" s="185">
        <f>+'SEF-30 pg 2 - 36 '!BG261</f>
        <v>0</v>
      </c>
      <c r="M16" s="186">
        <f>SUM(K16:L16)</f>
        <v>434445.04000000004</v>
      </c>
    </row>
    <row r="17" spans="1:13" x14ac:dyDescent="0.25">
      <c r="A17" s="165">
        <f>ROW()</f>
        <v>17</v>
      </c>
      <c r="B17" s="116" t="s">
        <v>84</v>
      </c>
      <c r="C17" s="181">
        <f>'SEF-30 pg 2 - 36 '!D18</f>
        <v>763721180.85000002</v>
      </c>
      <c r="D17" s="182">
        <f>'SEF-30 pg 2 - 36 '!BG18</f>
        <v>0</v>
      </c>
      <c r="E17" s="183">
        <f>SUM(C17:D17)</f>
        <v>763721180.85000002</v>
      </c>
      <c r="F17" s="182">
        <f>'SEF-30 pg 2 - 36 '!BG79</f>
        <v>0</v>
      </c>
      <c r="G17" s="184">
        <f>SUM(E17:F17)</f>
        <v>763721180.85000002</v>
      </c>
      <c r="H17" s="185">
        <f>'SEF-30 pg 2 - 36 '!BG140</f>
        <v>0</v>
      </c>
      <c r="I17" s="183">
        <f>SUM(G17:H17)</f>
        <v>763721180.85000002</v>
      </c>
      <c r="J17" s="187">
        <f>+'SEF-30 pg 2 - 36 '!BG201</f>
        <v>-247451881.38243538</v>
      </c>
      <c r="K17" s="188">
        <f>SUM(I17:J17)</f>
        <v>516269299.46756464</v>
      </c>
      <c r="L17" s="187">
        <f>+'SEF-30 pg 2 - 36 '!BG262</f>
        <v>-196233863.38509595</v>
      </c>
      <c r="M17" s="189">
        <f>SUM(K17:L17)</f>
        <v>320035436.08246869</v>
      </c>
    </row>
    <row r="18" spans="1:13" x14ac:dyDescent="0.25">
      <c r="A18" s="165">
        <f>ROW()</f>
        <v>18</v>
      </c>
      <c r="B18" s="116" t="s">
        <v>85</v>
      </c>
      <c r="C18" s="181">
        <f>'SEF-30 pg 2 - 36 '!D19</f>
        <v>149493301.75999999</v>
      </c>
      <c r="D18" s="182">
        <f>'SEF-30 pg 2 - 36 '!BG19</f>
        <v>-10673281.539999997</v>
      </c>
      <c r="E18" s="183">
        <f>SUM(C18:D18)</f>
        <v>138820020.22</v>
      </c>
      <c r="F18" s="182">
        <f>'SEF-30 pg 2 - 36 '!BG80</f>
        <v>43573286.031755179</v>
      </c>
      <c r="G18" s="184">
        <f>SUM(E18:F18)</f>
        <v>182393306.25175518</v>
      </c>
      <c r="H18" s="185">
        <f>'SEF-30 pg 2 - 36 '!BG141</f>
        <v>-70072.744122406468</v>
      </c>
      <c r="I18" s="183">
        <f>SUM(G18:H18)</f>
        <v>182323233.50763276</v>
      </c>
      <c r="J18" s="187">
        <f>+'SEF-30 pg 2 - 36 '!BG202</f>
        <v>-7368689.0174799934</v>
      </c>
      <c r="K18" s="188">
        <f>SUM(I18:J18)</f>
        <v>174954544.49015278</v>
      </c>
      <c r="L18" s="187">
        <f>+'SEF-30 pg 2 - 36 '!BG263</f>
        <v>-199411.91036456171</v>
      </c>
      <c r="M18" s="189">
        <f>SUM(K18:L18)</f>
        <v>174755132.57978821</v>
      </c>
    </row>
    <row r="19" spans="1:13" x14ac:dyDescent="0.25">
      <c r="A19" s="165">
        <f>ROW()</f>
        <v>19</v>
      </c>
      <c r="B19" s="190" t="s">
        <v>86</v>
      </c>
      <c r="C19" s="191">
        <f t="shared" ref="C19:M19" si="0">SUM(C15:C18)</f>
        <v>3569078101.4099998</v>
      </c>
      <c r="D19" s="192">
        <f t="shared" si="0"/>
        <v>-269275055.33839631</v>
      </c>
      <c r="E19" s="193">
        <f t="shared" si="0"/>
        <v>3299803046.0716033</v>
      </c>
      <c r="F19" s="194">
        <f t="shared" si="0"/>
        <v>-256939698.69722649</v>
      </c>
      <c r="G19" s="193">
        <f t="shared" si="0"/>
        <v>3042863347.3743773</v>
      </c>
      <c r="H19" s="195">
        <f t="shared" si="0"/>
        <v>12041175.548602918</v>
      </c>
      <c r="I19" s="196">
        <f t="shared" si="0"/>
        <v>3054904522.9229798</v>
      </c>
      <c r="J19" s="195">
        <f t="shared" si="0"/>
        <v>-245071041.26960126</v>
      </c>
      <c r="K19" s="193">
        <f t="shared" si="0"/>
        <v>2809833481.653379</v>
      </c>
      <c r="L19" s="195">
        <f t="shared" si="0"/>
        <v>-174044194.30719501</v>
      </c>
      <c r="M19" s="197">
        <f t="shared" si="0"/>
        <v>2635789287.3461838</v>
      </c>
    </row>
    <row r="20" spans="1:13" x14ac:dyDescent="0.25">
      <c r="A20" s="165">
        <f>ROW()</f>
        <v>20</v>
      </c>
      <c r="B20" s="190"/>
      <c r="C20" s="166"/>
      <c r="D20" s="167"/>
      <c r="E20" s="168"/>
      <c r="F20" s="167"/>
      <c r="G20" s="169"/>
      <c r="H20" s="170"/>
      <c r="I20" s="168"/>
      <c r="J20" s="170"/>
      <c r="K20" s="168"/>
      <c r="L20" s="170"/>
      <c r="M20" s="171"/>
    </row>
    <row r="21" spans="1:13" x14ac:dyDescent="0.25">
      <c r="A21" s="165">
        <f>ROW()</f>
        <v>21</v>
      </c>
      <c r="B21" s="190" t="s">
        <v>87</v>
      </c>
      <c r="C21" s="166"/>
      <c r="D21" s="167"/>
      <c r="E21" s="168"/>
      <c r="F21" s="167"/>
      <c r="G21" s="169"/>
      <c r="H21" s="170"/>
      <c r="I21" s="168"/>
      <c r="J21" s="170"/>
      <c r="K21" s="168"/>
      <c r="L21" s="170"/>
      <c r="M21" s="171"/>
    </row>
    <row r="22" spans="1:13" x14ac:dyDescent="0.25">
      <c r="A22" s="165">
        <f>ROW()</f>
        <v>22</v>
      </c>
      <c r="B22" s="190"/>
      <c r="C22" s="166"/>
      <c r="D22" s="167"/>
      <c r="E22" s="168"/>
      <c r="F22" s="167"/>
      <c r="G22" s="169"/>
      <c r="H22" s="170"/>
      <c r="I22" s="168"/>
      <c r="J22" s="170"/>
      <c r="K22" s="168"/>
      <c r="L22" s="170"/>
      <c r="M22" s="171"/>
    </row>
    <row r="23" spans="1:13" x14ac:dyDescent="0.25">
      <c r="A23" s="165">
        <f>ROW()</f>
        <v>23</v>
      </c>
      <c r="B23" s="190" t="s">
        <v>88</v>
      </c>
      <c r="C23" s="166"/>
      <c r="D23" s="167"/>
      <c r="E23" s="168"/>
      <c r="F23" s="167"/>
      <c r="G23" s="169"/>
      <c r="H23" s="170"/>
      <c r="I23" s="168"/>
      <c r="J23" s="170"/>
      <c r="K23" s="168"/>
      <c r="L23" s="170"/>
      <c r="M23" s="171"/>
    </row>
    <row r="24" spans="1:13" x14ac:dyDescent="0.25">
      <c r="A24" s="165">
        <f>ROW()</f>
        <v>24</v>
      </c>
      <c r="B24" s="190" t="s">
        <v>89</v>
      </c>
      <c r="C24" s="181">
        <f>'SEF-30 pg 2 - 36 '!D25</f>
        <v>455418278.81</v>
      </c>
      <c r="D24" s="182">
        <f>'SEF-30 pg 2 - 36 '!BG25</f>
        <v>0</v>
      </c>
      <c r="E24" s="183">
        <f>SUM(C24:D24)</f>
        <v>455418278.81</v>
      </c>
      <c r="F24" s="182">
        <f>'SEF-30 pg 2 - 36 '!BG86</f>
        <v>0</v>
      </c>
      <c r="G24" s="184">
        <f>SUM(E24:F24)</f>
        <v>455418278.81</v>
      </c>
      <c r="H24" s="185">
        <f>'SEF-30 pg 2 - 36 '!BG147</f>
        <v>0</v>
      </c>
      <c r="I24" s="183">
        <f>SUM(G24:H24)</f>
        <v>455418278.81</v>
      </c>
      <c r="J24" s="187">
        <f>+'SEF-30 pg 2 - 36 '!BG208</f>
        <v>67231906.039215311</v>
      </c>
      <c r="K24" s="188">
        <f>SUM(I24:J24)</f>
        <v>522650184.84921533</v>
      </c>
      <c r="L24" s="187">
        <f>+'SEF-30 pg 2 - 36 '!BG269</f>
        <v>23424874.808651142</v>
      </c>
      <c r="M24" s="189">
        <f>SUM(K24:L24)</f>
        <v>546075059.65786648</v>
      </c>
    </row>
    <row r="25" spans="1:13" x14ac:dyDescent="0.25">
      <c r="A25" s="165">
        <f>ROW()</f>
        <v>25</v>
      </c>
      <c r="B25" s="190" t="s">
        <v>90</v>
      </c>
      <c r="C25" s="181">
        <f>'SEF-30 pg 2 - 36 '!D26</f>
        <v>1350026211.3800001</v>
      </c>
      <c r="D25" s="182">
        <f>'SEF-30 pg 2 - 36 '!BG26</f>
        <v>-48497445.10812448</v>
      </c>
      <c r="E25" s="183">
        <f>SUM(C25:D25)</f>
        <v>1301528766.2718756</v>
      </c>
      <c r="F25" s="182">
        <f>'SEF-30 pg 2 - 36 '!BG87</f>
        <v>54208.728968531417</v>
      </c>
      <c r="G25" s="184">
        <f>SUM(E25:F25)</f>
        <v>1301582975.0008442</v>
      </c>
      <c r="H25" s="185">
        <f>'SEF-30 pg 2 - 36 '!BG148</f>
        <v>22553.278082332166</v>
      </c>
      <c r="I25" s="183">
        <f t="shared" ref="I25:M27" si="1">SUM(G25:H25)</f>
        <v>1301605528.2789266</v>
      </c>
      <c r="J25" s="187">
        <f>+'SEF-30 pg 2 - 36 '!BG209</f>
        <v>-203330263.56334475</v>
      </c>
      <c r="K25" s="188">
        <f t="shared" si="1"/>
        <v>1098275264.7155819</v>
      </c>
      <c r="L25" s="187">
        <f>+'SEF-30 pg 2 - 36 '!BG270</f>
        <v>-208293106.93165207</v>
      </c>
      <c r="M25" s="189">
        <f t="shared" si="1"/>
        <v>889982157.78392982</v>
      </c>
    </row>
    <row r="26" spans="1:13" x14ac:dyDescent="0.25">
      <c r="A26" s="165">
        <f>ROW()</f>
        <v>26</v>
      </c>
      <c r="B26" s="190" t="s">
        <v>91</v>
      </c>
      <c r="C26" s="181">
        <f>'SEF-30 pg 2 - 36 '!D27</f>
        <v>161536441.13999999</v>
      </c>
      <c r="D26" s="182">
        <f>'SEF-30 pg 2 - 36 '!BG27</f>
        <v>0</v>
      </c>
      <c r="E26" s="183">
        <f>SUM(C26:D26)</f>
        <v>161536441.13999999</v>
      </c>
      <c r="F26" s="182">
        <f>'SEF-30 pg 2 - 36 '!BG88</f>
        <v>0</v>
      </c>
      <c r="G26" s="184">
        <f>SUM(E26:F26)</f>
        <v>161536441.13999999</v>
      </c>
      <c r="H26" s="185">
        <f>'SEF-30 pg 2 - 36 '!BG149</f>
        <v>0</v>
      </c>
      <c r="I26" s="183">
        <f t="shared" si="1"/>
        <v>161536441.13999999</v>
      </c>
      <c r="J26" s="187">
        <f>+'SEF-30 pg 2 - 36 '!BG210</f>
        <v>17329726.182353556</v>
      </c>
      <c r="K26" s="188">
        <f t="shared" si="1"/>
        <v>178866167.32235354</v>
      </c>
      <c r="L26" s="187">
        <f>+'SEF-30 pg 2 - 36 '!BG271</f>
        <v>4343819.612462908</v>
      </c>
      <c r="M26" s="189">
        <f t="shared" si="1"/>
        <v>183209986.93481645</v>
      </c>
    </row>
    <row r="27" spans="1:13" x14ac:dyDescent="0.25">
      <c r="A27" s="165">
        <f>ROW()</f>
        <v>27</v>
      </c>
      <c r="B27" s="190" t="s">
        <v>92</v>
      </c>
      <c r="C27" s="181">
        <f>'SEF-30 pg 2 - 36 '!D28</f>
        <v>-77573434.540000007</v>
      </c>
      <c r="D27" s="182">
        <f>'SEF-30 pg 2 - 36 '!BG28</f>
        <v>77573434.540000007</v>
      </c>
      <c r="E27" s="183">
        <f>SUM(C27:D27)</f>
        <v>0</v>
      </c>
      <c r="F27" s="182">
        <f>'SEF-30 pg 2 - 36 '!BG89</f>
        <v>0</v>
      </c>
      <c r="G27" s="184">
        <f>SUM(E27:F27)</f>
        <v>0</v>
      </c>
      <c r="H27" s="185">
        <f>'SEF-30 pg 2 - 36 '!BG150</f>
        <v>0</v>
      </c>
      <c r="I27" s="183">
        <f t="shared" si="1"/>
        <v>0</v>
      </c>
      <c r="J27" s="185">
        <f>+'SEF-30 pg 2 - 36 '!BG211</f>
        <v>0</v>
      </c>
      <c r="K27" s="183">
        <f t="shared" si="1"/>
        <v>0</v>
      </c>
      <c r="L27" s="185">
        <f>+'SEF-30 pg 2 - 36 '!BG272</f>
        <v>0</v>
      </c>
      <c r="M27" s="186">
        <f t="shared" si="1"/>
        <v>0</v>
      </c>
    </row>
    <row r="28" spans="1:13" x14ac:dyDescent="0.25">
      <c r="A28" s="165">
        <f>ROW()</f>
        <v>28</v>
      </c>
      <c r="B28" s="190" t="s">
        <v>93</v>
      </c>
      <c r="C28" s="198">
        <f t="shared" ref="C28:M28" si="2">SUM(C24:C27)</f>
        <v>1889407496.79</v>
      </c>
      <c r="D28" s="199">
        <f t="shared" si="2"/>
        <v>29075989.431875527</v>
      </c>
      <c r="E28" s="200">
        <f t="shared" si="2"/>
        <v>1918483486.2218757</v>
      </c>
      <c r="F28" s="199">
        <f t="shared" si="2"/>
        <v>54208.728968531417</v>
      </c>
      <c r="G28" s="201">
        <f t="shared" si="2"/>
        <v>1918537694.9508443</v>
      </c>
      <c r="H28" s="202">
        <f t="shared" si="2"/>
        <v>22553.278082332166</v>
      </c>
      <c r="I28" s="203">
        <f t="shared" si="2"/>
        <v>1918560248.2289267</v>
      </c>
      <c r="J28" s="204">
        <f t="shared" si="2"/>
        <v>-118768631.34177589</v>
      </c>
      <c r="K28" s="205">
        <f t="shared" si="2"/>
        <v>1799791616.8871508</v>
      </c>
      <c r="L28" s="204">
        <f t="shared" si="2"/>
        <v>-180524412.51053801</v>
      </c>
      <c r="M28" s="206">
        <f t="shared" si="2"/>
        <v>1619267204.3766127</v>
      </c>
    </row>
    <row r="29" spans="1:13" x14ac:dyDescent="0.25">
      <c r="A29" s="165">
        <f>ROW()</f>
        <v>29</v>
      </c>
      <c r="B29" s="190"/>
      <c r="C29" s="181"/>
      <c r="D29" s="207"/>
      <c r="E29" s="208"/>
      <c r="F29" s="207"/>
      <c r="G29" s="209"/>
      <c r="H29" s="210"/>
      <c r="I29" s="211"/>
      <c r="J29" s="210"/>
      <c r="K29" s="211"/>
      <c r="L29" s="210"/>
      <c r="M29" s="212"/>
    </row>
    <row r="30" spans="1:13" x14ac:dyDescent="0.25">
      <c r="A30" s="165">
        <f>ROW()</f>
        <v>30</v>
      </c>
      <c r="B30" s="190" t="s">
        <v>94</v>
      </c>
      <c r="C30" s="181">
        <f>'SEF-30 pg 2 - 36 '!D31</f>
        <v>122361883.91000001</v>
      </c>
      <c r="D30" s="207">
        <f>'SEF-30 pg 2 - 36 '!BG31</f>
        <v>-26935262.478846524</v>
      </c>
      <c r="E30" s="208">
        <f>SUM(C30:D30)</f>
        <v>95426621.431153491</v>
      </c>
      <c r="F30" s="207">
        <f>'SEF-30 pg 2 - 36 '!BG92</f>
        <v>145899.18276586221</v>
      </c>
      <c r="G30" s="209">
        <f>SUM(E30:F30)</f>
        <v>95572520.613919348</v>
      </c>
      <c r="H30" s="210">
        <f>'SEF-30 pg 2 - 36 '!BG153</f>
        <v>60700.645514372038</v>
      </c>
      <c r="I30" s="211">
        <f t="shared" ref="I30:I43" si="3">SUM(G30:H30)</f>
        <v>95633221.259433717</v>
      </c>
      <c r="J30" s="210">
        <f>+'SEF-30 pg 2 - 36 '!BG214</f>
        <v>4296053.0155841801</v>
      </c>
      <c r="K30" s="211">
        <f t="shared" ref="K30:K43" si="4">SUM(I30:J30)</f>
        <v>99929274.275017902</v>
      </c>
      <c r="L30" s="210">
        <f>+'SEF-30 pg 2 - 36 '!BG275</f>
        <v>9528835.464643538</v>
      </c>
      <c r="M30" s="212">
        <f t="shared" ref="M30:M43" si="5">SUM(K30:L30)</f>
        <v>109458109.73966144</v>
      </c>
    </row>
    <row r="31" spans="1:13" x14ac:dyDescent="0.25">
      <c r="A31" s="165">
        <f>ROW()</f>
        <v>31</v>
      </c>
      <c r="B31" s="190" t="s">
        <v>95</v>
      </c>
      <c r="C31" s="181">
        <f>'SEF-30 pg 2 - 36 '!D32</f>
        <v>25498629.279999997</v>
      </c>
      <c r="D31" s="207">
        <f>'SEF-30 pg 2 - 36 '!BG32</f>
        <v>522026.37568686856</v>
      </c>
      <c r="E31" s="208">
        <f t="shared" ref="E31:E43" si="6">SUM(C31:D31)</f>
        <v>26020655.655686866</v>
      </c>
      <c r="F31" s="207">
        <f>'SEF-30 pg 2 - 36 '!BG93</f>
        <v>77980.945734437671</v>
      </c>
      <c r="G31" s="209">
        <f t="shared" ref="G31:G43" si="7">SUM(E31:F31)</f>
        <v>26098636.601421304</v>
      </c>
      <c r="H31" s="210">
        <f>'SEF-30 pg 2 - 36 '!BG154</f>
        <v>32443.593268770142</v>
      </c>
      <c r="I31" s="211">
        <f t="shared" si="3"/>
        <v>26131080.194690075</v>
      </c>
      <c r="J31" s="210">
        <f>+'SEF-30 pg 2 - 36 '!BG215</f>
        <v>6749835.1237172103</v>
      </c>
      <c r="K31" s="211">
        <f t="shared" si="4"/>
        <v>32880915.318407286</v>
      </c>
      <c r="L31" s="210">
        <f>+'SEF-30 pg 2 - 36 '!BG276</f>
        <v>4098811.5393114579</v>
      </c>
      <c r="M31" s="212">
        <f t="shared" si="5"/>
        <v>36979726.857718743</v>
      </c>
    </row>
    <row r="32" spans="1:13" x14ac:dyDescent="0.25">
      <c r="A32" s="165">
        <f>ROW()</f>
        <v>32</v>
      </c>
      <c r="B32" s="190" t="s">
        <v>96</v>
      </c>
      <c r="C32" s="181">
        <f>'SEF-30 pg 2 - 36 '!D33</f>
        <v>103169979.97</v>
      </c>
      <c r="D32" s="207">
        <f>'SEF-30 pg 2 - 36 '!BG33</f>
        <v>1228200.9864052238</v>
      </c>
      <c r="E32" s="208">
        <f t="shared" si="6"/>
        <v>104398180.95640522</v>
      </c>
      <c r="F32" s="207">
        <f>'SEF-30 pg 2 - 36 '!BG94</f>
        <v>238125.90477231075</v>
      </c>
      <c r="G32" s="209">
        <f t="shared" si="7"/>
        <v>104636306.86117753</v>
      </c>
      <c r="H32" s="210">
        <f>'SEF-30 pg 2 - 36 '!BG155</f>
        <v>99071.124727062415</v>
      </c>
      <c r="I32" s="211">
        <f t="shared" si="3"/>
        <v>104735377.98590459</v>
      </c>
      <c r="J32" s="210">
        <f>+'SEF-30 pg 2 - 36 '!BG216</f>
        <v>18115386.981293708</v>
      </c>
      <c r="K32" s="211">
        <f t="shared" si="4"/>
        <v>122850764.9671983</v>
      </c>
      <c r="L32" s="210">
        <f>+'SEF-30 pg 2 - 36 '!BG277</f>
        <v>6950884.9527426157</v>
      </c>
      <c r="M32" s="212">
        <f t="shared" si="5"/>
        <v>129801649.91994092</v>
      </c>
    </row>
    <row r="33" spans="1:13" x14ac:dyDescent="0.25">
      <c r="A33" s="165">
        <f>ROW()</f>
        <v>33</v>
      </c>
      <c r="B33" s="190" t="s">
        <v>97</v>
      </c>
      <c r="C33" s="181">
        <f>'SEF-30 pg 2 - 36 '!D34</f>
        <v>56519137.119999997</v>
      </c>
      <c r="D33" s="174">
        <f>'SEF-30 pg 2 - 36 '!BG34</f>
        <v>-2202003.4033370037</v>
      </c>
      <c r="E33" s="213">
        <f t="shared" si="6"/>
        <v>54317133.716662996</v>
      </c>
      <c r="F33" s="207">
        <f>'SEF-30 pg 2 - 36 '!BG95</f>
        <v>-1601054.5135309696</v>
      </c>
      <c r="G33" s="214">
        <f t="shared" si="7"/>
        <v>52716079.203132026</v>
      </c>
      <c r="H33" s="215">
        <f>'SEF-30 pg 2 - 36 '!BG156</f>
        <v>102506.24352914956</v>
      </c>
      <c r="I33" s="211">
        <f t="shared" si="3"/>
        <v>52818585.446661174</v>
      </c>
      <c r="J33" s="210">
        <f>+'SEF-30 pg 2 - 36 '!BG217</f>
        <v>-10531488.592603529</v>
      </c>
      <c r="K33" s="211">
        <f t="shared" si="4"/>
        <v>42287096.854057647</v>
      </c>
      <c r="L33" s="210">
        <f>+'SEF-30 pg 2 - 36 '!BG278</f>
        <v>-452205.36025291774</v>
      </c>
      <c r="M33" s="212">
        <f t="shared" si="5"/>
        <v>41834891.49380473</v>
      </c>
    </row>
    <row r="34" spans="1:13" x14ac:dyDescent="0.25">
      <c r="A34" s="165">
        <f>ROW()</f>
        <v>34</v>
      </c>
      <c r="B34" s="190" t="s">
        <v>98</v>
      </c>
      <c r="C34" s="181">
        <f>'SEF-30 pg 2 - 36 '!D35</f>
        <v>52218524.410000004</v>
      </c>
      <c r="D34" s="207">
        <f>'SEF-30 pg 2 - 36 '!BG35</f>
        <v>-47949725.087223612</v>
      </c>
      <c r="E34" s="208">
        <f t="shared" si="6"/>
        <v>4268799.3227763921</v>
      </c>
      <c r="F34" s="207">
        <f>'SEF-30 pg 2 - 36 '!BG96</f>
        <v>15473.663709910601</v>
      </c>
      <c r="G34" s="209">
        <f t="shared" si="7"/>
        <v>4284272.9864863027</v>
      </c>
      <c r="H34" s="210">
        <f>'SEF-30 pg 2 - 36 '!BG157</f>
        <v>8673.8770903853947</v>
      </c>
      <c r="I34" s="211">
        <f t="shared" si="3"/>
        <v>4292946.8635766879</v>
      </c>
      <c r="J34" s="210">
        <f>+'SEF-30 pg 2 - 36 '!BG218</f>
        <v>-607663.68803642225</v>
      </c>
      <c r="K34" s="211">
        <f t="shared" si="4"/>
        <v>3685283.1755402656</v>
      </c>
      <c r="L34" s="210">
        <f>+'SEF-30 pg 2 - 36 '!BG279</f>
        <v>115534.69498110621</v>
      </c>
      <c r="M34" s="212">
        <f t="shared" si="5"/>
        <v>3800817.8705213717</v>
      </c>
    </row>
    <row r="35" spans="1:13" x14ac:dyDescent="0.25">
      <c r="A35" s="165">
        <f>ROW()</f>
        <v>35</v>
      </c>
      <c r="B35" s="190" t="s">
        <v>99</v>
      </c>
      <c r="C35" s="181">
        <f>'SEF-30 pg 2 - 36 '!D36</f>
        <v>102976391.14</v>
      </c>
      <c r="D35" s="207">
        <f>'SEF-30 pg 2 - 36 '!BG36</f>
        <v>-102976391.14</v>
      </c>
      <c r="E35" s="208">
        <f t="shared" si="6"/>
        <v>0</v>
      </c>
      <c r="F35" s="207">
        <f>'SEF-30 pg 2 - 36 '!BG97</f>
        <v>0</v>
      </c>
      <c r="G35" s="209">
        <f t="shared" si="7"/>
        <v>0</v>
      </c>
      <c r="H35" s="210">
        <f>'SEF-30 pg 2 - 36 '!BG158</f>
        <v>0</v>
      </c>
      <c r="I35" s="211">
        <f t="shared" si="3"/>
        <v>0</v>
      </c>
      <c r="J35" s="210">
        <f>+'SEF-30 pg 2 - 36 '!BG219</f>
        <v>0</v>
      </c>
      <c r="K35" s="211">
        <f t="shared" si="4"/>
        <v>0</v>
      </c>
      <c r="L35" s="210">
        <f>+'SEF-30 pg 2 - 36 '!BG280</f>
        <v>0</v>
      </c>
      <c r="M35" s="212">
        <f t="shared" si="5"/>
        <v>0</v>
      </c>
    </row>
    <row r="36" spans="1:13" x14ac:dyDescent="0.25">
      <c r="A36" s="165">
        <f>ROW()</f>
        <v>36</v>
      </c>
      <c r="B36" s="190" t="s">
        <v>100</v>
      </c>
      <c r="C36" s="181">
        <f>'SEF-30 pg 2 - 36 '!D37</f>
        <v>166863451.13</v>
      </c>
      <c r="D36" s="174">
        <f>'SEF-30 pg 2 - 36 '!BG37</f>
        <v>7647547.6193209393</v>
      </c>
      <c r="E36" s="213">
        <f t="shared" si="6"/>
        <v>174510998.74932092</v>
      </c>
      <c r="F36" s="174">
        <f>'SEF-30 pg 2 - 36 '!BG98</f>
        <v>-312346.13394414925</v>
      </c>
      <c r="G36" s="214">
        <f t="shared" si="7"/>
        <v>174198652.61537677</v>
      </c>
      <c r="H36" s="215">
        <f>'SEF-30 pg 2 - 36 '!BG159</f>
        <v>178344.29015270656</v>
      </c>
      <c r="I36" s="216">
        <f t="shared" si="3"/>
        <v>174376996.90552947</v>
      </c>
      <c r="J36" s="215">
        <f>+'SEF-30 pg 2 - 36 '!BG220</f>
        <v>20583257.493308745</v>
      </c>
      <c r="K36" s="216">
        <f t="shared" si="4"/>
        <v>194960254.39883822</v>
      </c>
      <c r="L36" s="215">
        <f>+'SEF-30 pg 2 - 36 '!BG281</f>
        <v>8993625.160119839</v>
      </c>
      <c r="M36" s="217">
        <f t="shared" si="5"/>
        <v>203953879.55895805</v>
      </c>
    </row>
    <row r="37" spans="1:13" x14ac:dyDescent="0.25">
      <c r="A37" s="165">
        <f>ROW()</f>
        <v>37</v>
      </c>
      <c r="B37" s="190" t="s">
        <v>101</v>
      </c>
      <c r="C37" s="181">
        <f>'SEF-30 pg 2 - 36 '!D38</f>
        <v>388725218.38999999</v>
      </c>
      <c r="D37" s="207">
        <f>'SEF-30 pg 2 - 36 '!BG38</f>
        <v>-23259312.797902465</v>
      </c>
      <c r="E37" s="208">
        <f t="shared" si="6"/>
        <v>365465905.59209752</v>
      </c>
      <c r="F37" s="207">
        <f>'SEF-30 pg 2 - 36 '!BG99</f>
        <v>1560985.6749622133</v>
      </c>
      <c r="G37" s="209">
        <f t="shared" si="7"/>
        <v>367026891.26705974</v>
      </c>
      <c r="H37" s="210">
        <f>'SEF-30 pg 2 - 36 '!BG160</f>
        <v>24155832.402674925</v>
      </c>
      <c r="I37" s="211">
        <f t="shared" si="3"/>
        <v>391182723.66973466</v>
      </c>
      <c r="J37" s="210">
        <f>+'SEF-30 pg 2 - 36 '!BG221</f>
        <v>29059382.173165023</v>
      </c>
      <c r="K37" s="211">
        <f t="shared" si="4"/>
        <v>420242105.84289968</v>
      </c>
      <c r="L37" s="210">
        <f>+'SEF-30 pg 2 - 36 '!BG282</f>
        <v>27459417.505689945</v>
      </c>
      <c r="M37" s="212">
        <f t="shared" si="5"/>
        <v>447701523.3485896</v>
      </c>
    </row>
    <row r="38" spans="1:13" x14ac:dyDescent="0.25">
      <c r="A38" s="165">
        <f>ROW()</f>
        <v>38</v>
      </c>
      <c r="B38" s="190" t="s">
        <v>102</v>
      </c>
      <c r="C38" s="181">
        <f>'SEF-30 pg 2 - 36 '!D39</f>
        <v>77431123.159999996</v>
      </c>
      <c r="D38" s="207">
        <f>'SEF-30 pg 2 - 36 '!BG39</f>
        <v>-15493959.223874526</v>
      </c>
      <c r="E38" s="208">
        <f t="shared" si="6"/>
        <v>61937163.936125472</v>
      </c>
      <c r="F38" s="207">
        <f>'SEF-30 pg 2 - 36 '!BG100</f>
        <v>1073456.0176672549</v>
      </c>
      <c r="G38" s="209">
        <f t="shared" si="7"/>
        <v>63010619.953792728</v>
      </c>
      <c r="H38" s="210">
        <f>'SEF-30 pg 2 - 36 '!BG161</f>
        <v>15575227.77061699</v>
      </c>
      <c r="I38" s="211">
        <f t="shared" si="3"/>
        <v>78585847.724409714</v>
      </c>
      <c r="J38" s="210">
        <f>+'SEF-30 pg 2 - 36 '!BG222</f>
        <v>12669068.867760137</v>
      </c>
      <c r="K38" s="211">
        <f t="shared" si="4"/>
        <v>91254916.592169851</v>
      </c>
      <c r="L38" s="210">
        <f>+'SEF-30 pg 2 - 36 '!BG283</f>
        <v>19581352.179800052</v>
      </c>
      <c r="M38" s="212">
        <f t="shared" si="5"/>
        <v>110836268.7719699</v>
      </c>
    </row>
    <row r="39" spans="1:13" x14ac:dyDescent="0.25">
      <c r="A39" s="165">
        <f>ROW()</f>
        <v>39</v>
      </c>
      <c r="B39" s="190" t="s">
        <v>103</v>
      </c>
      <c r="C39" s="181">
        <f>'SEF-30 pg 2 - 36 '!D40</f>
        <v>27712466</v>
      </c>
      <c r="D39" s="207">
        <f>'SEF-30 pg 2 - 36 '!BG40</f>
        <v>6532622.449854847</v>
      </c>
      <c r="E39" s="208">
        <f t="shared" si="6"/>
        <v>34245088.449854851</v>
      </c>
      <c r="F39" s="207">
        <f>'SEF-30 pg 2 - 36 '!BG101</f>
        <v>0</v>
      </c>
      <c r="G39" s="209">
        <f t="shared" si="7"/>
        <v>34245088.449854851</v>
      </c>
      <c r="H39" s="210">
        <f>'SEF-30 pg 2 - 36 '!BG162</f>
        <v>0</v>
      </c>
      <c r="I39" s="211">
        <f t="shared" si="3"/>
        <v>34245088.449854851</v>
      </c>
      <c r="J39" s="210">
        <f>+'SEF-30 pg 2 - 36 '!BG223</f>
        <v>-5309457.8471022025</v>
      </c>
      <c r="K39" s="211">
        <f t="shared" si="4"/>
        <v>28935630.602752648</v>
      </c>
      <c r="L39" s="210">
        <f>+'SEF-30 pg 2 - 36 '!BG284</f>
        <v>-9923258.5858978108</v>
      </c>
      <c r="M39" s="212">
        <f t="shared" si="5"/>
        <v>19012372.016854838</v>
      </c>
    </row>
    <row r="40" spans="1:13" x14ac:dyDescent="0.25">
      <c r="A40" s="165">
        <f>ROW()</f>
        <v>40</v>
      </c>
      <c r="B40" s="190" t="s">
        <v>104</v>
      </c>
      <c r="C40" s="181">
        <f>'SEF-30 pg 2 - 36 '!D41</f>
        <v>-89556412.820000008</v>
      </c>
      <c r="D40" s="207">
        <f>'SEF-30 pg 2 - 36 '!BG41</f>
        <v>111033265.55134232</v>
      </c>
      <c r="E40" s="208">
        <f t="shared" si="6"/>
        <v>21476852.731342316</v>
      </c>
      <c r="F40" s="207">
        <f>'SEF-30 pg 2 - 36 '!BG102</f>
        <v>3387452.5454492574</v>
      </c>
      <c r="G40" s="209">
        <f t="shared" si="7"/>
        <v>24864305.276791573</v>
      </c>
      <c r="H40" s="210">
        <f>'SEF-30 pg 2 - 36 '!BG163</f>
        <v>-6060850.7551785866</v>
      </c>
      <c r="I40" s="211">
        <f t="shared" si="3"/>
        <v>18803454.521612987</v>
      </c>
      <c r="J40" s="215">
        <f>+'SEF-30 pg 2 - 36 '!BG224</f>
        <v>28954121.905620802</v>
      </c>
      <c r="K40" s="216">
        <f t="shared" si="4"/>
        <v>47757576.427233785</v>
      </c>
      <c r="L40" s="215">
        <f>+'SEF-30 pg 2 - 36 '!BG285</f>
        <v>-5540786.6020414531</v>
      </c>
      <c r="M40" s="217">
        <f t="shared" si="5"/>
        <v>42216789.825192332</v>
      </c>
    </row>
    <row r="41" spans="1:13" x14ac:dyDescent="0.25">
      <c r="A41" s="165">
        <f>ROW()</f>
        <v>41</v>
      </c>
      <c r="B41" s="190" t="s">
        <v>105</v>
      </c>
      <c r="C41" s="181">
        <f>'SEF-30 pg 2 - 36 '!D42</f>
        <v>267182421</v>
      </c>
      <c r="D41" s="174">
        <f>'SEF-30 pg 2 - 36 '!BG42</f>
        <v>-160099490.88405859</v>
      </c>
      <c r="E41" s="213">
        <f t="shared" si="6"/>
        <v>107082930.11594141</v>
      </c>
      <c r="F41" s="207">
        <f>'SEF-30 pg 2 - 36 '!BG103</f>
        <v>-9760504.3329632189</v>
      </c>
      <c r="G41" s="214">
        <f t="shared" si="7"/>
        <v>97322425.782978192</v>
      </c>
      <c r="H41" s="215">
        <f>'SEF-30 pg 2 - 36 '!BG164</f>
        <v>498174.81238959753</v>
      </c>
      <c r="I41" s="211">
        <f t="shared" si="3"/>
        <v>97820600.595367789</v>
      </c>
      <c r="J41" s="210">
        <f>+'SEF-30 pg 2 - 36 '!BG225</f>
        <v>-1386385.6519274951</v>
      </c>
      <c r="K41" s="211">
        <f t="shared" si="4"/>
        <v>96434214.943440288</v>
      </c>
      <c r="L41" s="210">
        <f>+'SEF-30 pg 2 - 36 '!BG286</f>
        <v>2420401.0887745563</v>
      </c>
      <c r="M41" s="212">
        <f t="shared" si="5"/>
        <v>98854616.03221485</v>
      </c>
    </row>
    <row r="42" spans="1:13" x14ac:dyDescent="0.25">
      <c r="A42" s="165">
        <f>ROW()</f>
        <v>42</v>
      </c>
      <c r="B42" s="190" t="s">
        <v>106</v>
      </c>
      <c r="C42" s="181">
        <f>'SEF-30 pg 2 - 36 '!D43</f>
        <v>159200857.38000003</v>
      </c>
      <c r="D42" s="174">
        <f>'SEF-30 pg 2 - 36 '!BG43</f>
        <v>-88512127.078494027</v>
      </c>
      <c r="E42" s="213">
        <f t="shared" si="6"/>
        <v>70688730.301505998</v>
      </c>
      <c r="F42" s="174">
        <f>'SEF-30 pg 2 - 36 '!BG104</f>
        <v>-55745665.550530888</v>
      </c>
      <c r="G42" s="214">
        <f t="shared" si="7"/>
        <v>14943064.75097511</v>
      </c>
      <c r="H42" s="215">
        <f>'SEF-30 pg 2 - 36 '!BG165</f>
        <v>-7213368.6638537869</v>
      </c>
      <c r="I42" s="216">
        <f t="shared" si="3"/>
        <v>7729696.0871213228</v>
      </c>
      <c r="J42" s="215">
        <f>+'SEF-30 pg 2 - 36 '!BG226</f>
        <v>-48903685.762273997</v>
      </c>
      <c r="K42" s="216">
        <f t="shared" si="4"/>
        <v>-41173989.675152674</v>
      </c>
      <c r="L42" s="215">
        <f>+'SEF-30 pg 2 - 36 '!BG287</f>
        <v>-15839910.724180929</v>
      </c>
      <c r="M42" s="217">
        <f t="shared" si="5"/>
        <v>-57013900.399333604</v>
      </c>
    </row>
    <row r="43" spans="1:13" x14ac:dyDescent="0.25">
      <c r="A43" s="165">
        <f>ROW()</f>
        <v>43</v>
      </c>
      <c r="B43" s="190" t="s">
        <v>107</v>
      </c>
      <c r="C43" s="181">
        <f>'SEF-30 pg 2 - 36 '!D44</f>
        <v>-92361480.74000001</v>
      </c>
      <c r="D43" s="207">
        <f>'SEF-30 pg 2 - 36 '!BG44</f>
        <v>48944521.449700005</v>
      </c>
      <c r="E43" s="208">
        <f t="shared" si="6"/>
        <v>-43416959.290300004</v>
      </c>
      <c r="F43" s="207">
        <f>'SEF-30 pg 2 - 36 '!BG105</f>
        <v>-3832342.7665624972</v>
      </c>
      <c r="G43" s="209">
        <f t="shared" si="7"/>
        <v>-47249302.056862503</v>
      </c>
      <c r="H43" s="210">
        <f>'SEF-30 pg 2 - 36 '!BG166</f>
        <v>1299233.3888071019</v>
      </c>
      <c r="I43" s="211">
        <f t="shared" si="3"/>
        <v>-45950068.6680554</v>
      </c>
      <c r="J43" s="210">
        <f>+'SEF-30 pg 2 - 36 '!BG227</f>
        <v>-455130.5393555006</v>
      </c>
      <c r="K43" s="211">
        <f t="shared" si="4"/>
        <v>-46405199.207410902</v>
      </c>
      <c r="L43" s="210">
        <f>+'SEF-30 pg 2 - 36 '!BG288</f>
        <v>-560044.45140025904</v>
      </c>
      <c r="M43" s="212">
        <f t="shared" si="5"/>
        <v>-46965243.658811159</v>
      </c>
    </row>
    <row r="44" spans="1:13" x14ac:dyDescent="0.25">
      <c r="A44" s="165">
        <f>ROW()</f>
        <v>44</v>
      </c>
      <c r="B44" s="190" t="s">
        <v>108</v>
      </c>
      <c r="C44" s="218">
        <f t="shared" ref="C44:I44" si="8">SUM(C30:C43)</f>
        <v>1367942189.3300002</v>
      </c>
      <c r="D44" s="219">
        <f t="shared" si="8"/>
        <v>-291520087.66142654</v>
      </c>
      <c r="E44" s="220">
        <f t="shared" si="8"/>
        <v>1076422101.6685736</v>
      </c>
      <c r="F44" s="219">
        <f t="shared" si="8"/>
        <v>-64752539.362470478</v>
      </c>
      <c r="G44" s="221">
        <f t="shared" si="8"/>
        <v>1011669562.306103</v>
      </c>
      <c r="H44" s="222">
        <f t="shared" si="8"/>
        <v>28735988.72973869</v>
      </c>
      <c r="I44" s="220">
        <f t="shared" si="8"/>
        <v>1040405551.0358413</v>
      </c>
      <c r="J44" s="222">
        <f>(J19-J28)*0.21</f>
        <v>-26523506.084843326</v>
      </c>
      <c r="K44" s="220">
        <f t="shared" ref="K44:M44" si="9">SUM(K30:K43)</f>
        <v>1093638844.5149922</v>
      </c>
      <c r="L44" s="222">
        <f t="shared" si="9"/>
        <v>46832656.862289742</v>
      </c>
      <c r="M44" s="223">
        <f t="shared" si="9"/>
        <v>1140471501.3772817</v>
      </c>
    </row>
    <row r="45" spans="1:13" x14ac:dyDescent="0.25">
      <c r="A45" s="165">
        <f>ROW()</f>
        <v>45</v>
      </c>
      <c r="B45" s="190" t="s">
        <v>109</v>
      </c>
      <c r="C45" s="218">
        <f t="shared" ref="C45:M45" si="10">SUM(C28:C43)</f>
        <v>3257349686.1199999</v>
      </c>
      <c r="D45" s="219">
        <f t="shared" si="10"/>
        <v>-262444098.22955102</v>
      </c>
      <c r="E45" s="220">
        <f t="shared" si="10"/>
        <v>2994905587.890449</v>
      </c>
      <c r="F45" s="219">
        <f t="shared" si="10"/>
        <v>-64698330.633501947</v>
      </c>
      <c r="G45" s="221">
        <f t="shared" si="10"/>
        <v>2930207257.2569475</v>
      </c>
      <c r="H45" s="222">
        <f t="shared" si="10"/>
        <v>28758542.007821016</v>
      </c>
      <c r="I45" s="220">
        <f t="shared" si="10"/>
        <v>2958965799.2647686</v>
      </c>
      <c r="J45" s="222">
        <f t="shared" si="10"/>
        <v>-65535337.862625256</v>
      </c>
      <c r="K45" s="220">
        <f t="shared" si="10"/>
        <v>2893430461.402143</v>
      </c>
      <c r="L45" s="222">
        <f t="shared" si="10"/>
        <v>-133691755.6482483</v>
      </c>
      <c r="M45" s="223">
        <f t="shared" si="10"/>
        <v>2759738705.7538943</v>
      </c>
    </row>
    <row r="46" spans="1:13" x14ac:dyDescent="0.25">
      <c r="A46" s="165">
        <f>ROW()</f>
        <v>46</v>
      </c>
      <c r="B46" s="116"/>
      <c r="C46" s="117"/>
      <c r="D46" s="224"/>
      <c r="E46" s="225"/>
      <c r="F46" s="224"/>
      <c r="G46" s="226"/>
      <c r="H46" s="227"/>
      <c r="I46" s="226"/>
      <c r="J46" s="227"/>
      <c r="K46" s="226"/>
      <c r="L46" s="227"/>
      <c r="M46" s="228"/>
    </row>
    <row r="47" spans="1:13" ht="15.75" thickBot="1" x14ac:dyDescent="0.3">
      <c r="A47" s="165">
        <f>ROW()</f>
        <v>47</v>
      </c>
      <c r="B47" s="231" t="s">
        <v>110</v>
      </c>
      <c r="C47" s="232">
        <f t="shared" ref="C47:M47" si="11">C19-C45</f>
        <v>311728415.28999996</v>
      </c>
      <c r="D47" s="233">
        <f t="shared" si="11"/>
        <v>-6830957.1088452935</v>
      </c>
      <c r="E47" s="234">
        <f t="shared" si="11"/>
        <v>304897458.18115425</v>
      </c>
      <c r="F47" s="233">
        <f t="shared" si="11"/>
        <v>-192241368.06372455</v>
      </c>
      <c r="G47" s="235">
        <f t="shared" si="11"/>
        <v>112656090.11742973</v>
      </c>
      <c r="H47" s="236">
        <f t="shared" si="11"/>
        <v>-16717366.459218098</v>
      </c>
      <c r="I47" s="234">
        <f t="shared" si="11"/>
        <v>95938723.658211231</v>
      </c>
      <c r="J47" s="236">
        <f t="shared" si="11"/>
        <v>-179535703.40697598</v>
      </c>
      <c r="K47" s="234">
        <f t="shared" si="11"/>
        <v>-83596979.748764038</v>
      </c>
      <c r="L47" s="236">
        <f t="shared" si="11"/>
        <v>-40352438.658946708</v>
      </c>
      <c r="M47" s="237">
        <f t="shared" si="11"/>
        <v>-123949418.40771055</v>
      </c>
    </row>
    <row r="48" spans="1:13" ht="15.75" thickTop="1" x14ac:dyDescent="0.25">
      <c r="A48" s="165">
        <f>ROW()</f>
        <v>48</v>
      </c>
      <c r="B48" s="116"/>
      <c r="C48" s="166"/>
      <c r="D48" s="167"/>
      <c r="E48" s="168"/>
      <c r="F48" s="167"/>
      <c r="G48" s="169"/>
      <c r="H48" s="170"/>
      <c r="I48" s="168"/>
      <c r="J48" s="170"/>
      <c r="K48" s="240"/>
      <c r="L48" s="172"/>
      <c r="M48" s="240"/>
    </row>
    <row r="49" spans="1:13" x14ac:dyDescent="0.25">
      <c r="A49" s="165">
        <f>ROW()</f>
        <v>49</v>
      </c>
      <c r="B49" s="116" t="s">
        <v>111</v>
      </c>
      <c r="C49" s="241">
        <f>ROUND(C47/C58,4)</f>
        <v>5.5800000000000002E-2</v>
      </c>
      <c r="D49" s="242"/>
      <c r="E49" s="243">
        <f>ROUND(E47/E58,4)</f>
        <v>5.45E-2</v>
      </c>
      <c r="F49" s="242"/>
      <c r="G49" s="244">
        <f>ROUND(G47/G58,4)</f>
        <v>1.84E-2</v>
      </c>
      <c r="H49" s="245"/>
      <c r="I49" s="243">
        <f>ROUND(I47/I58,4)</f>
        <v>1.46E-2</v>
      </c>
      <c r="J49" s="245"/>
      <c r="K49" s="246">
        <f>ROUND(K47/K58,4)</f>
        <v>-1.2699999999999999E-2</v>
      </c>
      <c r="L49" s="247"/>
      <c r="M49" s="246">
        <f>ROUND(M47/M58,4)</f>
        <v>-1.67E-2</v>
      </c>
    </row>
    <row r="50" spans="1:13" x14ac:dyDescent="0.25">
      <c r="A50" s="165">
        <f>ROW()</f>
        <v>50</v>
      </c>
      <c r="B50" s="116"/>
      <c r="C50" s="166"/>
      <c r="D50" s="167"/>
      <c r="E50" s="168"/>
      <c r="F50" s="167"/>
      <c r="G50" s="169"/>
      <c r="H50" s="170"/>
      <c r="I50" s="168"/>
      <c r="J50" s="170"/>
      <c r="K50" s="171"/>
      <c r="L50" s="172"/>
      <c r="M50" s="171"/>
    </row>
    <row r="51" spans="1:13" x14ac:dyDescent="0.25">
      <c r="A51" s="165">
        <f>ROW()</f>
        <v>51</v>
      </c>
      <c r="B51" s="190" t="s">
        <v>112</v>
      </c>
      <c r="C51" s="173">
        <f>'SEF-30 pg 2 - 36 '!D54</f>
        <v>11825124793.208683</v>
      </c>
      <c r="D51" s="248">
        <f>'SEF-30 pg 2 - 36 '!BG54</f>
        <v>-632016687.04188466</v>
      </c>
      <c r="E51" s="249">
        <f t="shared" ref="E51:E56" si="12">SUM(C51:D51)</f>
        <v>11193108106.166798</v>
      </c>
      <c r="F51" s="248">
        <f>'SEF-30 pg 2 - 36 '!BG115</f>
        <v>747237437.00119185</v>
      </c>
      <c r="G51" s="250">
        <f t="shared" ref="G51:G56" si="13">SUM(E51:F51)</f>
        <v>11940345543.16799</v>
      </c>
      <c r="H51" s="251">
        <f>'SEF-30 pg 2 - 36 '!BG176</f>
        <v>823787405.60669172</v>
      </c>
      <c r="I51" s="249">
        <f t="shared" ref="I51:I56" si="14">SUM(G51:H51)</f>
        <v>12764132948.774681</v>
      </c>
      <c r="J51" s="251">
        <f>+'SEF-30 pg 2 - 36 '!BG237</f>
        <v>285564137.71301258</v>
      </c>
      <c r="K51" s="252">
        <f t="shared" ref="K51:K56" si="15">SUM(I51:J51)</f>
        <v>13049697086.487694</v>
      </c>
      <c r="L51" s="253">
        <f>+'SEF-30 pg 2 - 36 '!BG298</f>
        <v>849756370.73466611</v>
      </c>
      <c r="M51" s="252">
        <f t="shared" ref="M51:M56" si="16">SUM(K51:L51)</f>
        <v>13899453457.222361</v>
      </c>
    </row>
    <row r="52" spans="1:13" x14ac:dyDescent="0.25">
      <c r="A52" s="165">
        <f>ROW()</f>
        <v>52</v>
      </c>
      <c r="B52" s="190" t="s">
        <v>113</v>
      </c>
      <c r="C52" s="181">
        <f>'SEF-30 pg 2 - 36 '!D55</f>
        <v>-5578520718.5254803</v>
      </c>
      <c r="D52" s="207">
        <f>'SEF-30 pg 2 - 36 '!BG55</f>
        <v>479037657.30553198</v>
      </c>
      <c r="E52" s="208">
        <f t="shared" si="12"/>
        <v>-5099483061.2199478</v>
      </c>
      <c r="F52" s="207">
        <f>'SEF-30 pg 2 - 36 '!BG116</f>
        <v>-281870848.5815717</v>
      </c>
      <c r="G52" s="209">
        <f t="shared" si="13"/>
        <v>-5381353909.8015194</v>
      </c>
      <c r="H52" s="254">
        <f>'SEF-30 pg 2 - 36 '!BG177</f>
        <v>-369607441.7155062</v>
      </c>
      <c r="I52" s="208">
        <f t="shared" si="14"/>
        <v>-5750961351.5170259</v>
      </c>
      <c r="J52" s="251">
        <f>+'SEF-30 pg 2 - 36 '!BG238</f>
        <v>-228780259.80996898</v>
      </c>
      <c r="K52" s="255">
        <f t="shared" si="15"/>
        <v>-5979741611.3269949</v>
      </c>
      <c r="L52" s="253">
        <f>+'SEF-30 pg 2 - 36 '!BG299</f>
        <v>-29744403.530800506</v>
      </c>
      <c r="M52" s="255">
        <f t="shared" si="16"/>
        <v>-6009486014.8577957</v>
      </c>
    </row>
    <row r="53" spans="1:13" x14ac:dyDescent="0.25">
      <c r="A53" s="165">
        <f>ROW()</f>
        <v>53</v>
      </c>
      <c r="B53" s="190" t="s">
        <v>114</v>
      </c>
      <c r="C53" s="181">
        <f>'SEF-30 pg 2 - 36 '!D56</f>
        <v>456443722.27372909</v>
      </c>
      <c r="D53" s="207">
        <f>'SEF-30 pg 2 - 36 '!BG56</f>
        <v>147951889.07627094</v>
      </c>
      <c r="E53" s="208">
        <f t="shared" si="12"/>
        <v>604395611.35000002</v>
      </c>
      <c r="F53" s="207">
        <f>'SEF-30 pg 2 - 36 '!BG117</f>
        <v>66015830.376992531</v>
      </c>
      <c r="G53" s="209">
        <f t="shared" si="13"/>
        <v>670411441.72699261</v>
      </c>
      <c r="H53" s="254">
        <f>'SEF-30 pg 2 - 36 '!BG178</f>
        <v>-34141796.805555552</v>
      </c>
      <c r="I53" s="208">
        <f t="shared" si="14"/>
        <v>636269644.92143703</v>
      </c>
      <c r="J53" s="251">
        <f>+'SEF-30 pg 2 - 36 '!BG239</f>
        <v>-16047877.547128195</v>
      </c>
      <c r="K53" s="255">
        <f t="shared" si="15"/>
        <v>620221767.37430882</v>
      </c>
      <c r="L53" s="253">
        <f>+'SEF-30 pg 2 - 36 '!BG300</f>
        <v>-27518408.292903353</v>
      </c>
      <c r="M53" s="255">
        <f t="shared" si="16"/>
        <v>592703359.08140552</v>
      </c>
    </row>
    <row r="54" spans="1:13" x14ac:dyDescent="0.25">
      <c r="A54" s="165">
        <f>ROW()</f>
        <v>54</v>
      </c>
      <c r="B54" s="190" t="s">
        <v>115</v>
      </c>
      <c r="C54" s="181">
        <f>'SEF-30 pg 2 - 36 '!D57</f>
        <v>-1224323796.5601618</v>
      </c>
      <c r="D54" s="207">
        <f>'SEF-30 pg 2 - 36 '!BG57</f>
        <v>37288600.095453754</v>
      </c>
      <c r="E54" s="208">
        <f t="shared" si="12"/>
        <v>-1187035196.4647081</v>
      </c>
      <c r="F54" s="207">
        <f>'SEF-30 pg 2 - 36 '!BG118</f>
        <v>-12896720.705156464</v>
      </c>
      <c r="G54" s="209">
        <f t="shared" si="13"/>
        <v>-1199931917.1698647</v>
      </c>
      <c r="H54" s="254">
        <f>'SEF-30 pg 2 - 36 '!BG179</f>
        <v>25508329.321789768</v>
      </c>
      <c r="I54" s="208">
        <f t="shared" si="14"/>
        <v>-1174423587.8480749</v>
      </c>
      <c r="J54" s="251">
        <f>+'SEF-30 pg 2 - 36 '!BG240</f>
        <v>10123820.816583067</v>
      </c>
      <c r="K54" s="255">
        <f t="shared" si="15"/>
        <v>-1164299767.0314918</v>
      </c>
      <c r="L54" s="253">
        <f>+'SEF-30 pg 2 - 36 '!BG301</f>
        <v>18088706.173442744</v>
      </c>
      <c r="M54" s="255">
        <f t="shared" si="16"/>
        <v>-1146211060.8580489</v>
      </c>
    </row>
    <row r="55" spans="1:13" x14ac:dyDescent="0.25">
      <c r="A55" s="165">
        <f>ROW()</f>
        <v>55</v>
      </c>
      <c r="B55" s="190" t="s">
        <v>116</v>
      </c>
      <c r="C55" s="181">
        <f>'SEF-30 pg 2 - 36 '!D58</f>
        <v>240993567.33373606</v>
      </c>
      <c r="D55" s="207">
        <f>'SEF-30 pg 2 - 36 '!BG58</f>
        <v>-18474761.505783617</v>
      </c>
      <c r="E55" s="208">
        <f t="shared" si="12"/>
        <v>222518805.82795244</v>
      </c>
      <c r="F55" s="207">
        <f>'SEF-30 pg 2 - 36 '!BG119</f>
        <v>0</v>
      </c>
      <c r="G55" s="209">
        <f t="shared" si="13"/>
        <v>222518805.82795244</v>
      </c>
      <c r="H55" s="254">
        <f>'SEF-30 pg 2 - 36 '!BG180</f>
        <v>0</v>
      </c>
      <c r="I55" s="208">
        <f t="shared" si="14"/>
        <v>222518805.82795244</v>
      </c>
      <c r="J55" s="251">
        <f>+'SEF-30 pg 2 - 36 '!BG241</f>
        <v>0</v>
      </c>
      <c r="K55" s="255">
        <f t="shared" si="15"/>
        <v>222518805.82795244</v>
      </c>
      <c r="L55" s="253">
        <f>+'SEF-30 pg 2 - 36 '!BG302</f>
        <v>0</v>
      </c>
      <c r="M55" s="255">
        <f t="shared" si="16"/>
        <v>222518805.82795244</v>
      </c>
    </row>
    <row r="56" spans="1:13" x14ac:dyDescent="0.25">
      <c r="A56" s="165">
        <f>ROW()</f>
        <v>56</v>
      </c>
      <c r="B56" s="190" t="s">
        <v>117</v>
      </c>
      <c r="C56" s="181">
        <f>'SEF-30 pg 2 - 36 '!D59</f>
        <v>-135953118.1016821</v>
      </c>
      <c r="D56" s="207">
        <f>'SEF-30 pg 2 - 36 '!BG59</f>
        <v>-6040411.6689128876</v>
      </c>
      <c r="E56" s="208">
        <f t="shared" si="12"/>
        <v>-141993529.77059498</v>
      </c>
      <c r="F56" s="207">
        <f>'SEF-30 pg 2 - 36 '!BG120</f>
        <v>0</v>
      </c>
      <c r="G56" s="209">
        <f t="shared" si="13"/>
        <v>-141993529.77059498</v>
      </c>
      <c r="H56" s="254">
        <f>'SEF-30 pg 2 - 36 '!BG181</f>
        <v>0</v>
      </c>
      <c r="I56" s="208">
        <f t="shared" si="14"/>
        <v>-141993529.77059498</v>
      </c>
      <c r="J56" s="251">
        <f>+'SEF-30 pg 2 - 36 '!BG242</f>
        <v>0</v>
      </c>
      <c r="K56" s="256">
        <f t="shared" si="15"/>
        <v>-141993529.77059498</v>
      </c>
      <c r="L56" s="253">
        <f>+'SEF-30 pg 2 - 36 '!BG303</f>
        <v>0</v>
      </c>
      <c r="M56" s="255">
        <f t="shared" si="16"/>
        <v>-141993529.77059498</v>
      </c>
    </row>
    <row r="57" spans="1:13" x14ac:dyDescent="0.25">
      <c r="A57" s="165">
        <f>ROW()</f>
        <v>57</v>
      </c>
      <c r="B57" s="190"/>
      <c r="C57" s="117"/>
      <c r="D57" s="257"/>
      <c r="E57" s="119"/>
      <c r="F57" s="257"/>
      <c r="G57" s="258"/>
      <c r="H57" s="230"/>
      <c r="I57" s="119"/>
      <c r="J57" s="230"/>
      <c r="K57" s="119"/>
      <c r="L57" s="230"/>
      <c r="M57" s="259"/>
    </row>
    <row r="58" spans="1:13" ht="15.75" thickBot="1" x14ac:dyDescent="0.3">
      <c r="A58" s="165">
        <f>ROW()</f>
        <v>58</v>
      </c>
      <c r="B58" s="231" t="s">
        <v>118</v>
      </c>
      <c r="C58" s="232">
        <f>SUM(C51:C57)</f>
        <v>5583764449.6288252</v>
      </c>
      <c r="D58" s="260">
        <f t="shared" ref="D58:M58" si="17">SUM(D51:D57)</f>
        <v>7746286.2606755048</v>
      </c>
      <c r="E58" s="238">
        <f t="shared" si="17"/>
        <v>5591510735.8894997</v>
      </c>
      <c r="F58" s="260">
        <f t="shared" si="17"/>
        <v>518485698.09145623</v>
      </c>
      <c r="G58" s="261">
        <f t="shared" si="17"/>
        <v>6109996433.9809561</v>
      </c>
      <c r="H58" s="239">
        <f>SUM(H51:H57)</f>
        <v>445546496.40741968</v>
      </c>
      <c r="I58" s="238">
        <f t="shared" si="17"/>
        <v>6555542930.3883753</v>
      </c>
      <c r="J58" s="239">
        <f>SUM(J51:J57)</f>
        <v>50859821.172498472</v>
      </c>
      <c r="K58" s="238">
        <f t="shared" si="17"/>
        <v>6606402751.560873</v>
      </c>
      <c r="L58" s="239">
        <f>SUM(L51:L57)</f>
        <v>810582265.08440506</v>
      </c>
      <c r="M58" s="262">
        <f t="shared" si="17"/>
        <v>7416985016.6452789</v>
      </c>
    </row>
    <row r="59" spans="1:13" ht="15.75" thickTop="1" x14ac:dyDescent="0.25">
      <c r="A59" s="165">
        <f>ROW()</f>
        <v>59</v>
      </c>
      <c r="B59" s="116"/>
      <c r="C59" s="166"/>
      <c r="D59" s="167"/>
      <c r="E59" s="168"/>
      <c r="F59" s="167"/>
      <c r="G59" s="169"/>
      <c r="H59" s="170"/>
      <c r="I59" s="168"/>
      <c r="J59" s="170"/>
      <c r="K59" s="168"/>
      <c r="L59" s="170"/>
      <c r="M59" s="171"/>
    </row>
    <row r="60" spans="1:13" x14ac:dyDescent="0.25">
      <c r="A60" s="165">
        <f>ROW()</f>
        <v>60</v>
      </c>
      <c r="B60" s="116" t="s">
        <v>119</v>
      </c>
      <c r="C60" s="263">
        <f>'SEF-29 pg 1-2'!K24</f>
        <v>7.6499999999999999E-2</v>
      </c>
      <c r="D60" s="242">
        <f t="shared" ref="D60:J60" si="18">C60</f>
        <v>7.6499999999999999E-2</v>
      </c>
      <c r="E60" s="264">
        <f t="shared" si="18"/>
        <v>7.6499999999999999E-2</v>
      </c>
      <c r="F60" s="242">
        <f t="shared" si="18"/>
        <v>7.6499999999999999E-2</v>
      </c>
      <c r="G60" s="265">
        <f t="shared" si="18"/>
        <v>7.6499999999999999E-2</v>
      </c>
      <c r="H60" s="245">
        <f t="shared" si="18"/>
        <v>7.6499999999999999E-2</v>
      </c>
      <c r="I60" s="264">
        <f t="shared" si="18"/>
        <v>7.6499999999999999E-2</v>
      </c>
      <c r="J60" s="245">
        <f t="shared" si="18"/>
        <v>7.6499999999999999E-2</v>
      </c>
      <c r="K60" s="264">
        <f>'SEF-29 pg 1-2'!$K$24</f>
        <v>7.6499999999999999E-2</v>
      </c>
      <c r="L60" s="245">
        <f>+'SEF-29 pg 1-2'!D13</f>
        <v>7.9899999999999999E-2</v>
      </c>
      <c r="M60" s="266">
        <f>L60</f>
        <v>7.9899999999999999E-2</v>
      </c>
    </row>
    <row r="61" spans="1:13" x14ac:dyDescent="0.25">
      <c r="A61" s="165">
        <f>ROW()</f>
        <v>61</v>
      </c>
      <c r="B61" s="116"/>
      <c r="C61" s="263"/>
      <c r="D61" s="242"/>
      <c r="E61" s="264"/>
      <c r="F61" s="242"/>
      <c r="G61" s="265"/>
      <c r="H61" s="245"/>
      <c r="I61" s="264"/>
      <c r="J61" s="245"/>
      <c r="K61" s="264"/>
      <c r="L61" s="245"/>
      <c r="M61" s="266"/>
    </row>
    <row r="62" spans="1:13" x14ac:dyDescent="0.25">
      <c r="A62" s="165">
        <f>ROW()</f>
        <v>62</v>
      </c>
      <c r="B62" s="116" t="s">
        <v>120</v>
      </c>
      <c r="C62" s="267">
        <f t="shared" ref="C62:M62" si="19">+C47-(C58*C60)</f>
        <v>-115429565.10660517</v>
      </c>
      <c r="D62" s="268">
        <f t="shared" si="19"/>
        <v>-7423548.0077869697</v>
      </c>
      <c r="E62" s="188">
        <f t="shared" si="19"/>
        <v>-122853113.11439246</v>
      </c>
      <c r="F62" s="268">
        <f t="shared" si="19"/>
        <v>-231905523.96772096</v>
      </c>
      <c r="G62" s="269">
        <f t="shared" si="19"/>
        <v>-354758637.08211339</v>
      </c>
      <c r="H62" s="270">
        <f t="shared" si="19"/>
        <v>-50801673.434385702</v>
      </c>
      <c r="I62" s="188">
        <f t="shared" si="19"/>
        <v>-405560310.51649946</v>
      </c>
      <c r="J62" s="270">
        <f t="shared" si="19"/>
        <v>-183426479.72667211</v>
      </c>
      <c r="K62" s="213">
        <f t="shared" si="19"/>
        <v>-588986790.24317074</v>
      </c>
      <c r="L62" s="270">
        <f t="shared" si="19"/>
        <v>-105117961.63919067</v>
      </c>
      <c r="M62" s="189">
        <f t="shared" si="19"/>
        <v>-716566521.23766828</v>
      </c>
    </row>
    <row r="63" spans="1:13" x14ac:dyDescent="0.25">
      <c r="A63" s="165">
        <f>ROW()</f>
        <v>63</v>
      </c>
      <c r="B63" s="116" t="s">
        <v>3</v>
      </c>
      <c r="C63" s="271">
        <f>'SEF-31'!E20</f>
        <v>0.75052300000000005</v>
      </c>
      <c r="D63" s="272">
        <f t="shared" ref="D63:J63" si="20">C63</f>
        <v>0.75052300000000005</v>
      </c>
      <c r="E63" s="273">
        <f t="shared" si="20"/>
        <v>0.75052300000000005</v>
      </c>
      <c r="F63" s="272">
        <f t="shared" si="20"/>
        <v>0.75052300000000005</v>
      </c>
      <c r="G63" s="274">
        <f t="shared" si="20"/>
        <v>0.75052300000000005</v>
      </c>
      <c r="H63" s="275">
        <f t="shared" si="20"/>
        <v>0.75052300000000005</v>
      </c>
      <c r="I63" s="273">
        <f t="shared" si="20"/>
        <v>0.75052300000000005</v>
      </c>
      <c r="J63" s="275">
        <f t="shared" si="20"/>
        <v>0.75052300000000005</v>
      </c>
      <c r="K63" s="273">
        <f>'SEF-31'!E20</f>
        <v>0.75052300000000005</v>
      </c>
      <c r="L63" s="275">
        <f>K63</f>
        <v>0.75052300000000005</v>
      </c>
      <c r="M63" s="276">
        <f>L63</f>
        <v>0.75052300000000005</v>
      </c>
    </row>
    <row r="64" spans="1:13" x14ac:dyDescent="0.25">
      <c r="A64" s="165">
        <f>ROW()</f>
        <v>64</v>
      </c>
      <c r="B64" s="116"/>
      <c r="C64" s="117"/>
      <c r="D64" s="257"/>
      <c r="E64" s="119"/>
      <c r="F64" s="257"/>
      <c r="G64" s="258"/>
      <c r="H64" s="230"/>
      <c r="I64" s="259"/>
      <c r="J64" s="229"/>
      <c r="K64" s="119"/>
      <c r="L64" s="230"/>
      <c r="M64" s="259"/>
    </row>
    <row r="65" spans="1:13" ht="15.75" thickBot="1" x14ac:dyDescent="0.3">
      <c r="A65" s="165">
        <f>ROW()</f>
        <v>65</v>
      </c>
      <c r="B65" s="277" t="s">
        <v>29</v>
      </c>
      <c r="C65" s="278">
        <f t="shared" ref="C65:M65" si="21">-C62/C63</f>
        <v>153798837.75261405</v>
      </c>
      <c r="D65" s="233">
        <f t="shared" si="21"/>
        <v>9891166.5702276528</v>
      </c>
      <c r="E65" s="234">
        <f t="shared" si="21"/>
        <v>163690004.32284215</v>
      </c>
      <c r="F65" s="233">
        <f t="shared" si="21"/>
        <v>308991894.94222152</v>
      </c>
      <c r="G65" s="279">
        <f t="shared" si="21"/>
        <v>472681899.26506364</v>
      </c>
      <c r="H65" s="236">
        <f t="shared" si="21"/>
        <v>67688363.227223814</v>
      </c>
      <c r="I65" s="280">
        <f t="shared" si="21"/>
        <v>540370262.49228799</v>
      </c>
      <c r="J65" s="281">
        <f t="shared" si="21"/>
        <v>244398212.61529908</v>
      </c>
      <c r="K65" s="282">
        <f t="shared" si="21"/>
        <v>784768475.10758591</v>
      </c>
      <c r="L65" s="236">
        <f t="shared" si="21"/>
        <v>140059613.94812772</v>
      </c>
      <c r="M65" s="280">
        <f t="shared" si="21"/>
        <v>954756244.9620707</v>
      </c>
    </row>
    <row r="66" spans="1:13" ht="15.75" thickTop="1" x14ac:dyDescent="0.25">
      <c r="A66" s="165">
        <f>ROW()</f>
        <v>66</v>
      </c>
      <c r="B66" s="116"/>
      <c r="C66" s="166"/>
      <c r="D66" s="167"/>
      <c r="E66" s="168"/>
      <c r="F66" s="167"/>
      <c r="G66" s="171"/>
      <c r="H66" s="170"/>
      <c r="I66" s="171"/>
      <c r="J66" s="172"/>
      <c r="K66" s="171"/>
      <c r="L66" s="172"/>
      <c r="M66" s="171"/>
    </row>
    <row r="67" spans="1:13" hidden="1" outlineLevel="1" x14ac:dyDescent="0.25">
      <c r="A67" s="165">
        <f>ROW()</f>
        <v>67</v>
      </c>
      <c r="B67" s="116"/>
      <c r="C67" s="166"/>
      <c r="D67" s="167"/>
      <c r="E67" s="168"/>
      <c r="F67" s="167"/>
      <c r="G67" s="186"/>
      <c r="H67" s="170"/>
      <c r="I67" s="186"/>
      <c r="J67" s="172"/>
      <c r="K67" s="186"/>
      <c r="L67" s="172"/>
      <c r="M67" s="186"/>
    </row>
    <row r="68" spans="1:13" hidden="1" outlineLevel="1" x14ac:dyDescent="0.25">
      <c r="A68" s="165">
        <f>ROW()</f>
        <v>68</v>
      </c>
      <c r="B68" s="116"/>
      <c r="C68" s="166"/>
      <c r="D68" s="167"/>
      <c r="E68" s="168"/>
      <c r="F68" s="167"/>
      <c r="G68" s="171"/>
      <c r="H68" s="170"/>
      <c r="I68" s="171"/>
      <c r="J68" s="172"/>
      <c r="K68" s="171"/>
      <c r="L68" s="172"/>
      <c r="M68" s="171"/>
    </row>
    <row r="69" spans="1:13" hidden="1" outlineLevel="1" x14ac:dyDescent="0.25">
      <c r="A69" s="165">
        <f>ROW()</f>
        <v>69</v>
      </c>
      <c r="B69" s="116"/>
      <c r="C69" s="166"/>
      <c r="D69" s="167"/>
      <c r="E69" s="168"/>
      <c r="F69" s="167"/>
      <c r="G69" s="283"/>
      <c r="H69" s="170"/>
      <c r="I69" s="283"/>
      <c r="J69" s="285"/>
      <c r="K69" s="283"/>
      <c r="L69" s="285"/>
      <c r="M69" s="283"/>
    </row>
    <row r="70" spans="1:13" hidden="1" outlineLevel="1" x14ac:dyDescent="0.25">
      <c r="A70" s="165">
        <f>ROW()</f>
        <v>70</v>
      </c>
      <c r="B70" s="116"/>
      <c r="C70" s="166"/>
      <c r="D70" s="167"/>
      <c r="E70" s="168"/>
      <c r="F70" s="167"/>
      <c r="G70" s="283"/>
      <c r="H70" s="170"/>
      <c r="I70" s="283"/>
      <c r="J70" s="286"/>
      <c r="K70" s="283"/>
      <c r="L70" s="286"/>
      <c r="M70" s="283"/>
    </row>
    <row r="71" spans="1:13" collapsed="1" x14ac:dyDescent="0.25">
      <c r="A71" s="165">
        <f>ROW()</f>
        <v>71</v>
      </c>
      <c r="B71" s="116" t="s">
        <v>121</v>
      </c>
      <c r="C71" s="166"/>
      <c r="D71" s="167"/>
      <c r="E71" s="168"/>
      <c r="F71" s="167"/>
      <c r="G71" s="288"/>
      <c r="H71" s="170"/>
      <c r="I71" s="283"/>
      <c r="J71" s="289" t="s">
        <v>122</v>
      </c>
      <c r="K71" s="280">
        <f>K65</f>
        <v>784768475.10758591</v>
      </c>
      <c r="L71" s="289" t="s">
        <v>123</v>
      </c>
      <c r="M71" s="280">
        <f>M65-K65</f>
        <v>169987769.8544848</v>
      </c>
    </row>
    <row r="72" spans="1:13" outlineLevel="1" x14ac:dyDescent="0.25">
      <c r="A72" s="165">
        <f>ROW()</f>
        <v>72</v>
      </c>
      <c r="B72" s="116"/>
      <c r="C72" s="166"/>
      <c r="D72" s="167"/>
      <c r="E72" s="168"/>
      <c r="F72" s="167"/>
      <c r="G72" s="288"/>
      <c r="H72" s="170"/>
      <c r="I72" s="283"/>
      <c r="J72" s="289"/>
      <c r="K72" s="290"/>
      <c r="L72" s="291"/>
      <c r="M72" s="290"/>
    </row>
    <row r="73" spans="1:13" outlineLevel="1" x14ac:dyDescent="0.25">
      <c r="A73" s="165">
        <f>ROW()</f>
        <v>73</v>
      </c>
      <c r="B73" s="116" t="s">
        <v>124</v>
      </c>
      <c r="C73" s="166"/>
      <c r="D73" s="167"/>
      <c r="E73" s="168"/>
      <c r="F73" s="167"/>
      <c r="G73" s="284"/>
      <c r="H73" s="170"/>
      <c r="I73" s="283"/>
      <c r="J73" s="289"/>
      <c r="K73" s="290"/>
      <c r="L73" s="291"/>
      <c r="M73" s="290"/>
    </row>
    <row r="74" spans="1:13" outlineLevel="1" x14ac:dyDescent="0.25">
      <c r="A74" s="165">
        <f>ROW()</f>
        <v>74</v>
      </c>
      <c r="B74" s="116" t="s">
        <v>125</v>
      </c>
      <c r="C74" s="166"/>
      <c r="D74" s="167"/>
      <c r="E74" s="168"/>
      <c r="F74" s="167"/>
      <c r="G74" s="284"/>
      <c r="H74" s="170"/>
      <c r="I74" s="283"/>
      <c r="J74" s="289"/>
      <c r="K74" s="280">
        <v>8733991.5465614758</v>
      </c>
      <c r="L74" s="292"/>
      <c r="M74" s="280">
        <v>-545912.21721386071</v>
      </c>
    </row>
    <row r="75" spans="1:13" outlineLevel="1" x14ac:dyDescent="0.25">
      <c r="A75" s="165">
        <f>ROW()</f>
        <v>75</v>
      </c>
      <c r="B75" s="116" t="s">
        <v>126</v>
      </c>
      <c r="C75" s="166"/>
      <c r="D75" s="167"/>
      <c r="E75" s="168"/>
      <c r="F75" s="167"/>
      <c r="G75" s="284"/>
      <c r="H75" s="170"/>
      <c r="I75" s="283"/>
      <c r="J75" s="289"/>
      <c r="K75" s="294">
        <f>K76-K74</f>
        <v>776034483.56102443</v>
      </c>
      <c r="L75" s="295"/>
      <c r="M75" s="294">
        <f>M76-M74</f>
        <v>170533682.07169867</v>
      </c>
    </row>
    <row r="76" spans="1:13" outlineLevel="1" x14ac:dyDescent="0.25">
      <c r="A76" s="165">
        <f>ROW()</f>
        <v>76</v>
      </c>
      <c r="B76" s="296" t="s">
        <v>127</v>
      </c>
      <c r="C76" s="166"/>
      <c r="D76" s="167"/>
      <c r="E76" s="168"/>
      <c r="F76" s="167"/>
      <c r="G76" s="284"/>
      <c r="H76" s="170"/>
      <c r="I76" s="283"/>
      <c r="J76" s="289"/>
      <c r="K76" s="297">
        <f>K71</f>
        <v>784768475.10758591</v>
      </c>
      <c r="L76" s="291"/>
      <c r="M76" s="297">
        <f>M71</f>
        <v>169987769.8544848</v>
      </c>
    </row>
    <row r="77" spans="1:13" outlineLevel="1" x14ac:dyDescent="0.25">
      <c r="A77" s="165">
        <f>ROW()</f>
        <v>77</v>
      </c>
      <c r="B77" s="116"/>
      <c r="C77" s="166"/>
      <c r="D77" s="167"/>
      <c r="E77" s="168"/>
      <c r="F77" s="167"/>
      <c r="G77" s="298"/>
      <c r="H77" s="170"/>
      <c r="I77" s="283"/>
      <c r="J77" s="289"/>
      <c r="K77" s="293"/>
      <c r="L77" s="291"/>
      <c r="M77" s="293"/>
    </row>
    <row r="78" spans="1:13" x14ac:dyDescent="0.25">
      <c r="A78" s="165">
        <f>ROW()</f>
        <v>78</v>
      </c>
      <c r="B78" s="116"/>
      <c r="C78" s="166"/>
      <c r="D78" s="167"/>
      <c r="E78" s="168"/>
      <c r="F78" s="167"/>
      <c r="G78" s="298"/>
      <c r="H78" s="170"/>
      <c r="I78" s="283"/>
      <c r="J78" s="289"/>
      <c r="K78" s="293"/>
      <c r="L78" s="291"/>
      <c r="M78" s="293"/>
    </row>
    <row r="79" spans="1:13" x14ac:dyDescent="0.25">
      <c r="A79" s="165">
        <f>ROW()</f>
        <v>79</v>
      </c>
      <c r="B79" s="116" t="s">
        <v>128</v>
      </c>
      <c r="C79" s="166"/>
      <c r="D79" s="167"/>
      <c r="E79" s="168"/>
      <c r="F79" s="167"/>
      <c r="G79" s="298"/>
      <c r="H79" s="170"/>
      <c r="I79" s="283"/>
      <c r="J79" s="289"/>
      <c r="K79" s="294">
        <f>'SEF-29 pg 1-2'!C39-K78</f>
        <v>-392046221.33914036</v>
      </c>
      <c r="L79" s="291"/>
      <c r="M79" s="294">
        <f>'SEF-29 pg 1-2'!D39-M78</f>
        <v>25292882.794353902</v>
      </c>
    </row>
    <row r="80" spans="1:13" x14ac:dyDescent="0.25">
      <c r="A80" s="165">
        <f>ROW()</f>
        <v>80</v>
      </c>
      <c r="B80" s="116"/>
      <c r="C80" s="166"/>
      <c r="D80" s="167"/>
      <c r="E80" s="168"/>
      <c r="F80" s="167"/>
      <c r="G80" s="298"/>
      <c r="H80" s="170"/>
      <c r="I80" s="283"/>
      <c r="J80" s="289"/>
      <c r="K80" s="299"/>
      <c r="L80" s="300"/>
      <c r="M80" s="299"/>
    </row>
    <row r="81" spans="1:13" ht="15.75" thickBot="1" x14ac:dyDescent="0.3">
      <c r="A81" s="165">
        <f>ROW()</f>
        <v>81</v>
      </c>
      <c r="B81" s="116" t="s">
        <v>129</v>
      </c>
      <c r="C81" s="166"/>
      <c r="D81" s="167"/>
      <c r="E81" s="168"/>
      <c r="F81" s="167"/>
      <c r="G81" s="298"/>
      <c r="H81" s="170"/>
      <c r="I81" s="283"/>
      <c r="J81" s="289"/>
      <c r="K81" s="237">
        <f>K71+K79</f>
        <v>392722253.76844555</v>
      </c>
      <c r="L81" s="300"/>
      <c r="M81" s="237">
        <f>M71+M79</f>
        <v>195280652.6488387</v>
      </c>
    </row>
    <row r="82" spans="1:13" ht="15.75" thickTop="1" x14ac:dyDescent="0.25">
      <c r="A82" s="301" t="s">
        <v>30</v>
      </c>
      <c r="B82" s="302"/>
      <c r="C82" s="303"/>
      <c r="D82" s="304"/>
      <c r="E82" s="305"/>
      <c r="F82" s="304"/>
      <c r="G82" s="306"/>
      <c r="H82" s="307"/>
      <c r="I82" s="308"/>
      <c r="J82" s="309"/>
      <c r="K82" s="310"/>
      <c r="L82" s="309"/>
      <c r="M82" s="310"/>
    </row>
    <row r="83" spans="1:13" x14ac:dyDescent="0.25">
      <c r="A83" s="311"/>
      <c r="B83" s="88"/>
    </row>
    <row r="84" spans="1:13" customFormat="1" x14ac:dyDescent="0.25"/>
    <row r="85" spans="1:13" customFormat="1" x14ac:dyDescent="0.25"/>
    <row r="86" spans="1:13" customFormat="1" x14ac:dyDescent="0.25"/>
    <row r="87" spans="1:13" customFormat="1" x14ac:dyDescent="0.25"/>
    <row r="88" spans="1:13" customFormat="1" x14ac:dyDescent="0.25"/>
    <row r="89" spans="1:13" customFormat="1" x14ac:dyDescent="0.25"/>
    <row r="90" spans="1:13" customFormat="1" x14ac:dyDescent="0.25"/>
    <row r="91" spans="1:13" customFormat="1" x14ac:dyDescent="0.25"/>
    <row r="92" spans="1:13" customFormat="1" x14ac:dyDescent="0.25"/>
    <row r="93" spans="1:13" customFormat="1" x14ac:dyDescent="0.25"/>
    <row r="94" spans="1:13" customFormat="1" x14ac:dyDescent="0.25"/>
    <row r="95" spans="1:13" customFormat="1" x14ac:dyDescent="0.25"/>
    <row r="96" spans="1:13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</sheetData>
  <printOptions horizontalCentered="1"/>
  <pageMargins left="0.7" right="0" top="0.75" bottom="0.75" header="0.3" footer="0.3"/>
  <pageSetup scale="44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546"/>
  <sheetViews>
    <sheetView zoomScale="70" zoomScaleNormal="70" workbookViewId="0">
      <pane xSplit="4" ySplit="11" topLeftCell="E255" activePane="bottomRight" state="frozen"/>
      <selection activeCell="H26" sqref="H26"/>
      <selection pane="topRight" activeCell="H26" sqref="H26"/>
      <selection pane="bottomLeft" activeCell="H26" sqref="H26"/>
      <selection pane="bottomRight" activeCell="E12" sqref="E12"/>
    </sheetView>
  </sheetViews>
  <sheetFormatPr defaultColWidth="9.42578125" defaultRowHeight="15" outlineLevelRow="2" outlineLevelCol="1" x14ac:dyDescent="0.25"/>
  <cols>
    <col min="1" max="1" width="6" style="317" customWidth="1"/>
    <col min="2" max="2" width="65.5703125" style="317" customWidth="1"/>
    <col min="3" max="3" width="24.28515625" style="317" bestFit="1" customWidth="1"/>
    <col min="4" max="4" width="23.28515625" style="317" customWidth="1"/>
    <col min="5" max="5" width="20.140625" style="317" customWidth="1" outlineLevel="1"/>
    <col min="6" max="6" width="27.7109375" style="317" customWidth="1" outlineLevel="1"/>
    <col min="7" max="7" width="27.7109375" style="317" bestFit="1" customWidth="1" outlineLevel="1"/>
    <col min="8" max="8" width="16" style="317" customWidth="1" outlineLevel="1"/>
    <col min="9" max="9" width="17.5703125" style="317" customWidth="1" outlineLevel="1"/>
    <col min="10" max="14" width="15.42578125" style="317" customWidth="1" outlineLevel="1"/>
    <col min="15" max="15" width="15.85546875" style="317" customWidth="1" outlineLevel="1"/>
    <col min="16" max="16" width="15.42578125" style="317" customWidth="1" outlineLevel="1"/>
    <col min="17" max="17" width="19.7109375" style="317" customWidth="1" outlineLevel="1"/>
    <col min="18" max="18" width="15.7109375" style="317" customWidth="1" outlineLevel="1"/>
    <col min="19" max="19" width="23" style="317" customWidth="1" outlineLevel="1"/>
    <col min="20" max="23" width="15.7109375" style="317" customWidth="1" outlineLevel="1"/>
    <col min="24" max="24" width="18.28515625" style="317" customWidth="1" outlineLevel="1"/>
    <col min="25" max="25" width="28.5703125" style="317" bestFit="1" customWidth="1" outlineLevel="1"/>
    <col min="26" max="26" width="28.7109375" style="317" bestFit="1" customWidth="1" outlineLevel="1"/>
    <col min="27" max="27" width="19.5703125" style="317" customWidth="1" outlineLevel="1"/>
    <col min="28" max="28" width="26.42578125" style="317" bestFit="1" customWidth="1" outlineLevel="1"/>
    <col min="29" max="29" width="17.28515625" style="317" customWidth="1" outlineLevel="1"/>
    <col min="30" max="30" width="20.28515625" style="317" customWidth="1" outlineLevel="1"/>
    <col min="31" max="31" width="19" style="317" customWidth="1" outlineLevel="1"/>
    <col min="32" max="32" width="30.28515625" style="317" customWidth="1" outlineLevel="1"/>
    <col min="33" max="33" width="22" style="317" customWidth="1" outlineLevel="1"/>
    <col min="34" max="34" width="32" style="317" customWidth="1" outlineLevel="1"/>
    <col min="35" max="35" width="21.28515625" style="317" customWidth="1" outlineLevel="1"/>
    <col min="36" max="36" width="18.7109375" style="317" customWidth="1" outlineLevel="1"/>
    <col min="37" max="37" width="32" style="317" bestFit="1" customWidth="1" outlineLevel="1"/>
    <col min="38" max="38" width="18.28515625" style="317" customWidth="1" outlineLevel="1"/>
    <col min="39" max="39" width="21.7109375" style="317" customWidth="1" outlineLevel="1"/>
    <col min="40" max="40" width="25" style="317" customWidth="1" outlineLevel="1"/>
    <col min="41" max="41" width="16.42578125" style="317" customWidth="1"/>
    <col min="42" max="42" width="19.5703125" style="317" customWidth="1"/>
    <col min="43" max="46" width="16.42578125" style="317" hidden="1" customWidth="1" outlineLevel="1"/>
    <col min="47" max="47" width="11.28515625" style="317" hidden="1" customWidth="1" outlineLevel="1"/>
    <col min="48" max="48" width="21.5703125" style="317" customWidth="1" collapsed="1"/>
    <col min="49" max="49" width="15.28515625" style="317" customWidth="1"/>
    <col min="50" max="50" width="22.7109375" style="317" customWidth="1"/>
    <col min="51" max="51" width="19.5703125" style="317" customWidth="1"/>
    <col min="52" max="52" width="14.5703125" style="317" customWidth="1"/>
    <col min="53" max="54" width="20.7109375" style="317" customWidth="1"/>
    <col min="55" max="55" width="19.7109375" style="317" customWidth="1"/>
    <col min="56" max="56" width="18.85546875" style="317" customWidth="1"/>
    <col min="57" max="58" width="19.42578125" style="317" customWidth="1"/>
    <col min="59" max="59" width="22" style="317" bestFit="1" customWidth="1"/>
    <col min="60" max="60" width="23" style="317" customWidth="1"/>
    <col min="61" max="61" width="16.42578125" style="317" bestFit="1" customWidth="1"/>
    <col min="62" max="66" width="9.42578125" style="317"/>
    <col min="68" max="68" width="18.42578125" customWidth="1" outlineLevel="1"/>
    <col min="69" max="69" width="16" customWidth="1" outlineLevel="1"/>
    <col min="71" max="71" width="16" customWidth="1" outlineLevel="1"/>
    <col min="72" max="72" width="17.5703125" customWidth="1" outlineLevel="1"/>
    <col min="73" max="74" width="12.28515625" bestFit="1" customWidth="1"/>
    <col min="75" max="16384" width="9.42578125" style="317"/>
  </cols>
  <sheetData>
    <row r="1" spans="1:74" s="314" customFormat="1" x14ac:dyDescent="0.25">
      <c r="A1" s="313" t="s">
        <v>48</v>
      </c>
      <c r="C1" s="1234"/>
      <c r="D1" s="1235"/>
      <c r="BB1" s="315">
        <f>ROUND('SEF-32 pg 35-45'!EA55-'SEF-30 pg 2 - 36 '!BB49,0)+ROUND('SEF-32 pg 35-45'!EA75-'SEF-30 pg 2 - 36 '!BB47,0)</f>
        <v>0</v>
      </c>
      <c r="BC1" s="315">
        <f>ROUND('SEF-32 pg 35-45'!ES31-BC49,0)+ROUND('SEF-32 pg 35-45'!ES42-BC47,0)</f>
        <v>0</v>
      </c>
      <c r="BD1" s="315"/>
      <c r="BE1" s="315">
        <f>ROUND('SEF-32 pg 35-45'!GB32-'SEF-30 pg 2 - 36 '!BE49,0)+ROUND('SEF-32 pg 35-45'!GB45-'SEF-30 pg 2 - 36 '!BE47,0)</f>
        <v>0</v>
      </c>
      <c r="BF1" s="315">
        <f>ROUND('SEF-32 pg 35-45'!GU37-'SEF-30 pg 2 - 36 '!BF47,0)</f>
        <v>0</v>
      </c>
      <c r="BG1" s="315"/>
      <c r="BH1" s="315"/>
      <c r="BK1" s="82"/>
      <c r="BO1"/>
      <c r="BP1"/>
      <c r="BQ1"/>
      <c r="BR1"/>
      <c r="BS1"/>
      <c r="BT1"/>
      <c r="BU1"/>
      <c r="BV1"/>
    </row>
    <row r="2" spans="1:74" x14ac:dyDescent="0.25">
      <c r="A2" s="316" t="s">
        <v>49</v>
      </c>
      <c r="B2" s="314"/>
      <c r="C2" s="1236"/>
      <c r="D2" s="1235"/>
      <c r="G2" s="318"/>
      <c r="H2" s="318"/>
      <c r="I2" s="318"/>
      <c r="J2" s="318"/>
      <c r="K2" s="318"/>
      <c r="L2" s="1239"/>
      <c r="M2" s="1238"/>
      <c r="N2" s="1238"/>
      <c r="O2" s="1239"/>
      <c r="P2" s="1239"/>
      <c r="Q2" s="1239"/>
      <c r="R2" s="1239"/>
      <c r="S2" s="1239"/>
      <c r="T2" s="1239"/>
      <c r="U2" s="1239"/>
      <c r="V2" s="1239"/>
      <c r="W2" s="1239"/>
      <c r="X2" s="935"/>
      <c r="Y2" s="1239"/>
      <c r="Z2" s="1239"/>
      <c r="AA2" s="1239"/>
      <c r="AB2" s="1239"/>
      <c r="AC2" s="1239"/>
      <c r="AD2" s="1239"/>
      <c r="AE2" s="1239"/>
      <c r="AF2" s="1239"/>
      <c r="AG2" s="1239"/>
      <c r="AH2" s="1239"/>
      <c r="AI2" s="1239"/>
      <c r="AJ2" s="1239"/>
      <c r="AK2" s="1239"/>
      <c r="AL2" s="1239"/>
      <c r="AM2" s="1239"/>
      <c r="AN2" s="1239"/>
      <c r="AO2" s="1239"/>
      <c r="AP2" s="1239"/>
      <c r="AQ2" s="1239"/>
      <c r="AR2" s="1239"/>
      <c r="AS2" s="1239"/>
      <c r="AT2" s="1239"/>
      <c r="AU2" s="1239"/>
      <c r="AV2" s="1239"/>
      <c r="AW2" s="1239"/>
      <c r="AX2" s="1239"/>
      <c r="AY2" s="1239"/>
      <c r="AZ2" s="1239"/>
      <c r="BA2" s="1239"/>
      <c r="BB2" s="1239"/>
      <c r="BC2" s="1239"/>
      <c r="BD2" s="1239"/>
      <c r="BE2" s="1239"/>
      <c r="BF2" s="1239"/>
      <c r="BG2" s="1239"/>
      <c r="BH2" s="935"/>
      <c r="BI2" s="1238"/>
      <c r="BJ2" s="1238"/>
      <c r="BK2" s="1056"/>
      <c r="BL2" s="1238"/>
      <c r="BM2" s="1238"/>
      <c r="BN2" s="1238"/>
      <c r="BO2" s="1050"/>
      <c r="BP2" s="1050"/>
      <c r="BQ2" s="1050"/>
      <c r="BR2" s="1050"/>
      <c r="BS2" s="1050"/>
      <c r="BT2" s="1050"/>
    </row>
    <row r="3" spans="1:74" s="319" customFormat="1" ht="18.75" customHeight="1" x14ac:dyDescent="0.25">
      <c r="A3" s="316" t="s">
        <v>50</v>
      </c>
      <c r="B3" s="317"/>
      <c r="C3" s="1234"/>
      <c r="D3" s="1235"/>
      <c r="G3" s="320"/>
      <c r="H3" s="320"/>
      <c r="I3" s="320"/>
      <c r="J3" s="320"/>
      <c r="K3" s="320"/>
      <c r="L3" s="1240"/>
      <c r="M3" s="935"/>
      <c r="N3" s="935"/>
      <c r="O3" s="1240"/>
      <c r="P3" s="1240"/>
      <c r="Q3" s="1240"/>
      <c r="R3" s="1240"/>
      <c r="S3" s="1240"/>
      <c r="T3" s="1240"/>
      <c r="U3" s="1240"/>
      <c r="V3" s="1240"/>
      <c r="W3" s="1240"/>
      <c r="X3" s="1240"/>
      <c r="Y3" s="1240"/>
      <c r="Z3" s="1240"/>
      <c r="AA3" s="1240"/>
      <c r="AB3" s="1240"/>
      <c r="AC3" s="1240"/>
      <c r="AD3" s="1240"/>
      <c r="AE3" s="1240"/>
      <c r="AF3" s="1240"/>
      <c r="AG3" s="1240"/>
      <c r="AH3" s="1240"/>
      <c r="AI3" s="1240"/>
      <c r="AJ3" s="1240"/>
      <c r="AK3" s="1240"/>
      <c r="AL3" s="1240"/>
      <c r="AM3" s="1240"/>
      <c r="AN3" s="1240"/>
      <c r="AO3" s="1240"/>
      <c r="AP3" s="1240"/>
      <c r="AQ3" s="1240"/>
      <c r="AR3" s="1240"/>
      <c r="AS3" s="1240"/>
      <c r="AT3" s="1240"/>
      <c r="AU3" s="1240"/>
      <c r="AV3" s="1240"/>
      <c r="AW3" s="1240"/>
      <c r="AX3" s="1240"/>
      <c r="AY3" s="1240"/>
      <c r="AZ3" s="1240"/>
      <c r="BA3" s="1240"/>
      <c r="BB3" s="1240"/>
      <c r="BC3" s="1240"/>
      <c r="BD3" s="1240"/>
      <c r="BE3" s="1240"/>
      <c r="BF3" s="1240"/>
      <c r="BG3" s="1241"/>
      <c r="BH3" s="1241"/>
      <c r="BI3" s="1242"/>
      <c r="BJ3" s="1242"/>
      <c r="BK3" s="1056"/>
      <c r="BL3" s="1242"/>
      <c r="BM3" s="1242"/>
      <c r="BN3" s="1242"/>
      <c r="BO3" s="1050"/>
      <c r="BP3" s="1050"/>
      <c r="BQ3" s="1050"/>
      <c r="BR3" s="1050"/>
      <c r="BS3" s="1050"/>
      <c r="BT3" s="1050"/>
      <c r="BU3"/>
      <c r="BV3"/>
    </row>
    <row r="4" spans="1:74" x14ac:dyDescent="0.25">
      <c r="A4" s="318" t="s">
        <v>51</v>
      </c>
      <c r="B4" s="319"/>
      <c r="C4" s="1237"/>
      <c r="D4" s="1235"/>
      <c r="F4" s="321"/>
      <c r="G4" s="322"/>
      <c r="H4" s="322"/>
      <c r="I4" s="322"/>
      <c r="J4" s="322"/>
      <c r="K4" s="322"/>
      <c r="L4" s="1243"/>
      <c r="M4" s="1243"/>
      <c r="N4" s="1243"/>
      <c r="O4" s="1243"/>
      <c r="P4" s="1243"/>
      <c r="Q4" s="1243"/>
      <c r="R4" s="1243"/>
      <c r="S4" s="1243"/>
      <c r="T4" s="1243"/>
      <c r="U4" s="1243"/>
      <c r="V4" s="1243"/>
      <c r="W4" s="1243"/>
      <c r="X4" s="1243"/>
      <c r="Y4" s="1243"/>
      <c r="Z4" s="1243"/>
      <c r="AA4" s="1243"/>
      <c r="AB4" s="1243"/>
      <c r="AC4" s="1243"/>
      <c r="AD4" s="1243"/>
      <c r="AE4" s="1243"/>
      <c r="AF4" s="1243"/>
      <c r="AG4" s="1243"/>
      <c r="AH4" s="1243"/>
      <c r="AI4" s="1243"/>
      <c r="AJ4" s="1243"/>
      <c r="AK4" s="1243"/>
      <c r="AL4" s="1243"/>
      <c r="AM4" s="1243"/>
      <c r="AN4" s="1243"/>
      <c r="AO4" s="1243"/>
      <c r="AP4" s="1243"/>
      <c r="AQ4" s="1243"/>
      <c r="AR4" s="1243"/>
      <c r="AS4" s="1243"/>
      <c r="AT4" s="1243"/>
      <c r="AU4" s="1243"/>
      <c r="AV4" s="1243"/>
      <c r="AW4" s="1243"/>
      <c r="AX4" s="1243"/>
      <c r="AY4" s="1243"/>
      <c r="AZ4" s="1243"/>
      <c r="BA4" s="1243"/>
      <c r="BB4" s="1243"/>
      <c r="BC4" s="1243"/>
      <c r="BD4" s="1243"/>
      <c r="BE4" s="1243"/>
      <c r="BF4" s="1243"/>
      <c r="BG4" s="1238"/>
      <c r="BH4" s="1238"/>
      <c r="BI4" s="1238"/>
      <c r="BJ4" s="1238"/>
      <c r="BK4" s="1056"/>
      <c r="BL4" s="1238"/>
      <c r="BM4" s="1238"/>
      <c r="BN4" s="1238"/>
      <c r="BO4" s="1050"/>
      <c r="BP4" s="1050"/>
      <c r="BQ4" s="1050"/>
      <c r="BR4" s="1050"/>
      <c r="BS4" s="1050"/>
      <c r="BT4" s="1050"/>
    </row>
    <row r="5" spans="1:74" x14ac:dyDescent="0.25">
      <c r="C5" s="1234"/>
      <c r="D5" s="1235"/>
      <c r="F5" s="323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4" t="s">
        <v>130</v>
      </c>
      <c r="AQ5" s="322"/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2"/>
      <c r="BF5" s="322"/>
      <c r="BK5" s="82"/>
    </row>
    <row r="6" spans="1:74" outlineLevel="1" x14ac:dyDescent="0.25">
      <c r="C6" s="1244"/>
      <c r="D6" s="1235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K6" s="82"/>
    </row>
    <row r="7" spans="1:74" outlineLevel="1" x14ac:dyDescent="0.25">
      <c r="A7" s="318"/>
      <c r="B7" s="325"/>
      <c r="C7" s="1234"/>
      <c r="D7" s="1235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K7" s="82"/>
    </row>
    <row r="8" spans="1:74" ht="14.45" customHeight="1" thickBot="1" x14ac:dyDescent="0.3">
      <c r="B8" s="1238"/>
      <c r="C8" s="1245"/>
      <c r="D8" s="1235"/>
      <c r="E8" s="327" t="s">
        <v>131</v>
      </c>
      <c r="F8" s="327" t="s">
        <v>131</v>
      </c>
      <c r="G8" s="327" t="s">
        <v>131</v>
      </c>
      <c r="H8" s="327" t="s">
        <v>131</v>
      </c>
      <c r="I8" s="327" t="s">
        <v>131</v>
      </c>
      <c r="J8" s="327" t="s">
        <v>131</v>
      </c>
      <c r="K8" s="327" t="s">
        <v>131</v>
      </c>
      <c r="L8" s="327" t="s">
        <v>131</v>
      </c>
      <c r="M8" s="327" t="s">
        <v>131</v>
      </c>
      <c r="N8" s="327" t="s">
        <v>131</v>
      </c>
      <c r="O8" s="327" t="s">
        <v>131</v>
      </c>
      <c r="P8" s="327" t="s">
        <v>131</v>
      </c>
      <c r="Q8" s="327" t="s">
        <v>131</v>
      </c>
      <c r="R8" s="327" t="s">
        <v>131</v>
      </c>
      <c r="S8" s="327" t="s">
        <v>131</v>
      </c>
      <c r="T8" s="327" t="s">
        <v>131</v>
      </c>
      <c r="U8" s="327" t="s">
        <v>131</v>
      </c>
      <c r="V8" s="327" t="s">
        <v>131</v>
      </c>
      <c r="W8" s="327" t="s">
        <v>131</v>
      </c>
      <c r="X8" s="327" t="s">
        <v>131</v>
      </c>
      <c r="Y8" s="327" t="s">
        <v>131</v>
      </c>
      <c r="Z8" s="327" t="s">
        <v>131</v>
      </c>
      <c r="AA8" s="327" t="s">
        <v>131</v>
      </c>
      <c r="AB8" s="327" t="s">
        <v>131</v>
      </c>
      <c r="AC8" s="327" t="s">
        <v>131</v>
      </c>
      <c r="AD8" s="327" t="s">
        <v>131</v>
      </c>
      <c r="AE8" s="327" t="s">
        <v>131</v>
      </c>
      <c r="AF8" s="327" t="s">
        <v>131</v>
      </c>
      <c r="AG8" s="327" t="s">
        <v>131</v>
      </c>
      <c r="AH8" s="327" t="s">
        <v>131</v>
      </c>
      <c r="AI8" s="327" t="s">
        <v>131</v>
      </c>
      <c r="AJ8" s="327" t="s">
        <v>131</v>
      </c>
      <c r="AK8" s="327" t="s">
        <v>131</v>
      </c>
      <c r="AL8" s="327" t="s">
        <v>131</v>
      </c>
      <c r="AM8" s="327" t="s">
        <v>131</v>
      </c>
      <c r="AN8" s="327" t="s">
        <v>131</v>
      </c>
      <c r="AO8" s="327" t="s">
        <v>131</v>
      </c>
      <c r="AP8" s="327" t="s">
        <v>131</v>
      </c>
      <c r="AQ8" s="327"/>
      <c r="AR8" s="327"/>
      <c r="AS8" s="327"/>
      <c r="AT8" s="327"/>
      <c r="AU8" s="327"/>
      <c r="AV8" s="328" t="s">
        <v>132</v>
      </c>
      <c r="AW8" s="328" t="s">
        <v>132</v>
      </c>
      <c r="AX8" s="328" t="s">
        <v>132</v>
      </c>
      <c r="AY8" s="328" t="s">
        <v>132</v>
      </c>
      <c r="AZ8" s="328" t="s">
        <v>132</v>
      </c>
      <c r="BA8" s="328" t="s">
        <v>132</v>
      </c>
      <c r="BB8" s="328" t="s">
        <v>132</v>
      </c>
      <c r="BC8" s="328" t="s">
        <v>132</v>
      </c>
      <c r="BD8" s="328" t="s">
        <v>132</v>
      </c>
      <c r="BE8" s="328" t="s">
        <v>132</v>
      </c>
      <c r="BF8" s="328" t="s">
        <v>132</v>
      </c>
      <c r="BK8" s="82"/>
    </row>
    <row r="9" spans="1:74" x14ac:dyDescent="0.25">
      <c r="D9" s="1252"/>
      <c r="E9" s="330">
        <v>32.01</v>
      </c>
      <c r="F9" s="330">
        <v>32.019999999999996</v>
      </c>
      <c r="G9" s="330">
        <v>32.029999999999994</v>
      </c>
      <c r="H9" s="330">
        <v>32.039999999999992</v>
      </c>
      <c r="I9" s="330">
        <v>32.04999999999999</v>
      </c>
      <c r="J9" s="330">
        <v>32.059999999999988</v>
      </c>
      <c r="K9" s="330">
        <v>32.069999999999986</v>
      </c>
      <c r="L9" s="330">
        <v>32.079999999999984</v>
      </c>
      <c r="M9" s="330">
        <v>32.089999999999982</v>
      </c>
      <c r="N9" s="330">
        <v>32.09999999999998</v>
      </c>
      <c r="O9" s="330">
        <v>32.109999999999978</v>
      </c>
      <c r="P9" s="330">
        <v>32.119999999999976</v>
      </c>
      <c r="Q9" s="330">
        <v>32.129999999999974</v>
      </c>
      <c r="R9" s="330">
        <v>32.139999999999972</v>
      </c>
      <c r="S9" s="330">
        <v>32.14999999999997</v>
      </c>
      <c r="T9" s="330">
        <v>32.159999999999968</v>
      </c>
      <c r="U9" s="330">
        <v>32.169999999999966</v>
      </c>
      <c r="V9" s="330">
        <v>32.179999999999964</v>
      </c>
      <c r="W9" s="330">
        <v>32.189999999999962</v>
      </c>
      <c r="X9" s="330">
        <v>32.19999999999996</v>
      </c>
      <c r="Y9" s="330">
        <v>32.209999999999958</v>
      </c>
      <c r="Z9" s="330">
        <v>32.219999999999956</v>
      </c>
      <c r="AA9" s="330">
        <v>32.229999999999954</v>
      </c>
      <c r="AB9" s="330">
        <v>32.239999999999952</v>
      </c>
      <c r="AC9" s="330">
        <v>32.24999999999995</v>
      </c>
      <c r="AD9" s="330">
        <v>32.259999999999948</v>
      </c>
      <c r="AE9" s="330">
        <v>32.269999999999946</v>
      </c>
      <c r="AF9" s="330">
        <v>32.279999999999944</v>
      </c>
      <c r="AG9" s="330">
        <v>32.289999999999942</v>
      </c>
      <c r="AH9" s="330">
        <v>32.29999999999994</v>
      </c>
      <c r="AI9" s="330">
        <v>32.309999999999938</v>
      </c>
      <c r="AJ9" s="330">
        <v>32.319999999999936</v>
      </c>
      <c r="AK9" s="330">
        <v>32.329999999999934</v>
      </c>
      <c r="AL9" s="330">
        <v>32.339999999999932</v>
      </c>
      <c r="AM9" s="330">
        <v>32.34999999999993</v>
      </c>
      <c r="AN9" s="330">
        <v>32.359999999999928</v>
      </c>
      <c r="AO9" s="330">
        <v>32.369999999999926</v>
      </c>
      <c r="AP9" s="330">
        <v>32.49</v>
      </c>
      <c r="AQ9" s="330" t="e">
        <v>#N/A</v>
      </c>
      <c r="AR9" s="330" t="e">
        <v>#N/A</v>
      </c>
      <c r="AS9" s="330" t="e">
        <v>#N/A</v>
      </c>
      <c r="AT9" s="330" t="e">
        <v>#N/A</v>
      </c>
      <c r="AU9" s="330" t="e">
        <v>#N/A</v>
      </c>
      <c r="AV9" s="330">
        <v>32.379999999999924</v>
      </c>
      <c r="AW9" s="330">
        <v>32.389999999999922</v>
      </c>
      <c r="AX9" s="330">
        <v>32.39999999999992</v>
      </c>
      <c r="AY9" s="330">
        <v>32.409999999999918</v>
      </c>
      <c r="AZ9" s="330">
        <v>32.419999999999916</v>
      </c>
      <c r="BA9" s="330">
        <v>32.429999999999914</v>
      </c>
      <c r="BB9" s="330">
        <v>32.439999999999912</v>
      </c>
      <c r="BC9" s="330">
        <v>32.44999999999991</v>
      </c>
      <c r="BD9" s="330">
        <v>32.459999999999908</v>
      </c>
      <c r="BE9" s="330">
        <v>6.59</v>
      </c>
      <c r="BF9" s="330">
        <v>32.479999999999905</v>
      </c>
      <c r="BG9" s="329"/>
      <c r="BH9" s="329"/>
      <c r="BI9" s="82"/>
      <c r="BK9" s="82"/>
    </row>
    <row r="10" spans="1:74" ht="71.25" x14ac:dyDescent="0.25">
      <c r="A10" s="331" t="s">
        <v>4</v>
      </c>
      <c r="B10" s="332" t="s">
        <v>8</v>
      </c>
      <c r="C10" s="332"/>
      <c r="D10" s="1253" t="s">
        <v>133</v>
      </c>
      <c r="E10" s="322" t="s">
        <v>778</v>
      </c>
      <c r="F10" s="322" t="s">
        <v>777</v>
      </c>
      <c r="G10" s="334" t="s">
        <v>776</v>
      </c>
      <c r="H10" s="322" t="s">
        <v>775</v>
      </c>
      <c r="I10" s="322" t="s">
        <v>774</v>
      </c>
      <c r="J10" s="322" t="s">
        <v>773</v>
      </c>
      <c r="K10" s="335" t="s">
        <v>772</v>
      </c>
      <c r="L10" s="322" t="s">
        <v>771</v>
      </c>
      <c r="M10" s="322" t="s">
        <v>770</v>
      </c>
      <c r="N10" s="322" t="s">
        <v>769</v>
      </c>
      <c r="O10" s="322" t="s">
        <v>768</v>
      </c>
      <c r="P10" s="322" t="s">
        <v>767</v>
      </c>
      <c r="Q10" s="322" t="s">
        <v>766</v>
      </c>
      <c r="R10" s="322" t="s">
        <v>765</v>
      </c>
      <c r="S10" s="322" t="s">
        <v>764</v>
      </c>
      <c r="T10" s="322" t="s">
        <v>763</v>
      </c>
      <c r="U10" s="322" t="s">
        <v>762</v>
      </c>
      <c r="V10" s="322" t="s">
        <v>761</v>
      </c>
      <c r="W10" s="322" t="s">
        <v>760</v>
      </c>
      <c r="X10" s="322" t="s">
        <v>759</v>
      </c>
      <c r="Y10" s="336" t="s">
        <v>202</v>
      </c>
      <c r="Z10" s="322" t="s">
        <v>758</v>
      </c>
      <c r="AA10" s="322" t="s">
        <v>757</v>
      </c>
      <c r="AB10" s="322" t="s">
        <v>756</v>
      </c>
      <c r="AC10" s="322" t="s">
        <v>755</v>
      </c>
      <c r="AD10" s="337" t="s">
        <v>754</v>
      </c>
      <c r="AE10" s="337" t="s">
        <v>753</v>
      </c>
      <c r="AF10" s="337" t="s">
        <v>752</v>
      </c>
      <c r="AG10" s="337" t="s">
        <v>751</v>
      </c>
      <c r="AH10" s="337" t="s">
        <v>750</v>
      </c>
      <c r="AI10" s="337" t="s">
        <v>749</v>
      </c>
      <c r="AJ10" s="337" t="s">
        <v>748</v>
      </c>
      <c r="AK10" s="337" t="s">
        <v>747</v>
      </c>
      <c r="AL10" s="337" t="s">
        <v>746</v>
      </c>
      <c r="AM10" s="337" t="s">
        <v>745</v>
      </c>
      <c r="AN10" s="338" t="s">
        <v>744</v>
      </c>
      <c r="AO10" s="337" t="s">
        <v>134</v>
      </c>
      <c r="AP10" s="339" t="s">
        <v>135</v>
      </c>
      <c r="AQ10" s="337" t="s">
        <v>136</v>
      </c>
      <c r="AR10" s="337" t="s">
        <v>137</v>
      </c>
      <c r="AS10" s="337" t="s">
        <v>138</v>
      </c>
      <c r="AT10" s="337" t="s">
        <v>139</v>
      </c>
      <c r="AU10" s="337" t="s">
        <v>140</v>
      </c>
      <c r="AV10" s="336" t="s">
        <v>743</v>
      </c>
      <c r="AW10" s="336" t="s">
        <v>742</v>
      </c>
      <c r="AX10" s="336" t="s">
        <v>741</v>
      </c>
      <c r="AY10" s="336" t="s">
        <v>740</v>
      </c>
      <c r="AZ10" s="336" t="s">
        <v>739</v>
      </c>
      <c r="BA10" s="336" t="s">
        <v>738</v>
      </c>
      <c r="BB10" s="336" t="s">
        <v>737</v>
      </c>
      <c r="BC10" s="336" t="s">
        <v>736</v>
      </c>
      <c r="BD10" s="336" t="s">
        <v>735</v>
      </c>
      <c r="BE10" s="336" t="s">
        <v>734</v>
      </c>
      <c r="BF10" s="336" t="s">
        <v>733</v>
      </c>
      <c r="BG10" s="333" t="s">
        <v>141</v>
      </c>
      <c r="BH10" s="333" t="s">
        <v>142</v>
      </c>
      <c r="BI10" s="82"/>
      <c r="BK10" s="340"/>
    </row>
    <row r="11" spans="1:74" ht="14.1" customHeight="1" x14ac:dyDescent="0.25">
      <c r="D11" s="1254" t="s">
        <v>463</v>
      </c>
      <c r="E11" s="82" t="s">
        <v>784</v>
      </c>
      <c r="F11" s="82" t="s">
        <v>160</v>
      </c>
      <c r="G11" s="82" t="s">
        <v>785</v>
      </c>
      <c r="H11" s="82" t="s">
        <v>466</v>
      </c>
      <c r="I11" s="82" t="s">
        <v>786</v>
      </c>
      <c r="J11" s="82" t="s">
        <v>79</v>
      </c>
      <c r="K11" s="82" t="s">
        <v>787</v>
      </c>
      <c r="L11" s="82" t="s">
        <v>77</v>
      </c>
      <c r="M11" s="82" t="s">
        <v>788</v>
      </c>
      <c r="N11" s="82" t="s">
        <v>789</v>
      </c>
      <c r="O11" s="82" t="s">
        <v>790</v>
      </c>
      <c r="P11" s="82" t="s">
        <v>791</v>
      </c>
      <c r="Q11" s="82" t="s">
        <v>792</v>
      </c>
      <c r="R11" s="82" t="s">
        <v>793</v>
      </c>
      <c r="S11" s="82" t="s">
        <v>794</v>
      </c>
      <c r="T11" s="82" t="s">
        <v>795</v>
      </c>
      <c r="U11" s="82" t="s">
        <v>796</v>
      </c>
      <c r="V11" s="82" t="s">
        <v>797</v>
      </c>
      <c r="W11" s="82" t="s">
        <v>798</v>
      </c>
      <c r="X11" s="82" t="s">
        <v>799</v>
      </c>
      <c r="Y11" s="82" t="s">
        <v>800</v>
      </c>
      <c r="Z11" s="82" t="s">
        <v>801</v>
      </c>
      <c r="AA11" s="82" t="s">
        <v>802</v>
      </c>
      <c r="AB11" s="82" t="s">
        <v>803</v>
      </c>
      <c r="AC11" s="82" t="s">
        <v>804</v>
      </c>
      <c r="AD11" s="82" t="s">
        <v>805</v>
      </c>
      <c r="AE11" s="82" t="s">
        <v>806</v>
      </c>
      <c r="AF11" s="82" t="s">
        <v>807</v>
      </c>
      <c r="AG11" s="82" t="s">
        <v>808</v>
      </c>
      <c r="AH11" s="82" t="s">
        <v>809</v>
      </c>
      <c r="AI11" s="82" t="s">
        <v>810</v>
      </c>
      <c r="AJ11" s="82" t="s">
        <v>811</v>
      </c>
      <c r="AK11" s="82" t="s">
        <v>812</v>
      </c>
      <c r="AL11" s="82" t="s">
        <v>813</v>
      </c>
      <c r="AM11" s="82" t="s">
        <v>814</v>
      </c>
      <c r="AN11" s="82" t="s">
        <v>815</v>
      </c>
      <c r="AO11" s="82" t="s">
        <v>816</v>
      </c>
      <c r="AP11" s="82" t="s">
        <v>817</v>
      </c>
      <c r="AQ11" s="82" t="s">
        <v>818</v>
      </c>
      <c r="AR11" s="82" t="s">
        <v>819</v>
      </c>
      <c r="AS11" s="82" t="s">
        <v>820</v>
      </c>
      <c r="AT11" s="82" t="s">
        <v>821</v>
      </c>
      <c r="AU11" s="82" t="s">
        <v>822</v>
      </c>
      <c r="AV11" s="82" t="s">
        <v>823</v>
      </c>
      <c r="AW11" s="82" t="s">
        <v>824</v>
      </c>
      <c r="AX11" s="82" t="s">
        <v>825</v>
      </c>
      <c r="AY11" s="82" t="s">
        <v>826</v>
      </c>
      <c r="AZ11" s="82" t="s">
        <v>827</v>
      </c>
      <c r="BA11" s="82" t="s">
        <v>828</v>
      </c>
      <c r="BB11" s="82" t="s">
        <v>829</v>
      </c>
      <c r="BC11" s="82" t="s">
        <v>830</v>
      </c>
      <c r="BD11" s="82" t="s">
        <v>831</v>
      </c>
      <c r="BE11" s="82" t="s">
        <v>832</v>
      </c>
      <c r="BF11" s="82" t="s">
        <v>833</v>
      </c>
      <c r="BG11" s="341" t="s">
        <v>834</v>
      </c>
      <c r="BH11" s="341" t="s">
        <v>835</v>
      </c>
      <c r="BI11" s="82"/>
      <c r="BK11" s="82"/>
    </row>
    <row r="12" spans="1:74" x14ac:dyDescent="0.25">
      <c r="D12" s="1255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1056"/>
      <c r="BH12" s="1056"/>
      <c r="BI12" s="82"/>
      <c r="BK12" s="82"/>
      <c r="BO12" s="19"/>
      <c r="BP12" s="19"/>
      <c r="BQ12" s="19"/>
      <c r="BR12" s="19"/>
      <c r="BS12" s="19"/>
      <c r="BT12" s="19"/>
      <c r="BU12" s="19"/>
      <c r="BV12" s="19"/>
    </row>
    <row r="13" spans="1:74" outlineLevel="1" x14ac:dyDescent="0.25">
      <c r="B13" s="399"/>
      <c r="C13" s="1246" t="s">
        <v>143</v>
      </c>
      <c r="D13" s="1256"/>
      <c r="E13" s="326">
        <v>45078</v>
      </c>
      <c r="F13" s="326">
        <v>45078</v>
      </c>
      <c r="G13" s="326">
        <v>45078</v>
      </c>
      <c r="H13" s="326">
        <v>45078</v>
      </c>
      <c r="I13" s="326">
        <v>45078</v>
      </c>
      <c r="J13" s="326">
        <v>45078</v>
      </c>
      <c r="K13" s="326">
        <v>45078</v>
      </c>
      <c r="L13" s="326">
        <v>45078</v>
      </c>
      <c r="M13" s="326">
        <v>45078</v>
      </c>
      <c r="N13" s="326">
        <v>45078</v>
      </c>
      <c r="O13" s="326">
        <v>45078</v>
      </c>
      <c r="P13" s="326">
        <v>45078</v>
      </c>
      <c r="Q13" s="326">
        <v>45078</v>
      </c>
      <c r="R13" s="326">
        <v>45078</v>
      </c>
      <c r="S13" s="326">
        <v>45078</v>
      </c>
      <c r="T13" s="326">
        <v>45078</v>
      </c>
      <c r="U13" s="326">
        <v>45078</v>
      </c>
      <c r="V13" s="326">
        <v>45078</v>
      </c>
      <c r="W13" s="326">
        <v>45078</v>
      </c>
      <c r="X13" s="326">
        <v>45078</v>
      </c>
      <c r="Y13" s="326">
        <v>45078</v>
      </c>
      <c r="Z13" s="326">
        <v>45078</v>
      </c>
      <c r="AA13" s="326">
        <v>45078</v>
      </c>
      <c r="AB13" s="326">
        <v>45078</v>
      </c>
      <c r="AC13" s="326">
        <v>45078</v>
      </c>
      <c r="AD13" s="326">
        <v>45078</v>
      </c>
      <c r="AE13" s="326">
        <v>45078</v>
      </c>
      <c r="AF13" s="326">
        <v>45078</v>
      </c>
      <c r="AG13" s="326">
        <v>45078</v>
      </c>
      <c r="AH13" s="326">
        <v>45078</v>
      </c>
      <c r="AI13" s="326">
        <v>45078</v>
      </c>
      <c r="AJ13" s="326">
        <v>45078</v>
      </c>
      <c r="AK13" s="326">
        <v>45078</v>
      </c>
      <c r="AL13" s="326">
        <v>45078</v>
      </c>
      <c r="AM13" s="326">
        <v>45078</v>
      </c>
      <c r="AN13" s="326"/>
      <c r="AO13" s="326"/>
      <c r="AP13" s="326"/>
      <c r="AQ13" s="326"/>
      <c r="AR13" s="326"/>
      <c r="AS13" s="326"/>
      <c r="AT13" s="326"/>
      <c r="AU13" s="326"/>
      <c r="AV13" s="326">
        <v>45078</v>
      </c>
      <c r="AW13" s="326">
        <v>45078</v>
      </c>
      <c r="AX13" s="326">
        <v>45078</v>
      </c>
      <c r="AY13" s="326">
        <v>45078</v>
      </c>
      <c r="AZ13" s="326">
        <v>45078</v>
      </c>
      <c r="BA13" s="326">
        <v>45078</v>
      </c>
      <c r="BB13" s="326">
        <v>45078</v>
      </c>
      <c r="BC13" s="326">
        <v>45078</v>
      </c>
      <c r="BD13" s="326">
        <v>45078</v>
      </c>
      <c r="BE13" s="326">
        <v>45078</v>
      </c>
      <c r="BF13" s="326">
        <v>45078</v>
      </c>
      <c r="BH13" s="1248"/>
      <c r="BI13" s="82"/>
      <c r="BK13" s="82"/>
      <c r="BO13" s="19"/>
      <c r="BP13" s="19"/>
      <c r="BQ13" s="19"/>
      <c r="BR13" s="19"/>
      <c r="BS13" s="19"/>
      <c r="BT13" s="19"/>
      <c r="BU13" s="19"/>
      <c r="BV13" s="19"/>
    </row>
    <row r="14" spans="1:74" outlineLevel="1" x14ac:dyDescent="0.25">
      <c r="B14" s="399"/>
      <c r="C14" s="1247">
        <v>45078</v>
      </c>
      <c r="D14" s="1257"/>
      <c r="E14" s="1249"/>
      <c r="F14" s="1249"/>
      <c r="G14" s="1249"/>
      <c r="H14" s="1249"/>
      <c r="I14" s="1249"/>
      <c r="J14" s="1249"/>
      <c r="K14" s="1249"/>
      <c r="L14" s="1249"/>
      <c r="M14" s="1249"/>
      <c r="N14" s="1249"/>
      <c r="O14" s="1249"/>
      <c r="P14" s="1249"/>
      <c r="Q14" s="1249"/>
      <c r="R14" s="1249"/>
      <c r="S14" s="1249"/>
      <c r="T14" s="1249"/>
      <c r="U14" s="1249"/>
      <c r="V14" s="1249"/>
      <c r="W14" s="1249"/>
      <c r="X14" s="1249"/>
      <c r="Y14" s="1249"/>
      <c r="Z14" s="1249"/>
      <c r="AA14" s="1249"/>
      <c r="AB14" s="1249"/>
      <c r="AC14" s="1249"/>
      <c r="AD14" s="1249"/>
      <c r="AE14" s="1249"/>
      <c r="AF14" s="1249"/>
      <c r="AG14" s="1249"/>
      <c r="AH14" s="1249"/>
      <c r="AI14" s="1249"/>
      <c r="AJ14" s="1249"/>
      <c r="AK14" s="1249"/>
      <c r="AL14" s="1249"/>
      <c r="AM14" s="1249"/>
      <c r="AN14" s="1249"/>
      <c r="AO14" s="1249"/>
      <c r="AP14" s="1249"/>
      <c r="AQ14" s="1249"/>
      <c r="AR14" s="1249"/>
      <c r="AS14" s="1249"/>
      <c r="AT14" s="1249"/>
      <c r="AU14" s="1249"/>
      <c r="AV14" s="1249"/>
      <c r="AW14" s="1249"/>
      <c r="AX14" s="1249"/>
      <c r="AY14" s="1249"/>
      <c r="AZ14" s="1249"/>
      <c r="BA14" s="1249"/>
      <c r="BB14" s="1249"/>
      <c r="BC14" s="1249"/>
      <c r="BD14" s="1249"/>
      <c r="BE14" s="1249"/>
      <c r="BF14" s="1249"/>
      <c r="BH14" s="1248"/>
      <c r="BI14" s="82"/>
      <c r="BK14" s="82"/>
      <c r="BO14" s="19"/>
      <c r="BP14" s="19"/>
      <c r="BQ14" s="19"/>
      <c r="BR14" s="19"/>
      <c r="BS14" s="19"/>
      <c r="BT14" s="19"/>
      <c r="BU14" s="19"/>
      <c r="BV14" s="19"/>
    </row>
    <row r="15" spans="1:74" outlineLevel="1" x14ac:dyDescent="0.25">
      <c r="A15" s="317">
        <f t="shared" ref="A15:A67" si="0">A76</f>
        <v>1</v>
      </c>
      <c r="B15" s="349" t="s">
        <v>81</v>
      </c>
      <c r="C15" s="350" t="s">
        <v>143</v>
      </c>
      <c r="D15" s="1258"/>
      <c r="BG15" s="351"/>
      <c r="BH15" s="351"/>
      <c r="BI15" s="82"/>
      <c r="BK15" s="82"/>
    </row>
    <row r="16" spans="1:74" outlineLevel="1" x14ac:dyDescent="0.25">
      <c r="A16" s="317">
        <f t="shared" si="0"/>
        <v>2</v>
      </c>
      <c r="B16" s="349" t="s">
        <v>82</v>
      </c>
      <c r="C16" s="350" t="s">
        <v>143</v>
      </c>
      <c r="D16" s="1259">
        <v>2655527874.4899998</v>
      </c>
      <c r="E16" s="353">
        <f>'SEF-32 pg 1-34, 46'!E$46-'SEF-30 pg 2 - 36 '!E$17</f>
        <v>117015981.67105681</v>
      </c>
      <c r="F16" s="353">
        <f>'SEF-32 pg 1-34, 46'!W62</f>
        <v>-286618901.86553311</v>
      </c>
      <c r="G16" s="354">
        <f>'SEF-32 pg 1-34, 46'!AO32</f>
        <v>-60848842</v>
      </c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3"/>
      <c r="AC16" s="353"/>
      <c r="AD16" s="353"/>
      <c r="AE16" s="353"/>
      <c r="AF16" s="353"/>
      <c r="AG16" s="353"/>
      <c r="AH16" s="353"/>
      <c r="AI16" s="353"/>
      <c r="AJ16" s="353"/>
      <c r="AK16" s="353"/>
      <c r="AL16" s="353"/>
      <c r="AM16" s="353"/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353"/>
      <c r="BB16" s="353">
        <f>'SEF-32 pg 35-45'!EA58</f>
        <v>-26265550.759999998</v>
      </c>
      <c r="BC16" s="353"/>
      <c r="BD16" s="353">
        <f>'SEF-32 pg 35-45'!FK18</f>
        <v>-2017272.7200000002</v>
      </c>
      <c r="BE16" s="353"/>
      <c r="BF16" s="353"/>
      <c r="BG16" s="355">
        <f>SUM(E16:BF16)</f>
        <v>-258734585.6744763</v>
      </c>
      <c r="BH16" s="355">
        <f>+BG16+D16</f>
        <v>2396793288.8155236</v>
      </c>
      <c r="BI16" s="82"/>
      <c r="BJ16" s="356"/>
      <c r="BK16" s="82"/>
    </row>
    <row r="17" spans="1:74" outlineLevel="1" x14ac:dyDescent="0.25">
      <c r="A17" s="317">
        <f t="shared" si="0"/>
        <v>3</v>
      </c>
      <c r="B17" s="349" t="s">
        <v>83</v>
      </c>
      <c r="C17" s="350" t="s">
        <v>143</v>
      </c>
      <c r="D17" s="1260">
        <v>335744.31</v>
      </c>
      <c r="E17" s="358">
        <f>'SEF-32 pg 1-34, 46'!E$45</f>
        <v>147017.87608000002</v>
      </c>
      <c r="F17" s="358">
        <f>'SEF-32 pg 1-34, 46'!W63</f>
        <v>0</v>
      </c>
      <c r="G17" s="358">
        <f>'SEF-32 pg 1-34, 46'!AO33</f>
        <v>-14206</v>
      </c>
      <c r="H17" s="358"/>
      <c r="I17" s="358"/>
      <c r="J17" s="358"/>
      <c r="K17" s="358"/>
      <c r="L17" s="358"/>
      <c r="M17" s="358"/>
      <c r="N17" s="358"/>
      <c r="O17" s="358"/>
      <c r="P17" s="358"/>
      <c r="Q17" s="358"/>
      <c r="R17" s="358"/>
      <c r="S17" s="358"/>
      <c r="T17" s="358"/>
      <c r="U17" s="358"/>
      <c r="V17" s="358"/>
      <c r="W17" s="358"/>
      <c r="X17" s="358"/>
      <c r="Y17" s="358"/>
      <c r="Z17" s="358"/>
      <c r="AA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7">
        <f>SUM(E17:BF17)</f>
        <v>132811.87608000002</v>
      </c>
      <c r="BH17" s="357">
        <f>+BG17+D17</f>
        <v>468556.18608000001</v>
      </c>
      <c r="BI17" s="82"/>
      <c r="BJ17" s="356"/>
      <c r="BK17" s="82"/>
    </row>
    <row r="18" spans="1:74" outlineLevel="1" x14ac:dyDescent="0.25">
      <c r="A18" s="317">
        <f t="shared" si="0"/>
        <v>4</v>
      </c>
      <c r="B18" s="349" t="s">
        <v>84</v>
      </c>
      <c r="C18" s="350" t="s">
        <v>143</v>
      </c>
      <c r="D18" s="1260">
        <v>763721180.85000002</v>
      </c>
      <c r="E18" s="358"/>
      <c r="F18" s="358"/>
      <c r="G18" s="358"/>
      <c r="H18" s="358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7">
        <f>SUM(E18:BF18)</f>
        <v>0</v>
      </c>
      <c r="BH18" s="357">
        <f>+BG18+D18</f>
        <v>763721180.85000002</v>
      </c>
      <c r="BI18" s="82"/>
      <c r="BJ18" s="356"/>
      <c r="BK18" s="82"/>
    </row>
    <row r="19" spans="1:74" outlineLevel="1" x14ac:dyDescent="0.25">
      <c r="A19" s="317">
        <f t="shared" si="0"/>
        <v>5</v>
      </c>
      <c r="B19" s="349" t="s">
        <v>85</v>
      </c>
      <c r="C19" s="350" t="s">
        <v>143</v>
      </c>
      <c r="D19" s="1260">
        <v>149493301.75999999</v>
      </c>
      <c r="E19" s="358">
        <f>'SEF-32 pg 1-34, 46'!E$62</f>
        <v>-4832032.66</v>
      </c>
      <c r="F19" s="358">
        <f>'SEF-32 pg 1-34, 46'!W64</f>
        <v>1969166.3900000025</v>
      </c>
      <c r="G19" s="358"/>
      <c r="H19" s="358"/>
      <c r="I19" s="358"/>
      <c r="J19" s="358"/>
      <c r="K19" s="358"/>
      <c r="L19" s="358"/>
      <c r="M19" s="358"/>
      <c r="N19" s="358"/>
      <c r="O19" s="358"/>
      <c r="P19" s="358"/>
      <c r="Q19" s="358"/>
      <c r="R19" s="358"/>
      <c r="S19" s="358"/>
      <c r="T19" s="358"/>
      <c r="U19" s="358"/>
      <c r="V19" s="358"/>
      <c r="W19" s="358"/>
      <c r="X19" s="358"/>
      <c r="Y19" s="358"/>
      <c r="Z19" s="358"/>
      <c r="AA19" s="358"/>
      <c r="AB19" s="358">
        <f>+'SEF-32 pg 1-34, 46'!PA38</f>
        <v>-7727414.5999999996</v>
      </c>
      <c r="AC19" s="358"/>
      <c r="AD19" s="358"/>
      <c r="AE19" s="358"/>
      <c r="AF19" s="358"/>
      <c r="AG19" s="358"/>
      <c r="AH19" s="358"/>
      <c r="AI19" s="358"/>
      <c r="AJ19" s="358"/>
      <c r="AK19" s="358">
        <f>'SEF-32 pg 1-34, 46'!TJ19</f>
        <v>-42710.67</v>
      </c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>
        <f>'SEF-32 pg 35-45'!GU18</f>
        <v>-40290</v>
      </c>
      <c r="BG19" s="357">
        <f>SUM(E19:BF19)</f>
        <v>-10673281.539999997</v>
      </c>
      <c r="BH19" s="357">
        <f>+BG19+D19</f>
        <v>138820020.22</v>
      </c>
      <c r="BI19" s="82"/>
      <c r="BJ19" s="356"/>
      <c r="BK19" s="82"/>
    </row>
    <row r="20" spans="1:74" outlineLevel="1" x14ac:dyDescent="0.25">
      <c r="A20" s="317">
        <f t="shared" si="0"/>
        <v>6</v>
      </c>
      <c r="B20" s="349" t="s">
        <v>86</v>
      </c>
      <c r="C20" s="350" t="s">
        <v>143</v>
      </c>
      <c r="D20" s="1261">
        <f t="shared" ref="D20:AC20" si="1">SUM(D16:D19)</f>
        <v>3569078101.4099998</v>
      </c>
      <c r="E20" s="360">
        <f t="shared" si="1"/>
        <v>112330966.88713682</v>
      </c>
      <c r="F20" s="360">
        <f t="shared" si="1"/>
        <v>-284649735.47553313</v>
      </c>
      <c r="G20" s="361">
        <f t="shared" si="1"/>
        <v>-60863048</v>
      </c>
      <c r="H20" s="360">
        <f t="shared" si="1"/>
        <v>0</v>
      </c>
      <c r="I20" s="360">
        <f t="shared" si="1"/>
        <v>0</v>
      </c>
      <c r="J20" s="360">
        <f t="shared" si="1"/>
        <v>0</v>
      </c>
      <c r="K20" s="360">
        <f t="shared" si="1"/>
        <v>0</v>
      </c>
      <c r="L20" s="360">
        <f t="shared" si="1"/>
        <v>0</v>
      </c>
      <c r="M20" s="360">
        <f t="shared" si="1"/>
        <v>0</v>
      </c>
      <c r="N20" s="360">
        <f t="shared" si="1"/>
        <v>0</v>
      </c>
      <c r="O20" s="360">
        <f t="shared" si="1"/>
        <v>0</v>
      </c>
      <c r="P20" s="360">
        <f t="shared" si="1"/>
        <v>0</v>
      </c>
      <c r="Q20" s="360">
        <f t="shared" si="1"/>
        <v>0</v>
      </c>
      <c r="R20" s="360">
        <f t="shared" si="1"/>
        <v>0</v>
      </c>
      <c r="S20" s="360">
        <f t="shared" si="1"/>
        <v>0</v>
      </c>
      <c r="T20" s="360">
        <f t="shared" si="1"/>
        <v>0</v>
      </c>
      <c r="U20" s="360">
        <f t="shared" si="1"/>
        <v>0</v>
      </c>
      <c r="V20" s="360">
        <f t="shared" si="1"/>
        <v>0</v>
      </c>
      <c r="W20" s="360">
        <f t="shared" si="1"/>
        <v>0</v>
      </c>
      <c r="X20" s="360">
        <f t="shared" si="1"/>
        <v>0</v>
      </c>
      <c r="Y20" s="360">
        <f>SUM(Y16:Y19)</f>
        <v>0</v>
      </c>
      <c r="Z20" s="360">
        <f t="shared" si="1"/>
        <v>0</v>
      </c>
      <c r="AA20" s="360">
        <f t="shared" si="1"/>
        <v>0</v>
      </c>
      <c r="AB20" s="360">
        <f t="shared" si="1"/>
        <v>-7727414.5999999996</v>
      </c>
      <c r="AC20" s="360">
        <f t="shared" si="1"/>
        <v>0</v>
      </c>
      <c r="AD20" s="360"/>
      <c r="AE20" s="360"/>
      <c r="AF20" s="360"/>
      <c r="AG20" s="360"/>
      <c r="AH20" s="360"/>
      <c r="AI20" s="360"/>
      <c r="AJ20" s="360"/>
      <c r="AK20" s="360">
        <f t="shared" ref="AK20:BF20" si="2">SUM(AK16:AK19)</f>
        <v>-42710.67</v>
      </c>
      <c r="AL20" s="360">
        <f t="shared" si="2"/>
        <v>0</v>
      </c>
      <c r="AM20" s="360">
        <f t="shared" si="2"/>
        <v>0</v>
      </c>
      <c r="AN20" s="360">
        <f t="shared" si="2"/>
        <v>0</v>
      </c>
      <c r="AO20" s="360">
        <f t="shared" si="2"/>
        <v>0</v>
      </c>
      <c r="AP20" s="360">
        <f t="shared" si="2"/>
        <v>0</v>
      </c>
      <c r="AQ20" s="360">
        <f t="shared" si="2"/>
        <v>0</v>
      </c>
      <c r="AR20" s="360">
        <f t="shared" si="2"/>
        <v>0</v>
      </c>
      <c r="AS20" s="360">
        <f t="shared" si="2"/>
        <v>0</v>
      </c>
      <c r="AT20" s="360">
        <f t="shared" si="2"/>
        <v>0</v>
      </c>
      <c r="AU20" s="360">
        <f t="shared" si="2"/>
        <v>0</v>
      </c>
      <c r="AV20" s="360">
        <f t="shared" si="2"/>
        <v>0</v>
      </c>
      <c r="AW20" s="360">
        <f t="shared" si="2"/>
        <v>0</v>
      </c>
      <c r="AX20" s="360">
        <f t="shared" si="2"/>
        <v>0</v>
      </c>
      <c r="AY20" s="360">
        <f t="shared" si="2"/>
        <v>0</v>
      </c>
      <c r="AZ20" s="360">
        <f t="shared" si="2"/>
        <v>0</v>
      </c>
      <c r="BA20" s="360">
        <f t="shared" si="2"/>
        <v>0</v>
      </c>
      <c r="BB20" s="360">
        <f t="shared" si="2"/>
        <v>-26265550.759999998</v>
      </c>
      <c r="BC20" s="360">
        <f t="shared" si="2"/>
        <v>0</v>
      </c>
      <c r="BD20" s="360">
        <f t="shared" si="2"/>
        <v>-2017272.7200000002</v>
      </c>
      <c r="BE20" s="360">
        <f>SUM(BE16:BE19)</f>
        <v>0</v>
      </c>
      <c r="BF20" s="360">
        <f t="shared" si="2"/>
        <v>-40290</v>
      </c>
      <c r="BG20" s="362">
        <f>SUM(BG16:BG19)</f>
        <v>-269275055.33839631</v>
      </c>
      <c r="BH20" s="362">
        <f>SUM(BH16:BH19)</f>
        <v>3299803046.0716033</v>
      </c>
      <c r="BI20" s="82"/>
      <c r="BJ20" s="356"/>
      <c r="BK20" s="82"/>
    </row>
    <row r="21" spans="1:74" s="364" customFormat="1" outlineLevel="1" x14ac:dyDescent="0.25">
      <c r="A21" s="317">
        <f t="shared" si="0"/>
        <v>7</v>
      </c>
      <c r="B21" s="363"/>
      <c r="C21" s="350" t="s">
        <v>143</v>
      </c>
      <c r="D21" s="1260"/>
      <c r="E21" s="358"/>
      <c r="F21" s="358"/>
      <c r="G21" s="358"/>
      <c r="H21" s="358"/>
      <c r="I21" s="358"/>
      <c r="J21" s="358"/>
      <c r="K21" s="358"/>
      <c r="L21" s="358"/>
      <c r="M21" s="358"/>
      <c r="N21" s="358"/>
      <c r="O21" s="358"/>
      <c r="P21" s="358"/>
      <c r="Q21" s="358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7"/>
      <c r="BH21" s="357"/>
      <c r="BI21" s="82"/>
      <c r="BJ21" s="356"/>
      <c r="BK21" s="82"/>
      <c r="BO21"/>
      <c r="BP21"/>
      <c r="BQ21"/>
      <c r="BR21"/>
      <c r="BS21"/>
      <c r="BT21"/>
      <c r="BU21"/>
      <c r="BV21"/>
    </row>
    <row r="22" spans="1:74" outlineLevel="1" x14ac:dyDescent="0.25">
      <c r="A22" s="317">
        <f t="shared" si="0"/>
        <v>8</v>
      </c>
      <c r="B22" s="349" t="s">
        <v>87</v>
      </c>
      <c r="C22" s="350" t="s">
        <v>143</v>
      </c>
      <c r="D22" s="1258"/>
      <c r="BG22" s="351"/>
      <c r="BH22" s="351"/>
      <c r="BI22" s="82"/>
      <c r="BJ22" s="356"/>
      <c r="BK22" s="82"/>
    </row>
    <row r="23" spans="1:74" outlineLevel="1" x14ac:dyDescent="0.25">
      <c r="A23" s="317">
        <f t="shared" si="0"/>
        <v>9</v>
      </c>
      <c r="B23" s="365"/>
      <c r="C23" s="350" t="s">
        <v>143</v>
      </c>
      <c r="D23" s="1258"/>
      <c r="BG23" s="351"/>
      <c r="BH23" s="351"/>
      <c r="BI23" s="82"/>
      <c r="BJ23" s="356"/>
      <c r="BK23" s="82"/>
    </row>
    <row r="24" spans="1:74" outlineLevel="1" x14ac:dyDescent="0.25">
      <c r="A24" s="317">
        <f t="shared" si="0"/>
        <v>10</v>
      </c>
      <c r="B24" s="349" t="s">
        <v>88</v>
      </c>
      <c r="C24" s="350" t="s">
        <v>143</v>
      </c>
      <c r="D24" s="1258"/>
      <c r="BG24" s="351"/>
      <c r="BH24" s="351"/>
      <c r="BI24" s="82"/>
      <c r="BJ24" s="356"/>
      <c r="BK24" s="82"/>
    </row>
    <row r="25" spans="1:74" outlineLevel="1" x14ac:dyDescent="0.25">
      <c r="A25" s="317">
        <f t="shared" si="0"/>
        <v>11</v>
      </c>
      <c r="B25" s="349" t="s">
        <v>89</v>
      </c>
      <c r="C25" s="350" t="s">
        <v>143</v>
      </c>
      <c r="D25" s="1262">
        <v>455418278.81</v>
      </c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  <c r="AA25" s="356"/>
      <c r="AB25" s="356"/>
      <c r="AC25" s="356"/>
      <c r="AD25" s="356"/>
      <c r="AE25" s="356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66">
        <f>SUM(E25:BF25)</f>
        <v>0</v>
      </c>
      <c r="BH25" s="366">
        <f>+BG25+D25</f>
        <v>455418278.81</v>
      </c>
      <c r="BI25" s="82"/>
      <c r="BJ25" s="356"/>
      <c r="BK25" s="82"/>
    </row>
    <row r="26" spans="1:74" outlineLevel="1" x14ac:dyDescent="0.25">
      <c r="A26" s="317">
        <f t="shared" si="0"/>
        <v>12</v>
      </c>
      <c r="B26" s="349" t="s">
        <v>90</v>
      </c>
      <c r="C26" s="350" t="s">
        <v>143</v>
      </c>
      <c r="D26" s="1260">
        <v>1350026211.3800001</v>
      </c>
      <c r="E26" s="358"/>
      <c r="F26" s="358">
        <f>'SEF-32 pg 1-34, 46'!W67</f>
        <v>-47690607.920000002</v>
      </c>
      <c r="G26" s="358"/>
      <c r="H26" s="358"/>
      <c r="I26" s="358"/>
      <c r="J26" s="358"/>
      <c r="K26" s="358"/>
      <c r="L26" s="358"/>
      <c r="M26" s="358"/>
      <c r="N26" s="358"/>
      <c r="O26" s="358">
        <f>'SEF-32 pg 1-34, 46'!GA17</f>
        <v>-225833.96624629776</v>
      </c>
      <c r="P26" s="358"/>
      <c r="Q26" s="358"/>
      <c r="R26" s="358"/>
      <c r="S26" s="358"/>
      <c r="T26" s="358"/>
      <c r="U26" s="358"/>
      <c r="V26" s="358">
        <f>'SEF-32 pg 1-34, 46'!KW17</f>
        <v>561855.38854729664</v>
      </c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>
        <f>SUM('SEF-32 pg 35-45'!E27,'SEF-32 pg 35-45'!E34)</f>
        <v>-1142858.6104254723</v>
      </c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7">
        <f>SUM(E26:BF26)</f>
        <v>-48497445.10812448</v>
      </c>
      <c r="BH26" s="357">
        <f>+BG26+D26</f>
        <v>1301528766.2718756</v>
      </c>
      <c r="BI26" s="82"/>
      <c r="BJ26" s="356"/>
      <c r="BK26" s="82"/>
    </row>
    <row r="27" spans="1:74" outlineLevel="1" x14ac:dyDescent="0.25">
      <c r="A27" s="317">
        <f t="shared" si="0"/>
        <v>13</v>
      </c>
      <c r="B27" s="349" t="s">
        <v>91</v>
      </c>
      <c r="C27" s="350" t="s">
        <v>143</v>
      </c>
      <c r="D27" s="1260">
        <v>161536441.13999999</v>
      </c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7">
        <f>SUM(E27:BF27)</f>
        <v>0</v>
      </c>
      <c r="BH27" s="357">
        <f>+BG27+D27</f>
        <v>161536441.13999999</v>
      </c>
      <c r="BI27" s="82"/>
      <c r="BJ27" s="356"/>
      <c r="BK27" s="82"/>
    </row>
    <row r="28" spans="1:74" outlineLevel="1" x14ac:dyDescent="0.25">
      <c r="A28" s="317">
        <f t="shared" si="0"/>
        <v>14</v>
      </c>
      <c r="B28" s="365" t="s">
        <v>92</v>
      </c>
      <c r="C28" s="350" t="s">
        <v>143</v>
      </c>
      <c r="D28" s="1260">
        <v>-77573434.540000007</v>
      </c>
      <c r="E28" s="358"/>
      <c r="F28" s="358">
        <f>'SEF-32 pg 1-34, 46'!W68</f>
        <v>77573434.540000007</v>
      </c>
      <c r="G28" s="358"/>
      <c r="H28" s="358"/>
      <c r="I28" s="358"/>
      <c r="J28" s="358"/>
      <c r="K28" s="358"/>
      <c r="L28" s="358"/>
      <c r="M28" s="358" t="s">
        <v>144</v>
      </c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7">
        <f>SUM(E28:BF28)</f>
        <v>77573434.540000007</v>
      </c>
      <c r="BH28" s="357">
        <f>+BG28+D28</f>
        <v>0</v>
      </c>
      <c r="BI28" s="82"/>
      <c r="BJ28" s="356"/>
      <c r="BK28" s="82"/>
    </row>
    <row r="29" spans="1:74" outlineLevel="1" x14ac:dyDescent="0.25">
      <c r="A29" s="317">
        <f t="shared" si="0"/>
        <v>15</v>
      </c>
      <c r="B29" s="349" t="s">
        <v>93</v>
      </c>
      <c r="C29" s="350" t="s">
        <v>143</v>
      </c>
      <c r="D29" s="1263">
        <f t="shared" ref="D29:AC29" si="3">SUM(D24:D28)</f>
        <v>1889407496.79</v>
      </c>
      <c r="E29" s="368">
        <f t="shared" si="3"/>
        <v>0</v>
      </c>
      <c r="F29" s="368">
        <f t="shared" si="3"/>
        <v>29882826.620000005</v>
      </c>
      <c r="G29" s="368">
        <f t="shared" si="3"/>
        <v>0</v>
      </c>
      <c r="H29" s="368">
        <f t="shared" si="3"/>
        <v>0</v>
      </c>
      <c r="I29" s="368">
        <f t="shared" si="3"/>
        <v>0</v>
      </c>
      <c r="J29" s="368">
        <f t="shared" si="3"/>
        <v>0</v>
      </c>
      <c r="K29" s="368">
        <f t="shared" si="3"/>
        <v>0</v>
      </c>
      <c r="L29" s="368">
        <f t="shared" si="3"/>
        <v>0</v>
      </c>
      <c r="M29" s="368">
        <f t="shared" si="3"/>
        <v>0</v>
      </c>
      <c r="N29" s="368">
        <f t="shared" si="3"/>
        <v>0</v>
      </c>
      <c r="O29" s="368">
        <f t="shared" si="3"/>
        <v>-225833.96624629776</v>
      </c>
      <c r="P29" s="368">
        <f t="shared" si="3"/>
        <v>0</v>
      </c>
      <c r="Q29" s="368">
        <f t="shared" si="3"/>
        <v>0</v>
      </c>
      <c r="R29" s="368">
        <f t="shared" si="3"/>
        <v>0</v>
      </c>
      <c r="S29" s="368">
        <f t="shared" si="3"/>
        <v>0</v>
      </c>
      <c r="T29" s="368">
        <f t="shared" si="3"/>
        <v>0</v>
      </c>
      <c r="U29" s="368">
        <f t="shared" si="3"/>
        <v>0</v>
      </c>
      <c r="V29" s="368">
        <f t="shared" si="3"/>
        <v>561855.38854729664</v>
      </c>
      <c r="W29" s="368">
        <f t="shared" si="3"/>
        <v>0</v>
      </c>
      <c r="X29" s="368">
        <f t="shared" si="3"/>
        <v>0</v>
      </c>
      <c r="Y29" s="368">
        <f>SUM(Y24:Y28)</f>
        <v>0</v>
      </c>
      <c r="Z29" s="368">
        <f t="shared" si="3"/>
        <v>0</v>
      </c>
      <c r="AA29" s="368">
        <f t="shared" si="3"/>
        <v>0</v>
      </c>
      <c r="AB29" s="368">
        <f t="shared" si="3"/>
        <v>0</v>
      </c>
      <c r="AC29" s="368">
        <f t="shared" si="3"/>
        <v>0</v>
      </c>
      <c r="AD29" s="368"/>
      <c r="AE29" s="368"/>
      <c r="AF29" s="368"/>
      <c r="AG29" s="368"/>
      <c r="AH29" s="368"/>
      <c r="AI29" s="368"/>
      <c r="AJ29" s="368"/>
      <c r="AK29" s="368">
        <f t="shared" ref="AK29:BF29" si="4">SUM(AK24:AK28)</f>
        <v>0</v>
      </c>
      <c r="AL29" s="368">
        <f>SUM(AL24:AL28)</f>
        <v>0</v>
      </c>
      <c r="AM29" s="368">
        <f t="shared" si="4"/>
        <v>0</v>
      </c>
      <c r="AN29" s="368">
        <f t="shared" si="4"/>
        <v>0</v>
      </c>
      <c r="AO29" s="368">
        <f t="shared" si="4"/>
        <v>0</v>
      </c>
      <c r="AP29" s="368">
        <f t="shared" si="4"/>
        <v>0</v>
      </c>
      <c r="AQ29" s="368">
        <f t="shared" si="4"/>
        <v>0</v>
      </c>
      <c r="AR29" s="368">
        <f t="shared" si="4"/>
        <v>0</v>
      </c>
      <c r="AS29" s="368">
        <f t="shared" si="4"/>
        <v>0</v>
      </c>
      <c r="AT29" s="368">
        <f t="shared" si="4"/>
        <v>0</v>
      </c>
      <c r="AU29" s="368">
        <f t="shared" si="4"/>
        <v>0</v>
      </c>
      <c r="AV29" s="368">
        <f t="shared" si="4"/>
        <v>-1142858.6104254723</v>
      </c>
      <c r="AW29" s="368">
        <f t="shared" si="4"/>
        <v>0</v>
      </c>
      <c r="AX29" s="368">
        <f t="shared" si="4"/>
        <v>0</v>
      </c>
      <c r="AY29" s="368">
        <f t="shared" si="4"/>
        <v>0</v>
      </c>
      <c r="AZ29" s="368">
        <f t="shared" si="4"/>
        <v>0</v>
      </c>
      <c r="BA29" s="368">
        <f t="shared" si="4"/>
        <v>0</v>
      </c>
      <c r="BB29" s="368">
        <f t="shared" si="4"/>
        <v>0</v>
      </c>
      <c r="BC29" s="368">
        <f t="shared" si="4"/>
        <v>0</v>
      </c>
      <c r="BD29" s="368">
        <f t="shared" si="4"/>
        <v>0</v>
      </c>
      <c r="BE29" s="368">
        <f>SUM(BE24:BE28)</f>
        <v>0</v>
      </c>
      <c r="BF29" s="368">
        <f t="shared" si="4"/>
        <v>0</v>
      </c>
      <c r="BG29" s="367">
        <f>SUM(BG24:BG28)</f>
        <v>29075989.431875527</v>
      </c>
      <c r="BH29" s="367">
        <f>SUM(BH24:BH28)</f>
        <v>1918483486.2218757</v>
      </c>
      <c r="BI29" s="82"/>
      <c r="BJ29" s="356"/>
      <c r="BK29" s="82"/>
    </row>
    <row r="30" spans="1:74" outlineLevel="1" x14ac:dyDescent="0.25">
      <c r="A30" s="317">
        <f t="shared" si="0"/>
        <v>16</v>
      </c>
      <c r="B30" s="349"/>
      <c r="C30" s="350" t="s">
        <v>143</v>
      </c>
      <c r="D30" s="1262"/>
      <c r="E30" s="356"/>
      <c r="F30" s="356"/>
      <c r="G30" s="356"/>
      <c r="H30" s="356"/>
      <c r="I30" s="356"/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56"/>
      <c r="BB30" s="356"/>
      <c r="BC30" s="356"/>
      <c r="BD30" s="356"/>
      <c r="BE30" s="356"/>
      <c r="BF30" s="356"/>
      <c r="BG30" s="366"/>
      <c r="BH30" s="366"/>
      <c r="BI30" s="82"/>
      <c r="BJ30" s="356"/>
      <c r="BK30" s="82"/>
    </row>
    <row r="31" spans="1:74" outlineLevel="1" x14ac:dyDescent="0.25">
      <c r="A31" s="317">
        <f t="shared" si="0"/>
        <v>17</v>
      </c>
      <c r="B31" s="369" t="s">
        <v>94</v>
      </c>
      <c r="C31" s="350" t="s">
        <v>143</v>
      </c>
      <c r="D31" s="1260">
        <v>122361883.91000001</v>
      </c>
      <c r="E31" s="356"/>
      <c r="F31" s="356"/>
      <c r="G31" s="356"/>
      <c r="H31" s="356"/>
      <c r="I31" s="356"/>
      <c r="J31" s="356"/>
      <c r="K31" s="356"/>
      <c r="L31" s="356"/>
      <c r="M31" s="356"/>
      <c r="N31" s="356"/>
      <c r="O31" s="356">
        <f>'SEF-32 pg 1-34, 46'!GA18</f>
        <v>-669735.20521848067</v>
      </c>
      <c r="P31" s="356"/>
      <c r="Q31" s="356"/>
      <c r="R31" s="356"/>
      <c r="S31" s="356"/>
      <c r="T31" s="356"/>
      <c r="U31" s="356"/>
      <c r="V31" s="356">
        <f>'SEF-32 pg 1-34, 46'!KW18</f>
        <v>741815.09637195617</v>
      </c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>
        <f>'SEF-32 pg 35-45'!EA60</f>
        <v>-27007342.370000001</v>
      </c>
      <c r="BC31" s="356"/>
      <c r="BD31" s="356"/>
      <c r="BE31" s="356"/>
      <c r="BF31" s="356"/>
      <c r="BG31" s="357">
        <f t="shared" ref="BG31:BG44" si="5">SUM(E31:BF31)</f>
        <v>-26935262.478846524</v>
      </c>
      <c r="BH31" s="366">
        <f t="shared" ref="BH31:BH44" si="6">+BG31+D31</f>
        <v>95426621.431153491</v>
      </c>
      <c r="BI31" s="82"/>
      <c r="BJ31" s="356"/>
      <c r="BK31" s="82"/>
    </row>
    <row r="32" spans="1:74" outlineLevel="1" x14ac:dyDescent="0.25">
      <c r="A32" s="317">
        <f t="shared" si="0"/>
        <v>18</v>
      </c>
      <c r="B32" s="349" t="s">
        <v>95</v>
      </c>
      <c r="C32" s="350" t="s">
        <v>143</v>
      </c>
      <c r="D32" s="1260">
        <v>25498629.279999997</v>
      </c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>
        <f>'SEF-32 pg 1-34, 46'!GA19</f>
        <v>-330553.4827754593</v>
      </c>
      <c r="P32" s="358"/>
      <c r="Q32" s="358"/>
      <c r="R32" s="358"/>
      <c r="S32" s="358"/>
      <c r="T32" s="358"/>
      <c r="U32" s="358"/>
      <c r="V32" s="358">
        <f>'SEF-32 pg 1-34, 46'!KW19</f>
        <v>738146.35846232809</v>
      </c>
      <c r="W32" s="358"/>
      <c r="X32" s="358"/>
      <c r="Y32" s="358"/>
      <c r="Z32" s="358"/>
      <c r="AA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358"/>
      <c r="AX32" s="358">
        <f>+'SEF-32 pg 35-45'!BG18</f>
        <v>114433.49999999977</v>
      </c>
      <c r="AY32" s="358"/>
      <c r="AZ32" s="358"/>
      <c r="BA32" s="358"/>
      <c r="BB32" s="358"/>
      <c r="BC32" s="358"/>
      <c r="BD32" s="358"/>
      <c r="BE32" s="358"/>
      <c r="BF32" s="358"/>
      <c r="BG32" s="357">
        <f t="shared" si="5"/>
        <v>522026.37568686856</v>
      </c>
      <c r="BH32" s="357">
        <f t="shared" si="6"/>
        <v>26020655.655686866</v>
      </c>
      <c r="BI32" s="82"/>
      <c r="BJ32" s="356"/>
      <c r="BK32" s="82"/>
    </row>
    <row r="33" spans="1:63" outlineLevel="1" x14ac:dyDescent="0.25">
      <c r="A33" s="317">
        <f t="shared" si="0"/>
        <v>19</v>
      </c>
      <c r="B33" s="349" t="s">
        <v>96</v>
      </c>
      <c r="C33" s="350" t="s">
        <v>143</v>
      </c>
      <c r="D33" s="1260">
        <v>103169979.97</v>
      </c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>
        <f>'SEF-32 pg 1-34, 46'!GA20</f>
        <v>-1103596.4606248948</v>
      </c>
      <c r="P33" s="358"/>
      <c r="Q33" s="358"/>
      <c r="R33" s="358"/>
      <c r="S33" s="358"/>
      <c r="T33" s="358"/>
      <c r="U33" s="358"/>
      <c r="V33" s="358">
        <f>'SEF-32 pg 1-34, 46'!KW20</f>
        <v>1079252.4153634533</v>
      </c>
      <c r="W33" s="358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>
        <f>+'SEF-32 pg 35-45'!BG17</f>
        <v>1252545.0316666653</v>
      </c>
      <c r="AY33" s="358"/>
      <c r="AZ33" s="358"/>
      <c r="BA33" s="358"/>
      <c r="BB33" s="358"/>
      <c r="BC33" s="358"/>
      <c r="BD33" s="358"/>
      <c r="BE33" s="358"/>
      <c r="BF33" s="358"/>
      <c r="BG33" s="357">
        <f t="shared" si="5"/>
        <v>1228200.9864052238</v>
      </c>
      <c r="BH33" s="357">
        <f t="shared" si="6"/>
        <v>104398180.95640522</v>
      </c>
      <c r="BI33" s="82"/>
      <c r="BJ33" s="356"/>
      <c r="BK33" s="82"/>
    </row>
    <row r="34" spans="1:63" outlineLevel="1" x14ac:dyDescent="0.25">
      <c r="A34" s="317">
        <f t="shared" si="0"/>
        <v>20</v>
      </c>
      <c r="B34" s="349" t="s">
        <v>97</v>
      </c>
      <c r="C34" s="350" t="s">
        <v>143</v>
      </c>
      <c r="D34" s="1260">
        <v>56519137.119999997</v>
      </c>
      <c r="E34" s="358">
        <f>'SEF-32 pg 1-34, 46'!E$74</f>
        <v>728803.3131637437</v>
      </c>
      <c r="F34" s="358">
        <f>'SEF-32 pg 1-34, 46'!W69</f>
        <v>-1845516.7465770189</v>
      </c>
      <c r="G34" s="370">
        <f>'SEF-32 pg 1-34, 46'!AO22</f>
        <v>-394879.45542399999</v>
      </c>
      <c r="H34" s="358"/>
      <c r="I34" s="358"/>
      <c r="J34" s="358">
        <f>'SEF-32 pg 1-34, 46'!CO17</f>
        <v>-455334.78583999723</v>
      </c>
      <c r="K34" s="358"/>
      <c r="L34" s="358"/>
      <c r="M34" s="358"/>
      <c r="N34" s="358"/>
      <c r="O34" s="358">
        <f>'SEF-32 pg 1-34, 46'!GA21</f>
        <v>-266154.77771776367</v>
      </c>
      <c r="P34" s="358"/>
      <c r="Q34" s="358"/>
      <c r="R34" s="358"/>
      <c r="S34" s="358"/>
      <c r="T34" s="358"/>
      <c r="U34" s="358"/>
      <c r="V34" s="358">
        <f>'SEF-32 pg 1-34, 46'!KW21</f>
        <v>265251.98206803203</v>
      </c>
      <c r="W34" s="358"/>
      <c r="X34" s="358"/>
      <c r="Y34" s="358"/>
      <c r="Z34" s="358"/>
      <c r="AA34" s="358"/>
      <c r="AB34" s="358">
        <f>'SEF-32 pg 1-34, 46'!PA41</f>
        <v>-50135.465924799995</v>
      </c>
      <c r="AC34" s="358"/>
      <c r="AD34" s="358"/>
      <c r="AE34" s="358"/>
      <c r="AF34" s="358"/>
      <c r="AG34" s="358"/>
      <c r="AH34" s="358"/>
      <c r="AI34" s="358"/>
      <c r="AJ34" s="358"/>
      <c r="AK34" s="358">
        <f>'SEF-32 pg 1-34, 46'!TJ21</f>
        <v>-277.10682695999998</v>
      </c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>
        <f>'SEF-32 pg 35-45'!EA64</f>
        <v>-170410.89333087998</v>
      </c>
      <c r="BC34" s="358"/>
      <c r="BD34" s="358">
        <f>'SEF-32 pg 35-45'!FK22</f>
        <v>-13088.065407360002</v>
      </c>
      <c r="BE34" s="358"/>
      <c r="BF34" s="358">
        <f>'SEF-32 pg 35-45'!GU21</f>
        <v>-261.40152</v>
      </c>
      <c r="BG34" s="371">
        <f t="shared" si="5"/>
        <v>-2202003.4033370037</v>
      </c>
      <c r="BH34" s="371">
        <f t="shared" si="6"/>
        <v>54317133.716662996</v>
      </c>
      <c r="BI34" s="82"/>
      <c r="BJ34" s="356"/>
      <c r="BK34" s="82"/>
    </row>
    <row r="35" spans="1:63" outlineLevel="1" x14ac:dyDescent="0.25">
      <c r="A35" s="317">
        <f t="shared" si="0"/>
        <v>21</v>
      </c>
      <c r="B35" s="349" t="s">
        <v>98</v>
      </c>
      <c r="C35" s="350" t="s">
        <v>143</v>
      </c>
      <c r="D35" s="1260">
        <v>52218524.410000004</v>
      </c>
      <c r="E35" s="358"/>
      <c r="F35" s="358">
        <f>'SEF-32 pg 1-34, 46'!W70</f>
        <v>-48233851.559999995</v>
      </c>
      <c r="G35" s="358"/>
      <c r="H35" s="358"/>
      <c r="I35" s="358"/>
      <c r="J35" s="358"/>
      <c r="K35" s="358"/>
      <c r="L35" s="358"/>
      <c r="M35" s="358"/>
      <c r="N35" s="358"/>
      <c r="O35" s="358">
        <f>'SEF-32 pg 1-34, 46'!GA22</f>
        <v>-64455.826153118149</v>
      </c>
      <c r="P35" s="358"/>
      <c r="Q35" s="358">
        <f>'SEF-32 pg 1-34, 46'!HK16</f>
        <v>131317.93692733094</v>
      </c>
      <c r="R35" s="358"/>
      <c r="S35" s="358"/>
      <c r="T35" s="358"/>
      <c r="U35" s="358"/>
      <c r="V35" s="358">
        <f>'SEF-32 pg 1-34, 46'!KW22+'SEF-32 pg 1-34, 46'!KW23</f>
        <v>217264.36200216773</v>
      </c>
      <c r="W35" s="358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7">
        <f t="shared" si="5"/>
        <v>-47949725.087223612</v>
      </c>
      <c r="BH35" s="357">
        <f t="shared" si="6"/>
        <v>4268799.3227763921</v>
      </c>
      <c r="BI35" s="82"/>
      <c r="BJ35" s="356"/>
      <c r="BK35" s="82"/>
    </row>
    <row r="36" spans="1:63" outlineLevel="1" x14ac:dyDescent="0.25">
      <c r="A36" s="317">
        <f t="shared" si="0"/>
        <v>22</v>
      </c>
      <c r="B36" s="349" t="s">
        <v>99</v>
      </c>
      <c r="C36" s="350" t="s">
        <v>143</v>
      </c>
      <c r="D36" s="1260">
        <v>102976391.14</v>
      </c>
      <c r="E36" s="358"/>
      <c r="F36" s="358">
        <f>'SEF-32 pg 1-34, 46'!W71</f>
        <v>-102976391.14</v>
      </c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7">
        <f t="shared" si="5"/>
        <v>-102976391.14</v>
      </c>
      <c r="BH36" s="357">
        <f t="shared" si="6"/>
        <v>0</v>
      </c>
      <c r="BI36" s="82"/>
      <c r="BJ36" s="356"/>
      <c r="BK36" s="82"/>
    </row>
    <row r="37" spans="1:63" outlineLevel="1" x14ac:dyDescent="0.25">
      <c r="A37" s="317">
        <f t="shared" si="0"/>
        <v>23</v>
      </c>
      <c r="B37" s="349" t="s">
        <v>100</v>
      </c>
      <c r="C37" s="350" t="s">
        <v>143</v>
      </c>
      <c r="D37" s="1260">
        <v>166863451.13</v>
      </c>
      <c r="E37" s="370">
        <f>'SEF-32 pg 1-34, 46'!E$75</f>
        <v>561654.83443568414</v>
      </c>
      <c r="F37" s="370">
        <f>'SEF-32 pg 1-34, 46'!W72</f>
        <v>-1546418.4062276655</v>
      </c>
      <c r="G37" s="370">
        <f>'SEF-32 pg 1-34, 46'!AO23</f>
        <v>-304315.24</v>
      </c>
      <c r="H37" s="358"/>
      <c r="I37" s="358"/>
      <c r="J37" s="358"/>
      <c r="K37" s="358">
        <f>'SEF-32 pg 1-34, 46'!DG23</f>
        <v>-226618.69143000027</v>
      </c>
      <c r="L37" s="358"/>
      <c r="M37" s="358">
        <f>'SEF-32 pg 1-34, 46'!EQ23</f>
        <v>-45443.683431569487</v>
      </c>
      <c r="N37" s="358">
        <f>'SEF-32 pg 1-34, 46'!FI20</f>
        <v>-167050.6547617563</v>
      </c>
      <c r="O37" s="358">
        <f>'SEF-32 pg 1-34, 46'!GA23+'SEF-32 pg 1-34, 46'!GA24</f>
        <v>-1086154.4467525554</v>
      </c>
      <c r="P37" s="358">
        <f>+'SEF-32 pg 1-34, 46'!GS33</f>
        <v>502786.54106777551</v>
      </c>
      <c r="Q37" s="358"/>
      <c r="R37" s="358">
        <f>'SEF-32 pg 1-34, 46'!IC20</f>
        <v>1035921.8112948509</v>
      </c>
      <c r="S37" s="358"/>
      <c r="T37" s="358">
        <f>+'SEF-32 pg 1-34, 46'!JM20</f>
        <v>-23123.585043537663</v>
      </c>
      <c r="U37" s="358">
        <f>'SEF-32 pg 1-34, 46'!KE16</f>
        <v>3717058.1250072368</v>
      </c>
      <c r="V37" s="358">
        <f>'SEF-32 pg 1-34, 46'!KW24</f>
        <v>4379415.04756248</v>
      </c>
      <c r="W37" s="358"/>
      <c r="X37" s="358"/>
      <c r="Y37" s="370">
        <f>'SEF-32 pg 1-34, 46'!MY19</f>
        <v>3053609.7263499983</v>
      </c>
      <c r="Z37" s="358"/>
      <c r="AA37" s="358"/>
      <c r="AB37" s="370">
        <f>'SEF-32 pg 1-34, 46'!PA42</f>
        <v>-38637.072999999997</v>
      </c>
      <c r="AC37" s="358"/>
      <c r="AD37" s="358"/>
      <c r="AE37" s="358"/>
      <c r="AF37" s="358"/>
      <c r="AG37" s="358"/>
      <c r="AH37" s="358"/>
      <c r="AI37" s="358"/>
      <c r="AJ37" s="358"/>
      <c r="AK37" s="370">
        <f>'SEF-32 pg 1-34, 46'!TJ22</f>
        <v>-213.55334999999999</v>
      </c>
      <c r="AL37" s="358"/>
      <c r="AM37" s="358">
        <f>'SEF-32 pg 1-34, 46'!UN18</f>
        <v>-127874</v>
      </c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358">
        <f>+'SEF-32 pg 35-45'!BG19</f>
        <v>83596.114999999991</v>
      </c>
      <c r="AY37" s="358"/>
      <c r="AZ37" s="358">
        <f>+'SEF-32 pg 35-45'!CQ25</f>
        <v>-4140</v>
      </c>
      <c r="BA37" s="358"/>
      <c r="BB37" s="370">
        <f>'SEF-32 pg 35-45'!EA62+'SEF-32 pg 35-45'!EA65</f>
        <v>-1348317.5737999999</v>
      </c>
      <c r="BC37" s="358"/>
      <c r="BD37" s="370">
        <f>'SEF-32 pg 35-45'!FK37+'SEF-32 pg 35-45'!FK23</f>
        <v>-767986.22359999991</v>
      </c>
      <c r="BE37" s="358"/>
      <c r="BF37" s="370">
        <f>'SEF-32 pg 35-45'!GU22</f>
        <v>-201.45000000000002</v>
      </c>
      <c r="BG37" s="371">
        <f t="shared" si="5"/>
        <v>7647547.6193209393</v>
      </c>
      <c r="BH37" s="371">
        <f t="shared" si="6"/>
        <v>174510998.74932092</v>
      </c>
      <c r="BI37" s="82"/>
      <c r="BJ37" s="356"/>
      <c r="BK37" s="82"/>
    </row>
    <row r="38" spans="1:63" outlineLevel="1" x14ac:dyDescent="0.25">
      <c r="A38" s="317">
        <f t="shared" si="0"/>
        <v>24</v>
      </c>
      <c r="B38" s="349" t="s">
        <v>101</v>
      </c>
      <c r="C38" s="350" t="s">
        <v>143</v>
      </c>
      <c r="D38" s="1260">
        <v>388725218.38999999</v>
      </c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>
        <f>'SEF-32 pg 1-34, 46'!MG16+'SEF-32 pg 1-34, 46'!MG17+'SEF-32 pg 1-34, 46'!MG21+'SEF-32 pg 1-34, 46'!MG22</f>
        <v>9792076.9538545925</v>
      </c>
      <c r="Y38" s="358"/>
      <c r="Z38" s="358"/>
      <c r="AA38" s="358">
        <f>'SEF-32 pg 1-34, 46'!OI28</f>
        <v>0</v>
      </c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>
        <f>'SEF-32 pg 35-45'!AO26</f>
        <v>-219566</v>
      </c>
      <c r="AX38" s="358"/>
      <c r="AY38" s="358"/>
      <c r="AZ38" s="358"/>
      <c r="BA38" s="358"/>
      <c r="BB38" s="358">
        <f>'SEF-32 pg 35-45'!EA66</f>
        <v>-32823061.170000006</v>
      </c>
      <c r="BC38" s="358"/>
      <c r="BD38" s="358">
        <f>'SEF-32 pg 35-45'!FK38</f>
        <v>-8762.5817570544477</v>
      </c>
      <c r="BE38" s="358"/>
      <c r="BF38" s="358"/>
      <c r="BG38" s="357">
        <f t="shared" si="5"/>
        <v>-23259312.797902465</v>
      </c>
      <c r="BH38" s="357">
        <f t="shared" si="6"/>
        <v>365465905.59209752</v>
      </c>
      <c r="BI38" s="82"/>
      <c r="BJ38" s="356"/>
      <c r="BK38" s="82"/>
    </row>
    <row r="39" spans="1:63" outlineLevel="1" x14ac:dyDescent="0.25">
      <c r="A39" s="317">
        <f t="shared" si="0"/>
        <v>25</v>
      </c>
      <c r="B39" s="349" t="s">
        <v>102</v>
      </c>
      <c r="C39" s="350" t="s">
        <v>143</v>
      </c>
      <c r="D39" s="1260">
        <v>77431123.159999996</v>
      </c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>
        <f>'SEF-32 pg 1-34, 46'!MG18+'SEF-32 pg 1-34, 46'!MG19+'SEF-32 pg 1-34, 46'!MG23+'SEF-32 pg 1-34, 46'!MG24</f>
        <v>-13780499.803874504</v>
      </c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58"/>
      <c r="AP39" s="358"/>
      <c r="AQ39" s="358"/>
      <c r="AR39" s="358"/>
      <c r="AS39" s="358"/>
      <c r="AT39" s="358"/>
      <c r="AU39" s="358"/>
      <c r="AV39" s="358"/>
      <c r="AW39" s="358"/>
      <c r="AX39" s="358"/>
      <c r="AY39" s="358"/>
      <c r="AZ39" s="358">
        <f>+'SEF-32 pg 35-45'!CQ24</f>
        <v>-113868.55999999998</v>
      </c>
      <c r="BA39" s="358"/>
      <c r="BB39" s="358">
        <f>'SEF-32 pg 35-45'!EA67</f>
        <v>-715282.67999999993</v>
      </c>
      <c r="BC39" s="358">
        <f>'SEF-32 pg 35-45'!ES37</f>
        <v>-884308.18000002205</v>
      </c>
      <c r="BD39" s="358"/>
      <c r="BE39" s="358"/>
      <c r="BF39" s="358"/>
      <c r="BG39" s="357">
        <f t="shared" si="5"/>
        <v>-15493959.223874526</v>
      </c>
      <c r="BH39" s="357">
        <f t="shared" si="6"/>
        <v>61937163.936125472</v>
      </c>
      <c r="BI39" s="82"/>
      <c r="BJ39" s="356"/>
      <c r="BK39" s="82"/>
    </row>
    <row r="40" spans="1:63" outlineLevel="1" x14ac:dyDescent="0.25">
      <c r="A40" s="317">
        <f t="shared" si="0"/>
        <v>26</v>
      </c>
      <c r="B40" s="369" t="s">
        <v>103</v>
      </c>
      <c r="C40" s="350" t="s">
        <v>143</v>
      </c>
      <c r="D40" s="1260">
        <v>27712466</v>
      </c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58"/>
      <c r="Z40" s="358"/>
      <c r="AA40" s="358"/>
      <c r="AB40" s="358"/>
      <c r="AC40" s="358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  <c r="AS40" s="358"/>
      <c r="AT40" s="358"/>
      <c r="AU40" s="358"/>
      <c r="AV40" s="358"/>
      <c r="AW40" s="358"/>
      <c r="AX40" s="358"/>
      <c r="AY40" s="358"/>
      <c r="AZ40" s="358"/>
      <c r="BA40" s="358">
        <f>'SEF-32 pg 35-45'!DI26</f>
        <v>6532622.449854847</v>
      </c>
      <c r="BB40" s="358"/>
      <c r="BC40" s="358"/>
      <c r="BD40" s="358"/>
      <c r="BE40" s="358"/>
      <c r="BF40" s="358"/>
      <c r="BG40" s="357">
        <f t="shared" si="5"/>
        <v>6532622.449854847</v>
      </c>
      <c r="BH40" s="357">
        <f t="shared" si="6"/>
        <v>34245088.449854851</v>
      </c>
      <c r="BI40" s="82"/>
      <c r="BJ40" s="356"/>
      <c r="BK40" s="82"/>
    </row>
    <row r="41" spans="1:63" outlineLevel="1" x14ac:dyDescent="0.25">
      <c r="A41" s="317">
        <f t="shared" si="0"/>
        <v>27</v>
      </c>
      <c r="B41" s="349" t="s">
        <v>104</v>
      </c>
      <c r="C41" s="350" t="s">
        <v>143</v>
      </c>
      <c r="D41" s="1260">
        <v>-89556412.820000008</v>
      </c>
      <c r="E41" s="358">
        <f>'SEF-32 pg 1-34, 46'!E$72</f>
        <v>11032590.689999999</v>
      </c>
      <c r="F41" s="358">
        <f>'SEF-32 pg 1-34, 46'!W73</f>
        <v>11274.67</v>
      </c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>
        <f>'SEF-32 pg 1-34, 46'!IU19</f>
        <v>1470046.73</v>
      </c>
      <c r="T41" s="358"/>
      <c r="U41" s="358"/>
      <c r="V41" s="358"/>
      <c r="W41" s="358"/>
      <c r="X41" s="358"/>
      <c r="Y41" s="358"/>
      <c r="Z41" s="358"/>
      <c r="AA41" s="358"/>
      <c r="AB41" s="358"/>
      <c r="AC41" s="358">
        <f>'SEF-32 pg 1-34, 46'!PW17</f>
        <v>53379.854342309758</v>
      </c>
      <c r="AD41" s="358"/>
      <c r="AE41" s="358"/>
      <c r="AF41" s="358"/>
      <c r="AG41" s="358"/>
      <c r="AH41" s="358"/>
      <c r="AI41" s="358"/>
      <c r="AJ41" s="358"/>
      <c r="AK41" s="358">
        <f>'SEF-32 pg 1-34, 46'!TJ31</f>
        <v>94787979.607000008</v>
      </c>
      <c r="AL41" s="358">
        <f>'SEF-32 pg 1-34, 46'!TY24</f>
        <v>5438339.7299999995</v>
      </c>
      <c r="AM41" s="358"/>
      <c r="AN41" s="358">
        <f>'SEF-32 pg 1-34, 46'!VC16</f>
        <v>138703.19</v>
      </c>
      <c r="AO41" s="358"/>
      <c r="AP41" s="358"/>
      <c r="AQ41" s="358"/>
      <c r="AR41" s="358"/>
      <c r="AS41" s="358"/>
      <c r="AT41" s="358"/>
      <c r="AU41" s="358"/>
      <c r="AV41" s="358"/>
      <c r="AW41" s="358"/>
      <c r="AX41" s="358"/>
      <c r="AY41" s="358">
        <f>'SEF-32 pg 35-45'!BY62</f>
        <v>0</v>
      </c>
      <c r="AZ41" s="358"/>
      <c r="BA41" s="358"/>
      <c r="BB41" s="358">
        <f>'SEF-32 pg 35-45'!EA63</f>
        <v>-2863862.0700000003</v>
      </c>
      <c r="BC41" s="358"/>
      <c r="BD41" s="358">
        <f>'SEF-32 pg 35-45'!FK41+'SEF-32 pg 35-45'!FK42+'SEF-32 pg 35-45'!FK43</f>
        <v>-1109325.0099999998</v>
      </c>
      <c r="BE41" s="358"/>
      <c r="BF41" s="358">
        <f>'SEF-32 pg 35-45'!GU29</f>
        <v>2074138.16</v>
      </c>
      <c r="BG41" s="357">
        <f t="shared" si="5"/>
        <v>111033265.55134232</v>
      </c>
      <c r="BH41" s="357">
        <f t="shared" si="6"/>
        <v>21476852.731342316</v>
      </c>
      <c r="BI41" s="82"/>
      <c r="BJ41" s="356"/>
      <c r="BK41" s="82"/>
    </row>
    <row r="42" spans="1:63" outlineLevel="1" x14ac:dyDescent="0.25">
      <c r="A42" s="317">
        <f t="shared" si="0"/>
        <v>28</v>
      </c>
      <c r="B42" s="349" t="s">
        <v>105</v>
      </c>
      <c r="C42" s="350" t="s">
        <v>143</v>
      </c>
      <c r="D42" s="1260">
        <v>267182421</v>
      </c>
      <c r="E42" s="358">
        <f>'SEF-32 pg 1-34, 46'!E$76</f>
        <v>4322832.5987176867</v>
      </c>
      <c r="F42" s="358">
        <f>'SEF-32 pg 1-34, 46'!W74</f>
        <v>-159787914.03646788</v>
      </c>
      <c r="G42" s="370">
        <f>'SEF-32 pg 1-34, 46'!AO24</f>
        <v>-2342192.676184</v>
      </c>
      <c r="H42" s="358"/>
      <c r="I42" s="358"/>
      <c r="J42" s="358"/>
      <c r="K42" s="358"/>
      <c r="L42" s="358">
        <f>'SEF-32 pg 1-34, 46'!$DY$20</f>
        <v>27398.911120012403</v>
      </c>
      <c r="M42" s="358"/>
      <c r="N42" s="358"/>
      <c r="O42" s="358">
        <f>'SEF-32 pg 1-34, 46'!GA27</f>
        <v>-329317.65543454024</v>
      </c>
      <c r="P42" s="358"/>
      <c r="Q42" s="358"/>
      <c r="R42" s="358"/>
      <c r="S42" s="358"/>
      <c r="T42" s="358"/>
      <c r="U42" s="358"/>
      <c r="V42" s="358">
        <f>'SEF-32 pg 1-34, 46'!KW27</f>
        <v>365630.73767307645</v>
      </c>
      <c r="W42" s="358"/>
      <c r="X42" s="358"/>
      <c r="Y42" s="358"/>
      <c r="Z42" s="358"/>
      <c r="AA42" s="358"/>
      <c r="AB42" s="358">
        <f>'SEF-32 pg 1-34, 46'!PA43</f>
        <v>-297374.09605180001</v>
      </c>
      <c r="AC42" s="358"/>
      <c r="AD42" s="358"/>
      <c r="AE42" s="358"/>
      <c r="AF42" s="358"/>
      <c r="AG42" s="358"/>
      <c r="AH42" s="358"/>
      <c r="AI42" s="358"/>
      <c r="AJ42" s="358"/>
      <c r="AK42" s="358">
        <f>'SEF-32 pg 1-34, 46'!TJ23</f>
        <v>-1643.6347136100001</v>
      </c>
      <c r="AL42" s="358"/>
      <c r="AM42" s="358"/>
      <c r="AN42" s="358"/>
      <c r="AO42" s="358"/>
      <c r="AP42" s="358"/>
      <c r="AQ42" s="358"/>
      <c r="AR42" s="358"/>
      <c r="AS42" s="358"/>
      <c r="AT42" s="358"/>
      <c r="AU42" s="358"/>
      <c r="AV42" s="358"/>
      <c r="AW42" s="358"/>
      <c r="AX42" s="358">
        <f>+'SEF-32 pg 35-45'!BG20</f>
        <v>17757.793333333349</v>
      </c>
      <c r="AY42" s="358"/>
      <c r="AZ42" s="358"/>
      <c r="BA42" s="358"/>
      <c r="BB42" s="358">
        <f>'SEF-32 pg 35-45'!EA61+'SEF-32 pg 35-45'!EA68</f>
        <v>-1956283.99989708</v>
      </c>
      <c r="BC42" s="358"/>
      <c r="BD42" s="358">
        <f>'SEF-32 pg 35-45'!FK24+'SEF-32 pg 35-45'!FK39</f>
        <v>-116834.34608376001</v>
      </c>
      <c r="BE42" s="358"/>
      <c r="BF42" s="358">
        <f>'SEF-32 pg 35-45'!GU23</f>
        <v>-1550.4800700000001</v>
      </c>
      <c r="BG42" s="371">
        <f t="shared" si="5"/>
        <v>-160099490.88405859</v>
      </c>
      <c r="BH42" s="371">
        <f t="shared" si="6"/>
        <v>107082930.11594141</v>
      </c>
      <c r="BI42" s="82"/>
      <c r="BJ42" s="356"/>
      <c r="BK42" s="82"/>
    </row>
    <row r="43" spans="1:63" outlineLevel="1" x14ac:dyDescent="0.25">
      <c r="A43" s="317">
        <f t="shared" si="0"/>
        <v>29</v>
      </c>
      <c r="B43" s="349" t="s">
        <v>106</v>
      </c>
      <c r="C43" s="350" t="s">
        <v>143</v>
      </c>
      <c r="D43" s="1260">
        <v>159200857.38000003</v>
      </c>
      <c r="E43" s="370">
        <f>'SEF-32 pg 1-34, 46'!E$81</f>
        <v>20093867.944672137</v>
      </c>
      <c r="F43" s="370">
        <f>'SEF-32 pg 1-34, 46'!W75</f>
        <v>-32286.424014708995</v>
      </c>
      <c r="G43" s="370">
        <f>'SEF-32 pg 1-34, 46'!AO29</f>
        <v>-12142548.731962319</v>
      </c>
      <c r="H43" s="358">
        <f>+'SEF-32 pg 1-34, 46'!BE16</f>
        <v>-51655882.221626803</v>
      </c>
      <c r="I43" s="358">
        <f>+'SEF-32 pg 1-34, 46'!BW23</f>
        <v>-30881913.7943177</v>
      </c>
      <c r="J43" s="358">
        <f>'SEF-32 pg 1-34, 46'!CO20</f>
        <v>95620.305026399408</v>
      </c>
      <c r="K43" s="358">
        <f>'SEF-32 pg 1-34, 46'!DG25</f>
        <v>47589.925200300051</v>
      </c>
      <c r="L43" s="358">
        <f>'SEF-32 pg 1-34, 46'!DY21</f>
        <v>-5753.771335202604</v>
      </c>
      <c r="M43" s="358">
        <f>'SEF-32 pg 1-34, 46'!EQ25</f>
        <v>9543.1735206295925</v>
      </c>
      <c r="N43" s="358">
        <f>'SEF-32 pg 1-34, 46'!FI21</f>
        <v>35080.63749996882</v>
      </c>
      <c r="O43" s="358">
        <f>'SEF-32 pg 1-34, 46'!GA30</f>
        <v>855918.38239385316</v>
      </c>
      <c r="P43" s="358">
        <f>+'SEF-32 pg 1-34, 46'!GS35</f>
        <v>-105585.17362423285</v>
      </c>
      <c r="Q43" s="358"/>
      <c r="R43" s="358">
        <f>'SEF-32 pg 1-34, 46'!IC22</f>
        <v>-217543.58037191868</v>
      </c>
      <c r="S43" s="358">
        <f>'SEF-32 pg 1-34, 46'!IU21</f>
        <v>-308709.81329999998</v>
      </c>
      <c r="T43" s="358">
        <f>+'SEF-32 pg 1-34, 46'!JM22</f>
        <v>4855.9528591429089</v>
      </c>
      <c r="U43" s="358">
        <f>'SEF-32 pg 1-34, 46'!KE19</f>
        <v>-780582.20625151973</v>
      </c>
      <c r="V43" s="358">
        <f>'SEF-32 pg 1-34, 46'!KW31</f>
        <v>-1753212.5914906659</v>
      </c>
      <c r="W43" s="358"/>
      <c r="X43" s="358">
        <f>'SEF-32 pg 1-34, 46'!MG29</f>
        <v>837568.79850418167</v>
      </c>
      <c r="Y43" s="370">
        <f>'SEF-32 pg 1-34, 46'!MY20</f>
        <v>-641258.04253349965</v>
      </c>
      <c r="Z43" s="358"/>
      <c r="AA43" s="358">
        <f>'SEF-32 pg 1-34, 46'!OI34</f>
        <v>0</v>
      </c>
      <c r="AB43" s="370">
        <f>+'SEF-32 pg 1-34, 46'!PA52</f>
        <v>-1541666.2726549138</v>
      </c>
      <c r="AC43" s="358">
        <f>'SEF-32 pg 1-34, 46'!PW20</f>
        <v>-11209.769411885049</v>
      </c>
      <c r="AD43" s="358"/>
      <c r="AE43" s="358"/>
      <c r="AF43" s="358"/>
      <c r="AG43" s="358"/>
      <c r="AH43" s="358"/>
      <c r="AI43" s="358"/>
      <c r="AJ43" s="358"/>
      <c r="AK43" s="370">
        <f>'SEF-32 pg 1-34, 46'!TJ34</f>
        <v>-19913996.756242983</v>
      </c>
      <c r="AL43" s="358">
        <f>'SEF-32 pg 1-34, 46'!TY26</f>
        <v>-1142051.3432999998</v>
      </c>
      <c r="AM43" s="358">
        <f>'SEF-32 pg 1-34, 46'!UN23</f>
        <v>26853.539999999997</v>
      </c>
      <c r="AN43" s="358">
        <f>'SEF-32 pg 1-34, 46'!VC30</f>
        <v>-29127.669900000001</v>
      </c>
      <c r="AO43" s="358"/>
      <c r="AP43" s="358"/>
      <c r="AQ43" s="358"/>
      <c r="AR43" s="358"/>
      <c r="AS43" s="358"/>
      <c r="AT43" s="358"/>
      <c r="AU43" s="358"/>
      <c r="AV43" s="358">
        <v>240000.30818934916</v>
      </c>
      <c r="AW43" s="358">
        <f>'SEF-32 pg 35-45'!AO28</f>
        <v>46108.86</v>
      </c>
      <c r="AX43" s="358">
        <f>+'SEF-32 pg 35-45'!BG28</f>
        <v>-308349.8123999997</v>
      </c>
      <c r="AY43" s="358">
        <f>'SEF-32 pg 35-45'!BY64</f>
        <v>0</v>
      </c>
      <c r="AZ43" s="358">
        <f>+'SEF-32 pg 35-45'!CQ28</f>
        <v>24781.797599999994</v>
      </c>
      <c r="BA43" s="358">
        <f>'SEF-32 pg 35-45'!DI28</f>
        <v>-1371850.7144695178</v>
      </c>
      <c r="BB43" s="370">
        <f>'SEF-32 pg 35-45'!EA69+'SEF-32 pg 35-45'!EA70+'SEF-32 pg 35-45'!EA73</f>
        <v>12271782.444975873</v>
      </c>
      <c r="BC43" s="358">
        <f>'SEF-32 pg 35-45'!ES41</f>
        <v>185704.71780000461</v>
      </c>
      <c r="BD43" s="370">
        <f>'SEF-32 pg 35-45'!FK49</f>
        <v>-268.06356188352686</v>
      </c>
      <c r="BE43" s="358"/>
      <c r="BF43" s="370">
        <f>'SEF-32 pg 35-45'!GU36</f>
        <v>-443607.11396609998</v>
      </c>
      <c r="BG43" s="371">
        <f t="shared" si="5"/>
        <v>-88512127.078494027</v>
      </c>
      <c r="BH43" s="371">
        <f t="shared" si="6"/>
        <v>70688730.301505998</v>
      </c>
      <c r="BI43" s="82"/>
      <c r="BJ43" s="356"/>
      <c r="BK43" s="82"/>
    </row>
    <row r="44" spans="1:63" outlineLevel="1" x14ac:dyDescent="0.25">
      <c r="A44" s="317">
        <f t="shared" si="0"/>
        <v>30</v>
      </c>
      <c r="B44" s="365" t="s">
        <v>107</v>
      </c>
      <c r="C44" s="350" t="s">
        <v>143</v>
      </c>
      <c r="D44" s="1260">
        <v>-92361480.74000001</v>
      </c>
      <c r="E44" s="358"/>
      <c r="F44" s="358"/>
      <c r="G44" s="358"/>
      <c r="H44" s="358">
        <f>SUM('SEF-32 pg 1-34, 46'!BE17:BE21)</f>
        <v>48944521.449700005</v>
      </c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  <c r="AN44" s="358"/>
      <c r="AO44" s="358"/>
      <c r="AP44" s="358"/>
      <c r="AQ44" s="358"/>
      <c r="AR44" s="358"/>
      <c r="AS44" s="358"/>
      <c r="AT44" s="358"/>
      <c r="AU44" s="358"/>
      <c r="AV44" s="358"/>
      <c r="AW44" s="358"/>
      <c r="AX44" s="358"/>
      <c r="AY44" s="358"/>
      <c r="AZ44" s="358"/>
      <c r="BA44" s="358"/>
      <c r="BB44" s="358"/>
      <c r="BC44" s="358"/>
      <c r="BD44" s="358"/>
      <c r="BE44" s="358"/>
      <c r="BF44" s="358"/>
      <c r="BG44" s="357">
        <f t="shared" si="5"/>
        <v>48944521.449700005</v>
      </c>
      <c r="BH44" s="357">
        <f t="shared" si="6"/>
        <v>-43416959.290300004</v>
      </c>
      <c r="BI44" s="82"/>
      <c r="BJ44" s="356"/>
      <c r="BK44" s="82"/>
    </row>
    <row r="45" spans="1:63" outlineLevel="1" x14ac:dyDescent="0.25">
      <c r="A45" s="317">
        <f t="shared" si="0"/>
        <v>31</v>
      </c>
      <c r="B45" s="349" t="s">
        <v>109</v>
      </c>
      <c r="C45" s="350" t="s">
        <v>143</v>
      </c>
      <c r="D45" s="1263">
        <f t="shared" ref="D45:AK45" si="7">SUM(D29:D44)</f>
        <v>3257349686.1199999</v>
      </c>
      <c r="E45" s="372">
        <f t="shared" si="7"/>
        <v>36739749.380989254</v>
      </c>
      <c r="F45" s="372">
        <f t="shared" si="7"/>
        <v>-284528277.02328724</v>
      </c>
      <c r="G45" s="372">
        <f t="shared" si="7"/>
        <v>-15183936.10357032</v>
      </c>
      <c r="H45" s="368">
        <f t="shared" si="7"/>
        <v>-2711360.7719267979</v>
      </c>
      <c r="I45" s="368">
        <f t="shared" si="7"/>
        <v>-30881913.7943177</v>
      </c>
      <c r="J45" s="368">
        <f t="shared" si="7"/>
        <v>-359714.48081359779</v>
      </c>
      <c r="K45" s="368">
        <f t="shared" si="7"/>
        <v>-179028.76622970021</v>
      </c>
      <c r="L45" s="368">
        <f t="shared" si="7"/>
        <v>21645.139784809799</v>
      </c>
      <c r="M45" s="368">
        <f t="shared" si="7"/>
        <v>-35900.509910939894</v>
      </c>
      <c r="N45" s="368">
        <f t="shared" si="7"/>
        <v>-131970.01726178749</v>
      </c>
      <c r="O45" s="368">
        <f t="shared" si="7"/>
        <v>-3219883.4385292572</v>
      </c>
      <c r="P45" s="368">
        <f t="shared" si="7"/>
        <v>397201.36744354269</v>
      </c>
      <c r="Q45" s="368">
        <f t="shared" si="7"/>
        <v>131317.93692733094</v>
      </c>
      <c r="R45" s="368">
        <f t="shared" si="7"/>
        <v>818378.23092293227</v>
      </c>
      <c r="S45" s="368">
        <f t="shared" si="7"/>
        <v>1161336.9166999999</v>
      </c>
      <c r="T45" s="368">
        <f t="shared" si="7"/>
        <v>-18267.632184394755</v>
      </c>
      <c r="U45" s="368">
        <f t="shared" si="7"/>
        <v>2936475.9187557171</v>
      </c>
      <c r="V45" s="368">
        <f t="shared" si="7"/>
        <v>6595418.7965601254</v>
      </c>
      <c r="W45" s="368">
        <f t="shared" si="7"/>
        <v>0</v>
      </c>
      <c r="X45" s="368">
        <f t="shared" si="7"/>
        <v>-3150854.0515157296</v>
      </c>
      <c r="Y45" s="372">
        <f>SUM(Y29:Y44)</f>
        <v>2412351.6838164986</v>
      </c>
      <c r="Z45" s="368">
        <f t="shared" si="7"/>
        <v>0</v>
      </c>
      <c r="AA45" s="368">
        <f t="shared" si="7"/>
        <v>0</v>
      </c>
      <c r="AB45" s="372">
        <f t="shared" si="7"/>
        <v>-1927812.9076315139</v>
      </c>
      <c r="AC45" s="368">
        <f t="shared" si="7"/>
        <v>42170.084930424709</v>
      </c>
      <c r="AD45" s="368">
        <f t="shared" si="7"/>
        <v>0</v>
      </c>
      <c r="AE45" s="368">
        <f t="shared" si="7"/>
        <v>0</v>
      </c>
      <c r="AF45" s="368">
        <f t="shared" si="7"/>
        <v>0</v>
      </c>
      <c r="AG45" s="368">
        <f t="shared" si="7"/>
        <v>0</v>
      </c>
      <c r="AH45" s="368">
        <f t="shared" si="7"/>
        <v>0</v>
      </c>
      <c r="AI45" s="368">
        <f t="shared" si="7"/>
        <v>0</v>
      </c>
      <c r="AJ45" s="368">
        <f t="shared" si="7"/>
        <v>0</v>
      </c>
      <c r="AK45" s="372">
        <f t="shared" si="7"/>
        <v>74871848.55586645</v>
      </c>
      <c r="AL45" s="368">
        <f>SUM(AL29:AL44)</f>
        <v>4296288.3866999997</v>
      </c>
      <c r="AM45" s="368">
        <f t="shared" ref="AM45:AU45" si="8">SUM(AM29:AM44)</f>
        <v>-101020.46</v>
      </c>
      <c r="AN45" s="368">
        <f t="shared" si="8"/>
        <v>109575.52009999999</v>
      </c>
      <c r="AO45" s="368">
        <f t="shared" si="8"/>
        <v>0</v>
      </c>
      <c r="AP45" s="368">
        <f t="shared" si="8"/>
        <v>0</v>
      </c>
      <c r="AQ45" s="368">
        <f t="shared" si="8"/>
        <v>0</v>
      </c>
      <c r="AR45" s="368">
        <f t="shared" si="8"/>
        <v>0</v>
      </c>
      <c r="AS45" s="368">
        <f t="shared" si="8"/>
        <v>0</v>
      </c>
      <c r="AT45" s="368">
        <f t="shared" si="8"/>
        <v>0</v>
      </c>
      <c r="AU45" s="368">
        <f t="shared" si="8"/>
        <v>0</v>
      </c>
      <c r="AV45" s="368">
        <f>SUM(AV29:AV44)</f>
        <v>-902858.30223612313</v>
      </c>
      <c r="AW45" s="368">
        <f t="shared" ref="AW45:BH45" si="9">SUM(AW29:AW44)</f>
        <v>-173457.14</v>
      </c>
      <c r="AX45" s="368">
        <f t="shared" si="9"/>
        <v>1159982.6275999988</v>
      </c>
      <c r="AY45" s="368">
        <f t="shared" si="9"/>
        <v>0</v>
      </c>
      <c r="AZ45" s="368">
        <f t="shared" si="9"/>
        <v>-93226.762399999992</v>
      </c>
      <c r="BA45" s="368">
        <f t="shared" si="9"/>
        <v>5160771.7353853295</v>
      </c>
      <c r="BB45" s="372">
        <f t="shared" si="9"/>
        <v>-54612778.312052093</v>
      </c>
      <c r="BC45" s="368">
        <f t="shared" si="9"/>
        <v>-698603.46220001741</v>
      </c>
      <c r="BD45" s="372">
        <f t="shared" si="9"/>
        <v>-2016264.2904100576</v>
      </c>
      <c r="BE45" s="368">
        <f>SUM(BE29:BE44)</f>
        <v>0</v>
      </c>
      <c r="BF45" s="372">
        <f t="shared" si="9"/>
        <v>1628517.7144438999</v>
      </c>
      <c r="BG45" s="373">
        <f t="shared" si="9"/>
        <v>-262444098.22955102</v>
      </c>
      <c r="BH45" s="373">
        <f t="shared" si="9"/>
        <v>2994905587.890449</v>
      </c>
      <c r="BI45" s="82"/>
      <c r="BJ45" s="356"/>
      <c r="BK45" s="82"/>
    </row>
    <row r="46" spans="1:63" outlineLevel="1" x14ac:dyDescent="0.25">
      <c r="A46" s="317">
        <f t="shared" si="0"/>
        <v>32</v>
      </c>
      <c r="B46" s="365"/>
      <c r="C46" s="350" t="s">
        <v>143</v>
      </c>
      <c r="D46" s="1264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75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375"/>
      <c r="BE46" s="375"/>
      <c r="BF46" s="375"/>
      <c r="BG46" s="374"/>
      <c r="BH46" s="374"/>
      <c r="BI46" s="82"/>
      <c r="BJ46" s="356"/>
      <c r="BK46" s="82"/>
    </row>
    <row r="47" spans="1:63" ht="15.75" outlineLevel="1" thickBot="1" x14ac:dyDescent="0.3">
      <c r="A47" s="317">
        <f t="shared" si="0"/>
        <v>33</v>
      </c>
      <c r="B47" s="365" t="s">
        <v>110</v>
      </c>
      <c r="C47" s="350" t="s">
        <v>143</v>
      </c>
      <c r="D47" s="1265">
        <f t="shared" ref="D47:BH47" si="10">+D20-D45</f>
        <v>311728415.28999996</v>
      </c>
      <c r="E47" s="377">
        <f t="shared" si="10"/>
        <v>75591217.506147563</v>
      </c>
      <c r="F47" s="377">
        <f t="shared" si="10"/>
        <v>-121458.45224589109</v>
      </c>
      <c r="G47" s="377">
        <f>+G20-G45</f>
        <v>-45679111.89642968</v>
      </c>
      <c r="H47" s="378">
        <f t="shared" si="10"/>
        <v>2711360.7719267979</v>
      </c>
      <c r="I47" s="378">
        <f t="shared" si="10"/>
        <v>30881913.7943177</v>
      </c>
      <c r="J47" s="378">
        <f t="shared" si="10"/>
        <v>359714.48081359779</v>
      </c>
      <c r="K47" s="378">
        <f t="shared" si="10"/>
        <v>179028.76622970021</v>
      </c>
      <c r="L47" s="378">
        <f t="shared" si="10"/>
        <v>-21645.139784809799</v>
      </c>
      <c r="M47" s="378">
        <f t="shared" si="10"/>
        <v>35900.509910939894</v>
      </c>
      <c r="N47" s="378">
        <f t="shared" si="10"/>
        <v>131970.01726178749</v>
      </c>
      <c r="O47" s="378">
        <f t="shared" si="10"/>
        <v>3219883.4385292572</v>
      </c>
      <c r="P47" s="378">
        <f t="shared" si="10"/>
        <v>-397201.36744354269</v>
      </c>
      <c r="Q47" s="378">
        <f t="shared" si="10"/>
        <v>-131317.93692733094</v>
      </c>
      <c r="R47" s="378">
        <f t="shared" si="10"/>
        <v>-818378.23092293227</v>
      </c>
      <c r="S47" s="378">
        <f t="shared" si="10"/>
        <v>-1161336.9166999999</v>
      </c>
      <c r="T47" s="378">
        <f t="shared" si="10"/>
        <v>18267.632184394755</v>
      </c>
      <c r="U47" s="378">
        <f t="shared" si="10"/>
        <v>-2936475.9187557171</v>
      </c>
      <c r="V47" s="378">
        <f t="shared" si="10"/>
        <v>-6595418.7965601254</v>
      </c>
      <c r="W47" s="378">
        <f t="shared" si="10"/>
        <v>0</v>
      </c>
      <c r="X47" s="378">
        <f t="shared" si="10"/>
        <v>3150854.0515157296</v>
      </c>
      <c r="Y47" s="377">
        <f>+Y20-Y45</f>
        <v>-2412351.6838164986</v>
      </c>
      <c r="Z47" s="378">
        <f t="shared" si="10"/>
        <v>0</v>
      </c>
      <c r="AA47" s="378">
        <f t="shared" si="10"/>
        <v>0</v>
      </c>
      <c r="AB47" s="377">
        <f t="shared" si="10"/>
        <v>-5799601.692368486</v>
      </c>
      <c r="AC47" s="378">
        <f t="shared" si="10"/>
        <v>-42170.084930424709</v>
      </c>
      <c r="AD47" s="378">
        <f t="shared" si="10"/>
        <v>0</v>
      </c>
      <c r="AE47" s="378">
        <f t="shared" si="10"/>
        <v>0</v>
      </c>
      <c r="AF47" s="378">
        <f t="shared" si="10"/>
        <v>0</v>
      </c>
      <c r="AG47" s="378">
        <f t="shared" si="10"/>
        <v>0</v>
      </c>
      <c r="AH47" s="378">
        <f t="shared" si="10"/>
        <v>0</v>
      </c>
      <c r="AI47" s="378">
        <f t="shared" si="10"/>
        <v>0</v>
      </c>
      <c r="AJ47" s="378">
        <f t="shared" si="10"/>
        <v>0</v>
      </c>
      <c r="AK47" s="377">
        <f t="shared" si="10"/>
        <v>-74914559.225866452</v>
      </c>
      <c r="AL47" s="378">
        <f t="shared" si="10"/>
        <v>-4296288.3866999997</v>
      </c>
      <c r="AM47" s="378">
        <f t="shared" si="10"/>
        <v>101020.46</v>
      </c>
      <c r="AN47" s="378">
        <f t="shared" si="10"/>
        <v>-109575.52009999999</v>
      </c>
      <c r="AO47" s="378">
        <f t="shared" si="10"/>
        <v>0</v>
      </c>
      <c r="AP47" s="378">
        <f t="shared" si="10"/>
        <v>0</v>
      </c>
      <c r="AQ47" s="378">
        <f t="shared" si="10"/>
        <v>0</v>
      </c>
      <c r="AR47" s="378">
        <f t="shared" si="10"/>
        <v>0</v>
      </c>
      <c r="AS47" s="378">
        <f t="shared" si="10"/>
        <v>0</v>
      </c>
      <c r="AT47" s="378">
        <f t="shared" si="10"/>
        <v>0</v>
      </c>
      <c r="AU47" s="378">
        <f t="shared" si="10"/>
        <v>0</v>
      </c>
      <c r="AV47" s="378">
        <f t="shared" si="10"/>
        <v>902858.30223612313</v>
      </c>
      <c r="AW47" s="378">
        <f t="shared" si="10"/>
        <v>173457.14</v>
      </c>
      <c r="AX47" s="378">
        <f t="shared" si="10"/>
        <v>-1159982.6275999988</v>
      </c>
      <c r="AY47" s="378">
        <f t="shared" si="10"/>
        <v>0</v>
      </c>
      <c r="AZ47" s="378">
        <f t="shared" si="10"/>
        <v>93226.762399999992</v>
      </c>
      <c r="BA47" s="378">
        <f t="shared" si="10"/>
        <v>-5160771.7353853295</v>
      </c>
      <c r="BB47" s="377">
        <f t="shared" si="10"/>
        <v>28347227.552052096</v>
      </c>
      <c r="BC47" s="378">
        <f t="shared" si="10"/>
        <v>698603.46220001741</v>
      </c>
      <c r="BD47" s="377">
        <f t="shared" si="10"/>
        <v>-1008.4295899425633</v>
      </c>
      <c r="BE47" s="378">
        <f>+BE20-BE45</f>
        <v>0</v>
      </c>
      <c r="BF47" s="377">
        <f t="shared" si="10"/>
        <v>-1668807.7144438999</v>
      </c>
      <c r="BG47" s="379">
        <f t="shared" si="10"/>
        <v>-6830957.1088452935</v>
      </c>
      <c r="BH47" s="379">
        <f t="shared" si="10"/>
        <v>304897458.18115425</v>
      </c>
      <c r="BI47" s="82"/>
      <c r="BJ47" s="356"/>
      <c r="BK47" s="82"/>
    </row>
    <row r="48" spans="1:63" ht="15.75" outlineLevel="1" thickTop="1" x14ac:dyDescent="0.25">
      <c r="A48" s="317">
        <f t="shared" si="0"/>
        <v>34</v>
      </c>
      <c r="B48" s="18"/>
      <c r="C48" s="350" t="s">
        <v>143</v>
      </c>
      <c r="D48" s="1266"/>
      <c r="E48" s="381"/>
      <c r="F48" s="38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381"/>
      <c r="AH48" s="381"/>
      <c r="AI48" s="381"/>
      <c r="AJ48" s="381"/>
      <c r="AK48" s="381"/>
      <c r="AL48" s="381"/>
      <c r="AM48" s="381"/>
      <c r="AN48" s="381"/>
      <c r="AO48" s="381"/>
      <c r="AP48" s="381"/>
      <c r="AQ48" s="381"/>
      <c r="AR48" s="381"/>
      <c r="AS48" s="381"/>
      <c r="AT48" s="381"/>
      <c r="AU48" s="381"/>
      <c r="AV48" s="381"/>
      <c r="AW48" s="381"/>
      <c r="AX48" s="381"/>
      <c r="AY48" s="381"/>
      <c r="AZ48" s="381"/>
      <c r="BA48" s="381"/>
      <c r="BB48" s="381"/>
      <c r="BC48" s="381"/>
      <c r="BD48" s="381"/>
      <c r="BE48" s="381"/>
      <c r="BF48" s="381"/>
      <c r="BG48" s="380"/>
      <c r="BH48" s="380"/>
      <c r="BI48" s="82"/>
      <c r="BJ48" s="356"/>
      <c r="BK48" s="82"/>
    </row>
    <row r="49" spans="1:74" s="382" customFormat="1" outlineLevel="1" x14ac:dyDescent="0.25">
      <c r="A49" s="317">
        <f t="shared" si="0"/>
        <v>35</v>
      </c>
      <c r="B49" s="349" t="s">
        <v>145</v>
      </c>
      <c r="C49" s="350" t="s">
        <v>143</v>
      </c>
      <c r="D49" s="1262">
        <f t="shared" ref="D49:AC49" si="11">D60</f>
        <v>5583764449.6288252</v>
      </c>
      <c r="E49" s="356">
        <f t="shared" si="11"/>
        <v>0</v>
      </c>
      <c r="F49" s="356">
        <f t="shared" si="11"/>
        <v>0</v>
      </c>
      <c r="G49" s="356">
        <f t="shared" si="11"/>
        <v>0</v>
      </c>
      <c r="H49" s="356">
        <f t="shared" si="11"/>
        <v>0</v>
      </c>
      <c r="I49" s="356">
        <f t="shared" si="11"/>
        <v>0</v>
      </c>
      <c r="J49" s="356">
        <f t="shared" si="11"/>
        <v>0</v>
      </c>
      <c r="K49" s="356">
        <f t="shared" si="11"/>
        <v>0</v>
      </c>
      <c r="L49" s="356">
        <f t="shared" si="11"/>
        <v>0</v>
      </c>
      <c r="M49" s="356">
        <f t="shared" si="11"/>
        <v>0</v>
      </c>
      <c r="N49" s="356">
        <f t="shared" si="11"/>
        <v>0</v>
      </c>
      <c r="O49" s="356">
        <f t="shared" si="11"/>
        <v>0</v>
      </c>
      <c r="P49" s="356">
        <f t="shared" si="11"/>
        <v>0</v>
      </c>
      <c r="Q49" s="356">
        <f t="shared" si="11"/>
        <v>0</v>
      </c>
      <c r="R49" s="356">
        <f t="shared" si="11"/>
        <v>0</v>
      </c>
      <c r="S49" s="356">
        <f t="shared" si="11"/>
        <v>0</v>
      </c>
      <c r="T49" s="356">
        <f t="shared" si="11"/>
        <v>0</v>
      </c>
      <c r="U49" s="356">
        <f t="shared" si="11"/>
        <v>0</v>
      </c>
      <c r="V49" s="356">
        <f t="shared" si="11"/>
        <v>0</v>
      </c>
      <c r="W49" s="356">
        <f t="shared" si="11"/>
        <v>23410353.123831868</v>
      </c>
      <c r="X49" s="356">
        <f t="shared" si="11"/>
        <v>3150854.051515731</v>
      </c>
      <c r="Y49" s="356">
        <f>Y60</f>
        <v>0</v>
      </c>
      <c r="Z49" s="356">
        <f t="shared" si="11"/>
        <v>0</v>
      </c>
      <c r="AA49" s="356">
        <f t="shared" si="11"/>
        <v>0</v>
      </c>
      <c r="AB49" s="356">
        <f t="shared" si="11"/>
        <v>-117784370.64898372</v>
      </c>
      <c r="AC49" s="356">
        <f t="shared" si="11"/>
        <v>0</v>
      </c>
      <c r="AD49" s="356"/>
      <c r="AE49" s="356"/>
      <c r="AF49" s="356"/>
      <c r="AG49" s="356"/>
      <c r="AH49" s="356"/>
      <c r="AI49" s="356"/>
      <c r="AJ49" s="356"/>
      <c r="AK49" s="356">
        <f t="shared" ref="AK49:BF49" si="12">AK60</f>
        <v>0</v>
      </c>
      <c r="AL49" s="356">
        <f t="shared" si="12"/>
        <v>0</v>
      </c>
      <c r="AM49" s="356">
        <f t="shared" si="12"/>
        <v>0</v>
      </c>
      <c r="AN49" s="356">
        <f t="shared" si="12"/>
        <v>0</v>
      </c>
      <c r="AO49" s="356">
        <f t="shared" si="12"/>
        <v>0</v>
      </c>
      <c r="AP49" s="356">
        <f t="shared" si="12"/>
        <v>0</v>
      </c>
      <c r="AQ49" s="356">
        <f t="shared" si="12"/>
        <v>0</v>
      </c>
      <c r="AR49" s="356">
        <f t="shared" si="12"/>
        <v>0</v>
      </c>
      <c r="AS49" s="356">
        <f t="shared" si="12"/>
        <v>0</v>
      </c>
      <c r="AT49" s="356">
        <f t="shared" si="12"/>
        <v>0</v>
      </c>
      <c r="AU49" s="356">
        <f t="shared" si="12"/>
        <v>0</v>
      </c>
      <c r="AV49" s="356">
        <f t="shared" si="12"/>
        <v>0</v>
      </c>
      <c r="AW49" s="356">
        <f t="shared" si="12"/>
        <v>-1121518.7722916666</v>
      </c>
      <c r="AX49" s="356">
        <f t="shared" si="12"/>
        <v>0</v>
      </c>
      <c r="AY49" s="356">
        <f t="shared" si="12"/>
        <v>0</v>
      </c>
      <c r="AZ49" s="356">
        <f t="shared" si="12"/>
        <v>-92162.365750000143</v>
      </c>
      <c r="BA49" s="356">
        <f t="shared" si="12"/>
        <v>0</v>
      </c>
      <c r="BB49" s="356">
        <f t="shared" si="12"/>
        <v>100713505.51873963</v>
      </c>
      <c r="BC49" s="356">
        <f t="shared" si="12"/>
        <v>0</v>
      </c>
      <c r="BD49" s="356">
        <f t="shared" si="12"/>
        <v>-530374.64638627158</v>
      </c>
      <c r="BE49" s="356">
        <f>BE60</f>
        <v>0</v>
      </c>
      <c r="BF49" s="356">
        <f t="shared" si="12"/>
        <v>0</v>
      </c>
      <c r="BG49" s="366">
        <f>BG60</f>
        <v>7746286.2606755048</v>
      </c>
      <c r="BH49" s="366">
        <f>BH60</f>
        <v>5591510735.8894997</v>
      </c>
      <c r="BI49" s="82"/>
      <c r="BJ49" s="356"/>
      <c r="BK49" s="82"/>
      <c r="BO49"/>
      <c r="BP49"/>
      <c r="BQ49"/>
      <c r="BR49"/>
      <c r="BS49"/>
      <c r="BT49"/>
      <c r="BU49"/>
      <c r="BV49"/>
    </row>
    <row r="50" spans="1:74" outlineLevel="1" x14ac:dyDescent="0.25">
      <c r="A50" s="317">
        <f t="shared" si="0"/>
        <v>36</v>
      </c>
      <c r="B50" s="365"/>
      <c r="C50" s="350" t="s">
        <v>143</v>
      </c>
      <c r="D50" s="1258"/>
      <c r="BG50" s="351"/>
      <c r="BH50" s="351"/>
      <c r="BI50" s="82"/>
      <c r="BJ50" s="356"/>
      <c r="BK50" s="82"/>
    </row>
    <row r="51" spans="1:74" outlineLevel="1" x14ac:dyDescent="0.25">
      <c r="A51" s="317">
        <f t="shared" si="0"/>
        <v>37</v>
      </c>
      <c r="B51" s="349" t="s">
        <v>18</v>
      </c>
      <c r="C51" s="350" t="s">
        <v>143</v>
      </c>
      <c r="D51" s="1267">
        <f>+D47/D49</f>
        <v>5.5827644253639994E-2</v>
      </c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58"/>
      <c r="Z51" s="358"/>
      <c r="AA51" s="358"/>
      <c r="AB51" s="358"/>
      <c r="AC51" s="358"/>
      <c r="AD51" s="358"/>
      <c r="AE51" s="358"/>
      <c r="AF51" s="358"/>
      <c r="AG51" s="358"/>
      <c r="AH51" s="358"/>
      <c r="AI51" s="358"/>
      <c r="AJ51" s="358"/>
      <c r="AK51" s="358"/>
      <c r="AL51" s="358"/>
      <c r="AM51" s="358"/>
      <c r="AN51" s="358"/>
      <c r="AO51" s="358"/>
      <c r="AP51" s="358"/>
      <c r="AQ51" s="358"/>
      <c r="AR51" s="358"/>
      <c r="AS51" s="358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383"/>
      <c r="BH51" s="383">
        <f>+BH47/BH49</f>
        <v>5.4528636817979932E-2</v>
      </c>
      <c r="BI51" s="82"/>
      <c r="BJ51" s="356"/>
      <c r="BK51" s="82"/>
    </row>
    <row r="52" spans="1:74" outlineLevel="1" x14ac:dyDescent="0.25">
      <c r="A52" s="317">
        <f t="shared" si="0"/>
        <v>38</v>
      </c>
      <c r="B52" s="365"/>
      <c r="C52" s="350" t="s">
        <v>143</v>
      </c>
      <c r="D52" s="1260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358"/>
      <c r="AD52" s="358"/>
      <c r="AE52" s="358"/>
      <c r="AF52" s="358"/>
      <c r="AG52" s="358"/>
      <c r="AH52" s="358"/>
      <c r="AI52" s="358"/>
      <c r="AJ52" s="358"/>
      <c r="AK52" s="358"/>
      <c r="AL52" s="358"/>
      <c r="AM52" s="358"/>
      <c r="AN52" s="358"/>
      <c r="AO52" s="358"/>
      <c r="AP52" s="358"/>
      <c r="AQ52" s="358"/>
      <c r="AR52" s="358"/>
      <c r="AS52" s="358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7"/>
      <c r="BH52" s="357"/>
      <c r="BI52" s="82"/>
      <c r="BJ52" s="356"/>
      <c r="BK52" s="82"/>
    </row>
    <row r="53" spans="1:74" outlineLevel="1" x14ac:dyDescent="0.25">
      <c r="A53" s="317">
        <f t="shared" si="0"/>
        <v>39</v>
      </c>
      <c r="B53" s="365" t="s">
        <v>146</v>
      </c>
      <c r="C53" s="350" t="s">
        <v>143</v>
      </c>
      <c r="D53" s="1260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8"/>
      <c r="V53" s="358"/>
      <c r="W53" s="358"/>
      <c r="X53" s="358"/>
      <c r="Y53" s="358"/>
      <c r="Z53" s="358"/>
      <c r="AA53" s="358"/>
      <c r="AB53" s="358"/>
      <c r="AC53" s="358"/>
      <c r="AD53" s="358"/>
      <c r="AE53" s="358"/>
      <c r="AF53" s="358"/>
      <c r="AG53" s="358"/>
      <c r="AH53" s="358"/>
      <c r="AI53" s="358"/>
      <c r="AJ53" s="358"/>
      <c r="AK53" s="358"/>
      <c r="AL53" s="358"/>
      <c r="AM53" s="358"/>
      <c r="AN53" s="358"/>
      <c r="AO53" s="358"/>
      <c r="AP53" s="358"/>
      <c r="AQ53" s="358"/>
      <c r="AR53" s="358"/>
      <c r="AS53" s="358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7"/>
      <c r="BH53" s="357"/>
      <c r="BI53" s="82"/>
      <c r="BJ53" s="356"/>
      <c r="BK53" s="82"/>
    </row>
    <row r="54" spans="1:74" outlineLevel="1" x14ac:dyDescent="0.25">
      <c r="A54" s="317">
        <f t="shared" si="0"/>
        <v>40</v>
      </c>
      <c r="B54" s="384" t="s">
        <v>112</v>
      </c>
      <c r="C54" s="350" t="s">
        <v>143</v>
      </c>
      <c r="D54" s="1262">
        <v>11825124793.208683</v>
      </c>
      <c r="E54" s="356"/>
      <c r="F54" s="356"/>
      <c r="G54" s="356"/>
      <c r="H54" s="356"/>
      <c r="I54" s="356"/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>
        <f>'SEF-32 pg 1-34, 46'!LO16</f>
        <v>66164287.261545181</v>
      </c>
      <c r="X54" s="356"/>
      <c r="Y54" s="356"/>
      <c r="Z54" s="356"/>
      <c r="AA54" s="356">
        <f>'SEF-32 pg 1-34, 46'!OI18</f>
        <v>0</v>
      </c>
      <c r="AB54" s="356">
        <f>+'SEF-32 pg 1-34, 46'!PA21</f>
        <v>-161479731.44760534</v>
      </c>
      <c r="AC54" s="356"/>
      <c r="AD54" s="356"/>
      <c r="AE54" s="356"/>
      <c r="AF54" s="356"/>
      <c r="AG54" s="356"/>
      <c r="AH54" s="356"/>
      <c r="AI54" s="356"/>
      <c r="AJ54" s="356"/>
      <c r="AK54" s="356"/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>
        <f>'SEF-32 pg 35-45'!AO18</f>
        <v>-4539303</v>
      </c>
      <c r="AX54" s="356"/>
      <c r="AY54" s="356"/>
      <c r="AZ54" s="356">
        <f>+'SEF-32 pg 35-45'!CQ18</f>
        <v>-341605.68000000005</v>
      </c>
      <c r="BA54" s="356"/>
      <c r="BB54" s="356">
        <f>'SEF-32 pg 35-45'!EA51</f>
        <v>-531269628.93000001</v>
      </c>
      <c r="BC54" s="356">
        <f>'SEF-32 pg 35-45'!ES23</f>
        <v>0</v>
      </c>
      <c r="BD54" s="356">
        <f>'SEF-32 pg 35-45'!FK29</f>
        <v>-550705.2458244093</v>
      </c>
      <c r="BE54" s="356">
        <f>'SEF-32 pg 35-45'!GC22</f>
        <v>0</v>
      </c>
      <c r="BF54" s="356"/>
      <c r="BG54" s="366">
        <f t="shared" ref="BG54:BG59" si="13">SUM(E54:BF54)</f>
        <v>-632016687.04188466</v>
      </c>
      <c r="BH54" s="366">
        <f t="shared" ref="BH54:BH59" si="14">+BG54+D54</f>
        <v>11193108106.166798</v>
      </c>
      <c r="BI54" s="82"/>
      <c r="BJ54" s="356"/>
      <c r="BK54" s="82"/>
    </row>
    <row r="55" spans="1:74" outlineLevel="1" x14ac:dyDescent="0.25">
      <c r="A55" s="317">
        <f t="shared" si="0"/>
        <v>41</v>
      </c>
      <c r="B55" s="384" t="s">
        <v>113</v>
      </c>
      <c r="C55" s="350" t="s">
        <v>143</v>
      </c>
      <c r="D55" s="1260">
        <v>-5578520718.5254803</v>
      </c>
      <c r="E55" s="385"/>
      <c r="F55" s="385"/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>
        <f>'SEF-32 pg 1-34, 46'!LO17</f>
        <v>-55333202.814609528</v>
      </c>
      <c r="X55" s="385">
        <f>'SEF-32 pg 1-34, 46'!MG34</f>
        <v>3988422.8500199127</v>
      </c>
      <c r="Y55" s="385"/>
      <c r="Z55" s="385"/>
      <c r="AA55" s="385">
        <f>'SEF-32 pg 1-34, 46'!OI19</f>
        <v>0</v>
      </c>
      <c r="AB55" s="385">
        <f>+'SEF-32 pg 1-34, 46'!PA27</f>
        <v>26856211.233735442</v>
      </c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5"/>
      <c r="AW55" s="385">
        <f>'SEF-32 pg 35-45'!AO19</f>
        <v>2970263</v>
      </c>
      <c r="AX55" s="385"/>
      <c r="AY55" s="385"/>
      <c r="AZ55" s="385">
        <f>+'SEF-32 pg 35-45'!CQ19</f>
        <v>241970.68999999992</v>
      </c>
      <c r="BA55" s="385"/>
      <c r="BB55" s="385">
        <f>'SEF-32 pg 35-45'!EA52</f>
        <v>500301770.78990686</v>
      </c>
      <c r="BC55" s="385">
        <f>'SEF-32 pg 35-45'!ES29</f>
        <v>0</v>
      </c>
      <c r="BD55" s="385">
        <f>'SEF-32 pg 35-45'!FK30</f>
        <v>12221.556479276669</v>
      </c>
      <c r="BE55" s="385">
        <f>'SEF-32 pg 35-45'!GC26</f>
        <v>0</v>
      </c>
      <c r="BF55" s="385"/>
      <c r="BG55" s="357">
        <f t="shared" si="13"/>
        <v>479037657.30553198</v>
      </c>
      <c r="BH55" s="357">
        <f t="shared" si="14"/>
        <v>-5099483061.2199478</v>
      </c>
      <c r="BI55" s="82"/>
      <c r="BJ55" s="356"/>
      <c r="BK55" s="82"/>
    </row>
    <row r="56" spans="1:74" outlineLevel="1" x14ac:dyDescent="0.25">
      <c r="A56" s="317">
        <f t="shared" si="0"/>
        <v>42</v>
      </c>
      <c r="B56" s="365" t="s">
        <v>147</v>
      </c>
      <c r="C56" s="350" t="s">
        <v>143</v>
      </c>
      <c r="D56" s="1260">
        <v>456443722.27372909</v>
      </c>
      <c r="E56" s="385"/>
      <c r="F56" s="385"/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385">
        <f>'SEF-32 pg 1-34, 46'!LO18</f>
        <v>7014230.6262709498</v>
      </c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>
        <f>'SEF-32 pg 1-34, 46'!TY17</f>
        <v>0</v>
      </c>
      <c r="AM56" s="385"/>
      <c r="AN56" s="385"/>
      <c r="AO56" s="385"/>
      <c r="AP56" s="385"/>
      <c r="AQ56" s="385"/>
      <c r="AR56" s="385"/>
      <c r="AS56" s="385"/>
      <c r="AT56" s="385"/>
      <c r="AU56" s="385"/>
      <c r="AV56" s="385"/>
      <c r="AW56" s="385"/>
      <c r="AX56" s="385"/>
      <c r="AY56" s="385">
        <f>'SEF-32 pg 35-45'!BY36</f>
        <v>0</v>
      </c>
      <c r="AZ56" s="385"/>
      <c r="BA56" s="385"/>
      <c r="BB56" s="385">
        <f>'SEF-32 pg 35-45'!EA53</f>
        <v>140937658.44999999</v>
      </c>
      <c r="BC56" s="385"/>
      <c r="BD56" s="385">
        <f>'SEF-32 pg 35-45'!FK31</f>
        <v>0</v>
      </c>
      <c r="BE56" s="385"/>
      <c r="BF56" s="385"/>
      <c r="BG56" s="357">
        <f t="shared" si="13"/>
        <v>147951889.07627094</v>
      </c>
      <c r="BH56" s="357">
        <f t="shared" si="14"/>
        <v>604395611.35000002</v>
      </c>
      <c r="BI56" s="82"/>
      <c r="BJ56" s="356"/>
      <c r="BK56" s="82"/>
    </row>
    <row r="57" spans="1:74" outlineLevel="1" x14ac:dyDescent="0.25">
      <c r="A57" s="317">
        <f t="shared" si="0"/>
        <v>43</v>
      </c>
      <c r="B57" s="365" t="s">
        <v>148</v>
      </c>
      <c r="C57" s="350" t="s">
        <v>143</v>
      </c>
      <c r="D57" s="1260">
        <v>-1224323796.5601618</v>
      </c>
      <c r="E57" s="385"/>
      <c r="F57" s="385"/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>
        <f>'SEF-32 pg 1-34, 46'!LO19</f>
        <v>30080211.22532177</v>
      </c>
      <c r="X57" s="385">
        <f>'SEF-32 pg 1-34, 46'!MG35</f>
        <v>-837568.79850418167</v>
      </c>
      <c r="Y57" s="385"/>
      <c r="Z57" s="385"/>
      <c r="AA57" s="385">
        <f>'SEF-32 pg 1-34, 46'!OI20</f>
        <v>0</v>
      </c>
      <c r="AB57" s="385">
        <f>+'SEF-32 pg 1-34, 46'!PA33</f>
        <v>16839149.564886183</v>
      </c>
      <c r="AC57" s="385"/>
      <c r="AD57" s="385"/>
      <c r="AE57" s="385"/>
      <c r="AF57" s="385"/>
      <c r="AG57" s="385"/>
      <c r="AH57" s="385"/>
      <c r="AI57" s="385"/>
      <c r="AJ57" s="385"/>
      <c r="AK57" s="385"/>
      <c r="AL57" s="385">
        <f>'SEF-32 pg 1-34, 46'!TY18</f>
        <v>0</v>
      </c>
      <c r="AM57" s="385"/>
      <c r="AN57" s="385"/>
      <c r="AO57" s="385"/>
      <c r="AP57" s="385"/>
      <c r="AQ57" s="385"/>
      <c r="AR57" s="385"/>
      <c r="AS57" s="385"/>
      <c r="AT57" s="385"/>
      <c r="AU57" s="385"/>
      <c r="AV57" s="385"/>
      <c r="AW57" s="385">
        <f>'SEF-32 pg 35-45'!AO20</f>
        <v>447521.22770833335</v>
      </c>
      <c r="AX57" s="385"/>
      <c r="AY57" s="385">
        <f>'SEF-32 pg 35-45'!BY37</f>
        <v>0</v>
      </c>
      <c r="AZ57" s="385">
        <f>+'SEF-32 pg 35-45'!CQ20</f>
        <v>7472.624249999998</v>
      </c>
      <c r="BA57" s="385"/>
      <c r="BB57" s="385">
        <f>'SEF-32 pg 35-45'!EA54</f>
        <v>-9256294.7911672127</v>
      </c>
      <c r="BC57" s="385"/>
      <c r="BD57" s="385">
        <f>'SEF-32 pg 35-45'!FK32</f>
        <v>8109.0429588611114</v>
      </c>
      <c r="BE57" s="385">
        <f>'SEF-32 pg 35-45'!GC30</f>
        <v>0</v>
      </c>
      <c r="BF57" s="385"/>
      <c r="BG57" s="357">
        <f t="shared" si="13"/>
        <v>37288600.095453754</v>
      </c>
      <c r="BH57" s="357">
        <f t="shared" si="14"/>
        <v>-1187035196.4647081</v>
      </c>
      <c r="BI57" s="82"/>
      <c r="BJ57" s="356"/>
      <c r="BK57" s="82"/>
    </row>
    <row r="58" spans="1:74" outlineLevel="1" x14ac:dyDescent="0.25">
      <c r="A58" s="317">
        <f t="shared" si="0"/>
        <v>44</v>
      </c>
      <c r="B58" s="365" t="s">
        <v>149</v>
      </c>
      <c r="C58" s="350" t="s">
        <v>143</v>
      </c>
      <c r="D58" s="1268">
        <v>240993567.33373606</v>
      </c>
      <c r="E58" s="385"/>
      <c r="F58" s="385"/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>
        <f>'SEF-32 pg 1-34, 46'!LO20</f>
        <v>-18474761.505783617</v>
      </c>
      <c r="X58" s="385"/>
      <c r="Y58" s="385"/>
      <c r="Z58" s="385"/>
      <c r="AA58" s="385"/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5"/>
      <c r="AV58" s="385"/>
      <c r="AW58" s="385"/>
      <c r="AX58" s="385"/>
      <c r="AY58" s="385"/>
      <c r="AZ58" s="385"/>
      <c r="BA58" s="385"/>
      <c r="BB58" s="385"/>
      <c r="BC58" s="385"/>
      <c r="BD58" s="385"/>
      <c r="BE58" s="385"/>
      <c r="BF58" s="385"/>
      <c r="BG58" s="387">
        <f t="shared" si="13"/>
        <v>-18474761.505783617</v>
      </c>
      <c r="BH58" s="357">
        <f t="shared" si="14"/>
        <v>222518805.82795244</v>
      </c>
      <c r="BI58" s="82"/>
      <c r="BJ58" s="356"/>
      <c r="BK58" s="82"/>
    </row>
    <row r="59" spans="1:74" outlineLevel="1" x14ac:dyDescent="0.25">
      <c r="A59" s="317">
        <f t="shared" si="0"/>
        <v>45</v>
      </c>
      <c r="B59" s="365" t="s">
        <v>150</v>
      </c>
      <c r="C59" s="350" t="s">
        <v>143</v>
      </c>
      <c r="D59" s="1260">
        <v>-135953118.1016821</v>
      </c>
      <c r="E59" s="385"/>
      <c r="F59" s="385"/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385">
        <f>'SEF-32 pg 1-34, 46'!LO21</f>
        <v>-6040411.6689128876</v>
      </c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5"/>
      <c r="AW59" s="385"/>
      <c r="AX59" s="385"/>
      <c r="AY59" s="385"/>
      <c r="AZ59" s="385"/>
      <c r="BA59" s="385"/>
      <c r="BB59" s="385"/>
      <c r="BC59" s="385"/>
      <c r="BD59" s="385"/>
      <c r="BE59" s="385"/>
      <c r="BF59" s="385"/>
      <c r="BG59" s="357">
        <f t="shared" si="13"/>
        <v>-6040411.6689128876</v>
      </c>
      <c r="BH59" s="357">
        <f t="shared" si="14"/>
        <v>-141993529.77059498</v>
      </c>
      <c r="BI59" s="82"/>
      <c r="BJ59" s="356"/>
      <c r="BK59" s="82"/>
    </row>
    <row r="60" spans="1:74" ht="15.75" outlineLevel="1" thickBot="1" x14ac:dyDescent="0.3">
      <c r="A60" s="317">
        <f t="shared" si="0"/>
        <v>46</v>
      </c>
      <c r="B60" s="365" t="s">
        <v>118</v>
      </c>
      <c r="C60" s="350" t="s">
        <v>143</v>
      </c>
      <c r="D60" s="1269">
        <f t="shared" ref="D60:BH60" si="15">SUM(D54:D59)</f>
        <v>5583764449.6288252</v>
      </c>
      <c r="E60" s="389">
        <f t="shared" si="15"/>
        <v>0</v>
      </c>
      <c r="F60" s="389">
        <f t="shared" si="15"/>
        <v>0</v>
      </c>
      <c r="G60" s="389">
        <f t="shared" si="15"/>
        <v>0</v>
      </c>
      <c r="H60" s="389">
        <f t="shared" si="15"/>
        <v>0</v>
      </c>
      <c r="I60" s="389">
        <f t="shared" si="15"/>
        <v>0</v>
      </c>
      <c r="J60" s="389">
        <f t="shared" si="15"/>
        <v>0</v>
      </c>
      <c r="K60" s="389">
        <f t="shared" si="15"/>
        <v>0</v>
      </c>
      <c r="L60" s="389">
        <f t="shared" si="15"/>
        <v>0</v>
      </c>
      <c r="M60" s="389">
        <f t="shared" si="15"/>
        <v>0</v>
      </c>
      <c r="N60" s="389">
        <f t="shared" si="15"/>
        <v>0</v>
      </c>
      <c r="O60" s="389">
        <f t="shared" si="15"/>
        <v>0</v>
      </c>
      <c r="P60" s="389">
        <f t="shared" si="15"/>
        <v>0</v>
      </c>
      <c r="Q60" s="389">
        <f t="shared" si="15"/>
        <v>0</v>
      </c>
      <c r="R60" s="389">
        <f t="shared" si="15"/>
        <v>0</v>
      </c>
      <c r="S60" s="389">
        <f t="shared" si="15"/>
        <v>0</v>
      </c>
      <c r="T60" s="389">
        <f t="shared" si="15"/>
        <v>0</v>
      </c>
      <c r="U60" s="389">
        <f t="shared" si="15"/>
        <v>0</v>
      </c>
      <c r="V60" s="389">
        <f t="shared" si="15"/>
        <v>0</v>
      </c>
      <c r="W60" s="389">
        <f t="shared" si="15"/>
        <v>23410353.123831868</v>
      </c>
      <c r="X60" s="389">
        <f t="shared" si="15"/>
        <v>3150854.051515731</v>
      </c>
      <c r="Y60" s="389">
        <f>SUM(Y54:Y59)</f>
        <v>0</v>
      </c>
      <c r="Z60" s="389">
        <f t="shared" si="15"/>
        <v>0</v>
      </c>
      <c r="AA60" s="389">
        <f t="shared" si="15"/>
        <v>0</v>
      </c>
      <c r="AB60" s="389">
        <f t="shared" si="15"/>
        <v>-117784370.64898372</v>
      </c>
      <c r="AC60" s="389">
        <f t="shared" si="15"/>
        <v>0</v>
      </c>
      <c r="AD60" s="389">
        <f t="shared" si="15"/>
        <v>0</v>
      </c>
      <c r="AE60" s="389">
        <f t="shared" si="15"/>
        <v>0</v>
      </c>
      <c r="AF60" s="389">
        <f t="shared" si="15"/>
        <v>0</v>
      </c>
      <c r="AG60" s="389">
        <f t="shared" si="15"/>
        <v>0</v>
      </c>
      <c r="AH60" s="389">
        <f t="shared" si="15"/>
        <v>0</v>
      </c>
      <c r="AI60" s="389">
        <f t="shared" si="15"/>
        <v>0</v>
      </c>
      <c r="AJ60" s="389">
        <f t="shared" si="15"/>
        <v>0</v>
      </c>
      <c r="AK60" s="389">
        <f t="shared" si="15"/>
        <v>0</v>
      </c>
      <c r="AL60" s="389">
        <f t="shared" si="15"/>
        <v>0</v>
      </c>
      <c r="AM60" s="389">
        <f t="shared" si="15"/>
        <v>0</v>
      </c>
      <c r="AN60" s="389">
        <f t="shared" si="15"/>
        <v>0</v>
      </c>
      <c r="AO60" s="389">
        <f t="shared" si="15"/>
        <v>0</v>
      </c>
      <c r="AP60" s="389">
        <f t="shared" si="15"/>
        <v>0</v>
      </c>
      <c r="AQ60" s="389">
        <f t="shared" si="15"/>
        <v>0</v>
      </c>
      <c r="AR60" s="389">
        <f t="shared" si="15"/>
        <v>0</v>
      </c>
      <c r="AS60" s="389">
        <f t="shared" si="15"/>
        <v>0</v>
      </c>
      <c r="AT60" s="389">
        <f t="shared" si="15"/>
        <v>0</v>
      </c>
      <c r="AU60" s="389">
        <f t="shared" si="15"/>
        <v>0</v>
      </c>
      <c r="AV60" s="389">
        <f t="shared" si="15"/>
        <v>0</v>
      </c>
      <c r="AW60" s="389">
        <f t="shared" si="15"/>
        <v>-1121518.7722916666</v>
      </c>
      <c r="AX60" s="389">
        <f t="shared" si="15"/>
        <v>0</v>
      </c>
      <c r="AY60" s="389">
        <f t="shared" si="15"/>
        <v>0</v>
      </c>
      <c r="AZ60" s="389">
        <f t="shared" si="15"/>
        <v>-92162.365750000143</v>
      </c>
      <c r="BA60" s="389">
        <f t="shared" si="15"/>
        <v>0</v>
      </c>
      <c r="BB60" s="389">
        <f t="shared" si="15"/>
        <v>100713505.51873963</v>
      </c>
      <c r="BC60" s="389">
        <f t="shared" si="15"/>
        <v>0</v>
      </c>
      <c r="BD60" s="389">
        <f t="shared" si="15"/>
        <v>-530374.64638627158</v>
      </c>
      <c r="BE60" s="389">
        <f>SUM(BE54:BE59)</f>
        <v>0</v>
      </c>
      <c r="BF60" s="389">
        <f t="shared" si="15"/>
        <v>0</v>
      </c>
      <c r="BG60" s="388">
        <f t="shared" si="15"/>
        <v>7746286.2606755048</v>
      </c>
      <c r="BH60" s="388">
        <f t="shared" si="15"/>
        <v>5591510735.8894997</v>
      </c>
      <c r="BI60" s="82"/>
      <c r="BJ60" s="356"/>
      <c r="BK60" s="82"/>
    </row>
    <row r="61" spans="1:74" ht="15.75" outlineLevel="1" thickTop="1" x14ac:dyDescent="0.25">
      <c r="A61" s="317">
        <f t="shared" si="0"/>
        <v>47</v>
      </c>
      <c r="C61" s="350" t="s">
        <v>143</v>
      </c>
      <c r="D61" s="1258"/>
      <c r="H61" s="317" t="s">
        <v>151</v>
      </c>
      <c r="BG61" s="351"/>
      <c r="BH61" s="351"/>
      <c r="BI61" s="82"/>
      <c r="BJ61" s="356"/>
      <c r="BK61" s="82"/>
    </row>
    <row r="62" spans="1:74" outlineLevel="1" x14ac:dyDescent="0.25">
      <c r="A62" s="317">
        <f t="shared" si="0"/>
        <v>48</v>
      </c>
      <c r="B62" s="365" t="s">
        <v>119</v>
      </c>
      <c r="C62" s="350" t="s">
        <v>143</v>
      </c>
      <c r="D62" s="1270">
        <f>+'SEF-29 pg 1-2'!$C$13</f>
        <v>7.6499999999999999E-2</v>
      </c>
      <c r="E62" s="80">
        <f>+'SEF-29 pg 1-2'!$C$13</f>
        <v>7.6499999999999999E-2</v>
      </c>
      <c r="F62" s="80">
        <f>+'SEF-29 pg 1-2'!$C$13</f>
        <v>7.6499999999999999E-2</v>
      </c>
      <c r="G62" s="80">
        <f>+'SEF-29 pg 1-2'!$C$13</f>
        <v>7.6499999999999999E-2</v>
      </c>
      <c r="H62" s="80"/>
      <c r="I62" s="80">
        <f>+'SEF-29 pg 1-2'!$C$13</f>
        <v>7.6499999999999999E-2</v>
      </c>
      <c r="J62" s="80">
        <f>+'SEF-29 pg 1-2'!$C$13</f>
        <v>7.6499999999999999E-2</v>
      </c>
      <c r="K62" s="80">
        <f>+'SEF-29 pg 1-2'!$C$13</f>
        <v>7.6499999999999999E-2</v>
      </c>
      <c r="L62" s="80">
        <f>+'SEF-29 pg 1-2'!$C$13</f>
        <v>7.6499999999999999E-2</v>
      </c>
      <c r="M62" s="80">
        <f>+'SEF-29 pg 1-2'!$C$13</f>
        <v>7.6499999999999999E-2</v>
      </c>
      <c r="N62" s="80">
        <f>+'SEF-29 pg 1-2'!$C$13</f>
        <v>7.6499999999999999E-2</v>
      </c>
      <c r="O62" s="80">
        <f>+'SEF-29 pg 1-2'!$C$13</f>
        <v>7.6499999999999999E-2</v>
      </c>
      <c r="P62" s="80">
        <f>+'SEF-29 pg 1-2'!$C$13</f>
        <v>7.6499999999999999E-2</v>
      </c>
      <c r="Q62" s="80">
        <f>+'SEF-29 pg 1-2'!$C$13</f>
        <v>7.6499999999999999E-2</v>
      </c>
      <c r="R62" s="80">
        <f>+'SEF-29 pg 1-2'!$C$13</f>
        <v>7.6499999999999999E-2</v>
      </c>
      <c r="S62" s="80">
        <f>+'SEF-29 pg 1-2'!$C$13</f>
        <v>7.6499999999999999E-2</v>
      </c>
      <c r="T62" s="80">
        <f>+'SEF-29 pg 1-2'!$C$13</f>
        <v>7.6499999999999999E-2</v>
      </c>
      <c r="U62" s="80">
        <f>+'SEF-29 pg 1-2'!$C$13</f>
        <v>7.6499999999999999E-2</v>
      </c>
      <c r="V62" s="80">
        <f>+'SEF-29 pg 1-2'!$C$13</f>
        <v>7.6499999999999999E-2</v>
      </c>
      <c r="W62" s="80">
        <f>+'SEF-29 pg 1-2'!$C$13</f>
        <v>7.6499999999999999E-2</v>
      </c>
      <c r="X62" s="80">
        <f>+'SEF-29 pg 1-2'!$C$13</f>
        <v>7.6499999999999999E-2</v>
      </c>
      <c r="Y62" s="80">
        <f>+'SEF-29 pg 1-2'!$C$13</f>
        <v>7.6499999999999999E-2</v>
      </c>
      <c r="Z62" s="80">
        <f>+'SEF-29 pg 1-2'!$C$13</f>
        <v>7.6499999999999999E-2</v>
      </c>
      <c r="AA62" s="80">
        <f>+'SEF-29 pg 1-2'!$C$13</f>
        <v>7.6499999999999999E-2</v>
      </c>
      <c r="AB62" s="80">
        <f>+'SEF-29 pg 1-2'!$C$13</f>
        <v>7.6499999999999999E-2</v>
      </c>
      <c r="AC62" s="80">
        <f>+'SEF-29 pg 1-2'!$C$13</f>
        <v>7.6499999999999999E-2</v>
      </c>
      <c r="AD62" s="80">
        <f>+'SEF-29 pg 1-2'!$C$13</f>
        <v>7.6499999999999999E-2</v>
      </c>
      <c r="AE62" s="80">
        <f>+'SEF-29 pg 1-2'!$C$13</f>
        <v>7.6499999999999999E-2</v>
      </c>
      <c r="AF62" s="80">
        <f>+'SEF-29 pg 1-2'!$C$13</f>
        <v>7.6499999999999999E-2</v>
      </c>
      <c r="AG62" s="80">
        <f>+'SEF-29 pg 1-2'!$C$13</f>
        <v>7.6499999999999999E-2</v>
      </c>
      <c r="AH62" s="80">
        <f>+'SEF-29 pg 1-2'!$C$13</f>
        <v>7.6499999999999999E-2</v>
      </c>
      <c r="AI62" s="80">
        <f>+'SEF-29 pg 1-2'!$C$13</f>
        <v>7.6499999999999999E-2</v>
      </c>
      <c r="AJ62" s="80">
        <f>+'SEF-29 pg 1-2'!$C$13</f>
        <v>7.6499999999999999E-2</v>
      </c>
      <c r="AK62" s="80">
        <f>+'SEF-29 pg 1-2'!$C$13</f>
        <v>7.6499999999999999E-2</v>
      </c>
      <c r="AL62" s="80">
        <f>+'SEF-29 pg 1-2'!$C$13</f>
        <v>7.6499999999999999E-2</v>
      </c>
      <c r="AM62" s="80">
        <f>+'SEF-29 pg 1-2'!$C$13</f>
        <v>7.6499999999999999E-2</v>
      </c>
      <c r="AN62" s="80">
        <f>+'SEF-29 pg 1-2'!$C$13</f>
        <v>7.6499999999999999E-2</v>
      </c>
      <c r="AO62" s="80">
        <f>+'SEF-29 pg 1-2'!$C$13</f>
        <v>7.6499999999999999E-2</v>
      </c>
      <c r="AP62" s="80">
        <f>+'SEF-29 pg 1-2'!$C$13</f>
        <v>7.6499999999999999E-2</v>
      </c>
      <c r="AQ62" s="80">
        <f>+'SEF-29 pg 1-2'!$C$13</f>
        <v>7.6499999999999999E-2</v>
      </c>
      <c r="AR62" s="80">
        <f>+'SEF-29 pg 1-2'!$C$13</f>
        <v>7.6499999999999999E-2</v>
      </c>
      <c r="AS62" s="80">
        <f>+'SEF-29 pg 1-2'!$C$13</f>
        <v>7.6499999999999999E-2</v>
      </c>
      <c r="AT62" s="80">
        <f>+'SEF-29 pg 1-2'!$C$13</f>
        <v>7.6499999999999999E-2</v>
      </c>
      <c r="AU62" s="80">
        <f>+'SEF-29 pg 1-2'!$C$13</f>
        <v>7.6499999999999999E-2</v>
      </c>
      <c r="AV62" s="80">
        <f>+'SEF-29 pg 1-2'!$C$13</f>
        <v>7.6499999999999999E-2</v>
      </c>
      <c r="AW62" s="80">
        <f>+'SEF-29 pg 1-2'!$C$13</f>
        <v>7.6499999999999999E-2</v>
      </c>
      <c r="AX62" s="80">
        <f>+'SEF-29 pg 1-2'!$C$13</f>
        <v>7.6499999999999999E-2</v>
      </c>
      <c r="AY62" s="80">
        <f>+'SEF-29 pg 1-2'!$C$13</f>
        <v>7.6499999999999999E-2</v>
      </c>
      <c r="AZ62" s="80">
        <f>+'SEF-29 pg 1-2'!$C$13</f>
        <v>7.6499999999999999E-2</v>
      </c>
      <c r="BA62" s="80">
        <f>+'SEF-29 pg 1-2'!$C$13</f>
        <v>7.6499999999999999E-2</v>
      </c>
      <c r="BB62" s="80">
        <f>+'SEF-29 pg 1-2'!$C$13</f>
        <v>7.6499999999999999E-2</v>
      </c>
      <c r="BC62" s="80">
        <f>+'SEF-29 pg 1-2'!$C$13</f>
        <v>7.6499999999999999E-2</v>
      </c>
      <c r="BD62" s="80">
        <f>+'SEF-29 pg 1-2'!$C$13</f>
        <v>7.6499999999999999E-2</v>
      </c>
      <c r="BE62" s="80">
        <f>+'SEF-29 pg 1-2'!$C$13</f>
        <v>7.6499999999999999E-2</v>
      </c>
      <c r="BF62" s="80">
        <f>+'SEF-29 pg 1-2'!$C$13</f>
        <v>7.6499999999999999E-2</v>
      </c>
      <c r="BG62" s="81">
        <f>+'SEF-29 pg 1-2'!$C$13</f>
        <v>7.6499999999999999E-2</v>
      </c>
      <c r="BH62" s="81">
        <f>+'SEF-29 pg 1-2'!$C$13</f>
        <v>7.6499999999999999E-2</v>
      </c>
      <c r="BI62" s="82"/>
      <c r="BJ62" s="356"/>
      <c r="BK62" s="82"/>
    </row>
    <row r="63" spans="1:74" outlineLevel="1" x14ac:dyDescent="0.25">
      <c r="A63" s="317">
        <f t="shared" si="0"/>
        <v>49</v>
      </c>
      <c r="B63" s="365" t="s">
        <v>3</v>
      </c>
      <c r="C63" s="350" t="s">
        <v>143</v>
      </c>
      <c r="D63" s="1271">
        <f>+'SEF-31'!$E$20</f>
        <v>0.75052300000000005</v>
      </c>
      <c r="E63" s="391">
        <f>+'SEF-31'!$E$20</f>
        <v>0.75052300000000005</v>
      </c>
      <c r="F63" s="391">
        <f>+'SEF-31'!$E$20</f>
        <v>0.75052300000000005</v>
      </c>
      <c r="G63" s="391">
        <f>+'SEF-31'!$E$20</f>
        <v>0.75052300000000005</v>
      </c>
      <c r="H63" s="391">
        <f>+'SEF-31'!$E$20</f>
        <v>0.75052300000000005</v>
      </c>
      <c r="I63" s="391">
        <f>+'SEF-31'!$E$20</f>
        <v>0.75052300000000005</v>
      </c>
      <c r="J63" s="391">
        <f>+'SEF-31'!$E$20</f>
        <v>0.75052300000000005</v>
      </c>
      <c r="K63" s="391">
        <f>+'SEF-31'!$E$20</f>
        <v>0.75052300000000005</v>
      </c>
      <c r="L63" s="391">
        <f>+'SEF-31'!$E$20</f>
        <v>0.75052300000000005</v>
      </c>
      <c r="M63" s="391">
        <f>+'SEF-31'!$E$20</f>
        <v>0.75052300000000005</v>
      </c>
      <c r="N63" s="391">
        <f>+'SEF-31'!$E$20</f>
        <v>0.75052300000000005</v>
      </c>
      <c r="O63" s="391">
        <f>+'SEF-31'!$E$20</f>
        <v>0.75052300000000005</v>
      </c>
      <c r="P63" s="391">
        <f>+'SEF-31'!$E$20</f>
        <v>0.75052300000000005</v>
      </c>
      <c r="Q63" s="391">
        <f>+'SEF-31'!$E$20</f>
        <v>0.75052300000000005</v>
      </c>
      <c r="R63" s="391">
        <f>+'SEF-31'!$E$20</f>
        <v>0.75052300000000005</v>
      </c>
      <c r="S63" s="391">
        <f>+'SEF-31'!$E$20</f>
        <v>0.75052300000000005</v>
      </c>
      <c r="T63" s="391">
        <f>+'SEF-31'!$E$20</f>
        <v>0.75052300000000005</v>
      </c>
      <c r="U63" s="391">
        <f>+'SEF-31'!$E$20</f>
        <v>0.75052300000000005</v>
      </c>
      <c r="V63" s="391">
        <f>+'SEF-31'!$E$20</f>
        <v>0.75052300000000005</v>
      </c>
      <c r="W63" s="391">
        <f>+'SEF-31'!$E$20</f>
        <v>0.75052300000000005</v>
      </c>
      <c r="X63" s="391">
        <f>+'SEF-31'!$E$20</f>
        <v>0.75052300000000005</v>
      </c>
      <c r="Y63" s="391">
        <f>+'SEF-31'!$E$20</f>
        <v>0.75052300000000005</v>
      </c>
      <c r="Z63" s="391">
        <f>+'SEF-31'!$E$20</f>
        <v>0.75052300000000005</v>
      </c>
      <c r="AA63" s="391">
        <f>+'SEF-31'!$E$20</f>
        <v>0.75052300000000005</v>
      </c>
      <c r="AB63" s="391">
        <f>+'SEF-31'!$E$20</f>
        <v>0.75052300000000005</v>
      </c>
      <c r="AC63" s="391">
        <f>+'SEF-31'!$E$20</f>
        <v>0.75052300000000005</v>
      </c>
      <c r="AD63" s="391">
        <f>+'SEF-31'!$E$20</f>
        <v>0.75052300000000005</v>
      </c>
      <c r="AE63" s="391">
        <f>+'SEF-31'!$E$20</f>
        <v>0.75052300000000005</v>
      </c>
      <c r="AF63" s="391">
        <f>+'SEF-31'!$E$20</f>
        <v>0.75052300000000005</v>
      </c>
      <c r="AG63" s="391">
        <f>+'SEF-31'!$E$20</f>
        <v>0.75052300000000005</v>
      </c>
      <c r="AH63" s="391">
        <f>+'SEF-31'!$E$20</f>
        <v>0.75052300000000005</v>
      </c>
      <c r="AI63" s="391">
        <f>+'SEF-31'!$E$20</f>
        <v>0.75052300000000005</v>
      </c>
      <c r="AJ63" s="391">
        <f>+'SEF-31'!$E$20</f>
        <v>0.75052300000000005</v>
      </c>
      <c r="AK63" s="391">
        <f>+'SEF-31'!$E$20</f>
        <v>0.75052300000000005</v>
      </c>
      <c r="AL63" s="391">
        <f>+'SEF-31'!$E$20</f>
        <v>0.75052300000000005</v>
      </c>
      <c r="AM63" s="391">
        <f>+'SEF-31'!$E$20</f>
        <v>0.75052300000000005</v>
      </c>
      <c r="AN63" s="391">
        <f>+'SEF-31'!$E$20</f>
        <v>0.75052300000000005</v>
      </c>
      <c r="AO63" s="391">
        <f>+'SEF-31'!$E$20</f>
        <v>0.75052300000000005</v>
      </c>
      <c r="AP63" s="391">
        <f>+'SEF-31'!$E$20</f>
        <v>0.75052300000000005</v>
      </c>
      <c r="AQ63" s="391">
        <f>+'SEF-31'!$E$20</f>
        <v>0.75052300000000005</v>
      </c>
      <c r="AR63" s="391">
        <f>+'SEF-31'!$E$20</f>
        <v>0.75052300000000005</v>
      </c>
      <c r="AS63" s="391">
        <f>+'SEF-31'!$E$20</f>
        <v>0.75052300000000005</v>
      </c>
      <c r="AT63" s="391">
        <f>+'SEF-31'!$E$20</f>
        <v>0.75052300000000005</v>
      </c>
      <c r="AU63" s="391">
        <f>+'SEF-31'!$E$20</f>
        <v>0.75052300000000005</v>
      </c>
      <c r="AV63" s="391">
        <f>+'SEF-31'!$E$20</f>
        <v>0.75052300000000005</v>
      </c>
      <c r="AW63" s="391">
        <f>+'SEF-31'!$E$20</f>
        <v>0.75052300000000005</v>
      </c>
      <c r="AX63" s="391">
        <f>+'SEF-31'!$E$20</f>
        <v>0.75052300000000005</v>
      </c>
      <c r="AY63" s="391">
        <f>+'SEF-31'!$E$20</f>
        <v>0.75052300000000005</v>
      </c>
      <c r="AZ63" s="391">
        <f>+'SEF-31'!$E$20</f>
        <v>0.75052300000000005</v>
      </c>
      <c r="BA63" s="391">
        <f>+'SEF-31'!$E$20</f>
        <v>0.75052300000000005</v>
      </c>
      <c r="BB63" s="391">
        <f>+'SEF-31'!$E$20</f>
        <v>0.75052300000000005</v>
      </c>
      <c r="BC63" s="391">
        <f>+'SEF-31'!$E$20</f>
        <v>0.75052300000000005</v>
      </c>
      <c r="BD63" s="391">
        <f>+'SEF-31'!$E$20</f>
        <v>0.75052300000000005</v>
      </c>
      <c r="BE63" s="391">
        <f>+'SEF-31'!$E$20</f>
        <v>0.75052300000000005</v>
      </c>
      <c r="BF63" s="391">
        <f>+'SEF-31'!$E$20</f>
        <v>0.75052300000000005</v>
      </c>
      <c r="BG63" s="390">
        <f>+'SEF-31'!$E$20</f>
        <v>0.75052300000000005</v>
      </c>
      <c r="BH63" s="390">
        <f>+'SEF-31'!$E$20</f>
        <v>0.75052300000000005</v>
      </c>
      <c r="BI63" s="82"/>
      <c r="BJ63" s="356"/>
      <c r="BK63" s="82"/>
    </row>
    <row r="64" spans="1:74" outlineLevel="1" x14ac:dyDescent="0.25">
      <c r="A64" s="317">
        <f t="shared" si="0"/>
        <v>50</v>
      </c>
      <c r="B64" s="365" t="s">
        <v>152</v>
      </c>
      <c r="C64" s="350" t="s">
        <v>143</v>
      </c>
      <c r="D64" s="1260">
        <f>+D47-(D60*D62)</f>
        <v>-115429565.10660517</v>
      </c>
      <c r="E64" s="392">
        <f t="shared" ref="E64:BF64" si="16">+E47-(E60*E62)</f>
        <v>75591217.506147563</v>
      </c>
      <c r="F64" s="392">
        <f t="shared" si="16"/>
        <v>-121458.45224589109</v>
      </c>
      <c r="G64" s="392">
        <f t="shared" si="16"/>
        <v>-45679111.89642968</v>
      </c>
      <c r="H64" s="382">
        <f t="shared" si="16"/>
        <v>2711360.7719267979</v>
      </c>
      <c r="I64" s="382">
        <f t="shared" si="16"/>
        <v>30881913.7943177</v>
      </c>
      <c r="J64" s="382">
        <f t="shared" si="16"/>
        <v>359714.48081359779</v>
      </c>
      <c r="K64" s="382">
        <f t="shared" si="16"/>
        <v>179028.76622970021</v>
      </c>
      <c r="L64" s="382">
        <f t="shared" si="16"/>
        <v>-21645.139784809799</v>
      </c>
      <c r="M64" s="382">
        <f t="shared" si="16"/>
        <v>35900.509910939894</v>
      </c>
      <c r="N64" s="382">
        <f t="shared" si="16"/>
        <v>131970.01726178749</v>
      </c>
      <c r="O64" s="382">
        <f t="shared" si="16"/>
        <v>3219883.4385292572</v>
      </c>
      <c r="P64" s="382">
        <f t="shared" si="16"/>
        <v>-397201.36744354269</v>
      </c>
      <c r="Q64" s="382">
        <f t="shared" si="16"/>
        <v>-131317.93692733094</v>
      </c>
      <c r="R64" s="382">
        <f t="shared" si="16"/>
        <v>-818378.23092293227</v>
      </c>
      <c r="S64" s="382">
        <f t="shared" si="16"/>
        <v>-1161336.9166999999</v>
      </c>
      <c r="T64" s="382">
        <f t="shared" si="16"/>
        <v>18267.632184394755</v>
      </c>
      <c r="U64" s="382">
        <f t="shared" si="16"/>
        <v>-2936475.9187557171</v>
      </c>
      <c r="V64" s="382">
        <f t="shared" si="16"/>
        <v>-6595418.7965601254</v>
      </c>
      <c r="W64" s="382">
        <f t="shared" si="16"/>
        <v>-1790892.0139731378</v>
      </c>
      <c r="X64" s="382">
        <f t="shared" si="16"/>
        <v>2909813.716574776</v>
      </c>
      <c r="Y64" s="392">
        <f t="shared" si="16"/>
        <v>-2412351.6838164986</v>
      </c>
      <c r="Z64" s="382">
        <f t="shared" si="16"/>
        <v>0</v>
      </c>
      <c r="AA64" s="382">
        <f t="shared" si="16"/>
        <v>0</v>
      </c>
      <c r="AB64" s="392">
        <f t="shared" si="16"/>
        <v>3210902.6622787686</v>
      </c>
      <c r="AC64" s="382">
        <f t="shared" si="16"/>
        <v>-42170.084930424709</v>
      </c>
      <c r="AD64" s="382">
        <f t="shared" si="16"/>
        <v>0</v>
      </c>
      <c r="AE64" s="382">
        <f t="shared" si="16"/>
        <v>0</v>
      </c>
      <c r="AF64" s="382">
        <f t="shared" si="16"/>
        <v>0</v>
      </c>
      <c r="AG64" s="382">
        <f t="shared" si="16"/>
        <v>0</v>
      </c>
      <c r="AH64" s="382">
        <f t="shared" si="16"/>
        <v>0</v>
      </c>
      <c r="AI64" s="382">
        <f t="shared" si="16"/>
        <v>0</v>
      </c>
      <c r="AJ64" s="382">
        <f t="shared" si="16"/>
        <v>0</v>
      </c>
      <c r="AK64" s="392">
        <f t="shared" si="16"/>
        <v>-74914559.225866452</v>
      </c>
      <c r="AL64" s="382">
        <f t="shared" si="16"/>
        <v>-4296288.3866999997</v>
      </c>
      <c r="AM64" s="382">
        <f t="shared" si="16"/>
        <v>101020.46</v>
      </c>
      <c r="AN64" s="382">
        <f t="shared" si="16"/>
        <v>-109575.52009999999</v>
      </c>
      <c r="AO64" s="382">
        <f t="shared" si="16"/>
        <v>0</v>
      </c>
      <c r="AP64" s="382">
        <f t="shared" si="16"/>
        <v>0</v>
      </c>
      <c r="AQ64" s="382">
        <f t="shared" si="16"/>
        <v>0</v>
      </c>
      <c r="AR64" s="382">
        <f t="shared" si="16"/>
        <v>0</v>
      </c>
      <c r="AS64" s="382">
        <f t="shared" si="16"/>
        <v>0</v>
      </c>
      <c r="AT64" s="382">
        <f t="shared" si="16"/>
        <v>0</v>
      </c>
      <c r="AU64" s="382">
        <f t="shared" si="16"/>
        <v>0</v>
      </c>
      <c r="AV64" s="382">
        <f t="shared" si="16"/>
        <v>902858.30223612313</v>
      </c>
      <c r="AW64" s="382">
        <f t="shared" si="16"/>
        <v>259253.32608031249</v>
      </c>
      <c r="AX64" s="382">
        <f t="shared" si="16"/>
        <v>-1159982.6275999988</v>
      </c>
      <c r="AY64" s="382">
        <f t="shared" si="16"/>
        <v>0</v>
      </c>
      <c r="AZ64" s="382">
        <f t="shared" si="16"/>
        <v>100277.183379875</v>
      </c>
      <c r="BA64" s="382">
        <f t="shared" si="16"/>
        <v>-5160771.7353853295</v>
      </c>
      <c r="BB64" s="392">
        <f t="shared" si="16"/>
        <v>20642644.379868515</v>
      </c>
      <c r="BC64" s="382">
        <f t="shared" si="16"/>
        <v>698603.46220001741</v>
      </c>
      <c r="BD64" s="392">
        <f t="shared" si="16"/>
        <v>39565.23085860721</v>
      </c>
      <c r="BE64" s="382">
        <f>+BE47-(BE60*BE62)</f>
        <v>0</v>
      </c>
      <c r="BF64" s="392">
        <f t="shared" si="16"/>
        <v>-1668807.7144438999</v>
      </c>
      <c r="BG64" s="371">
        <f>SUM(E64:BF64)</f>
        <v>-7423548.0077870376</v>
      </c>
      <c r="BH64" s="371">
        <f>+BH47-(BH60*BH62)</f>
        <v>-122853113.11439246</v>
      </c>
      <c r="BI64" s="82"/>
      <c r="BJ64" s="356"/>
      <c r="BK64" s="82"/>
    </row>
    <row r="65" spans="1:74" outlineLevel="1" x14ac:dyDescent="0.25">
      <c r="A65" s="317">
        <f t="shared" si="0"/>
        <v>51</v>
      </c>
      <c r="B65" s="365" t="s">
        <v>153</v>
      </c>
      <c r="C65" s="350" t="s">
        <v>143</v>
      </c>
      <c r="D65" s="1272">
        <f>-D64/D63</f>
        <v>153798837.75261405</v>
      </c>
      <c r="E65" s="392">
        <f t="shared" ref="E65:BF65" si="17">-E64/E63</f>
        <v>-100718055.95051391</v>
      </c>
      <c r="F65" s="392">
        <f t="shared" si="17"/>
        <v>161831.75231923751</v>
      </c>
      <c r="G65" s="392">
        <f t="shared" si="17"/>
        <v>60863040.701523706</v>
      </c>
      <c r="H65" s="392">
        <f t="shared" si="17"/>
        <v>-3612628.4896356245</v>
      </c>
      <c r="I65" s="392">
        <f t="shared" si="17"/>
        <v>-41147191.750709437</v>
      </c>
      <c r="J65" s="392">
        <f t="shared" si="17"/>
        <v>-479285.08628462791</v>
      </c>
      <c r="K65" s="392">
        <f t="shared" si="17"/>
        <v>-238538.68066628231</v>
      </c>
      <c r="L65" s="392">
        <f t="shared" si="17"/>
        <v>28840.075233949923</v>
      </c>
      <c r="M65" s="392">
        <f>-M64/M63</f>
        <v>-47833.990312008951</v>
      </c>
      <c r="N65" s="392">
        <f t="shared" si="17"/>
        <v>-175837.40573145324</v>
      </c>
      <c r="O65" s="392">
        <f>-O64/O63</f>
        <v>-4290186.2281758944</v>
      </c>
      <c r="P65" s="392">
        <f t="shared" si="17"/>
        <v>529232.77160532412</v>
      </c>
      <c r="Q65" s="392">
        <f t="shared" si="17"/>
        <v>174968.57115282401</v>
      </c>
      <c r="R65" s="392">
        <f t="shared" si="17"/>
        <v>1090410.5949090598</v>
      </c>
      <c r="S65" s="392">
        <f t="shared" si="17"/>
        <v>1547370.1894545534</v>
      </c>
      <c r="T65" s="392">
        <f t="shared" si="17"/>
        <v>-24339.869909909161</v>
      </c>
      <c r="U65" s="392">
        <f t="shared" si="17"/>
        <v>3912572.8575349683</v>
      </c>
      <c r="V65" s="392">
        <f t="shared" si="17"/>
        <v>8787763.7281737197</v>
      </c>
      <c r="W65" s="392">
        <f t="shared" si="17"/>
        <v>2386192.04737648</v>
      </c>
      <c r="X65" s="392">
        <f t="shared" si="17"/>
        <v>-3877048.0272753476</v>
      </c>
      <c r="Y65" s="392">
        <f t="shared" si="17"/>
        <v>3214227.5237620943</v>
      </c>
      <c r="Z65" s="382">
        <f t="shared" si="17"/>
        <v>0</v>
      </c>
      <c r="AA65" s="382">
        <f t="shared" si="17"/>
        <v>0</v>
      </c>
      <c r="AB65" s="392">
        <f t="shared" si="17"/>
        <v>-4278220.204149331</v>
      </c>
      <c r="AC65" s="392">
        <f t="shared" si="17"/>
        <v>56187.598421933384</v>
      </c>
      <c r="AD65" s="382">
        <f t="shared" si="17"/>
        <v>0</v>
      </c>
      <c r="AE65" s="382">
        <f t="shared" si="17"/>
        <v>0</v>
      </c>
      <c r="AF65" s="382">
        <f t="shared" si="17"/>
        <v>0</v>
      </c>
      <c r="AG65" s="382">
        <f t="shared" si="17"/>
        <v>0</v>
      </c>
      <c r="AH65" s="382">
        <f t="shared" si="17"/>
        <v>0</v>
      </c>
      <c r="AI65" s="382">
        <f t="shared" si="17"/>
        <v>0</v>
      </c>
      <c r="AJ65" s="382">
        <f t="shared" si="17"/>
        <v>0</v>
      </c>
      <c r="AK65" s="392">
        <f t="shared" si="17"/>
        <v>99816473.613555416</v>
      </c>
      <c r="AL65" s="392">
        <f>-AL64/AL63</f>
        <v>5724392.7057531876</v>
      </c>
      <c r="AM65" s="392">
        <f t="shared" si="17"/>
        <v>-134600.08554034986</v>
      </c>
      <c r="AN65" s="392">
        <f t="shared" si="17"/>
        <v>145998.88357851788</v>
      </c>
      <c r="AO65" s="382">
        <f t="shared" si="17"/>
        <v>0</v>
      </c>
      <c r="AP65" s="382">
        <f t="shared" si="17"/>
        <v>0</v>
      </c>
      <c r="AQ65" s="382">
        <f t="shared" si="17"/>
        <v>0</v>
      </c>
      <c r="AR65" s="382">
        <f t="shared" si="17"/>
        <v>0</v>
      </c>
      <c r="AS65" s="382">
        <f t="shared" si="17"/>
        <v>0</v>
      </c>
      <c r="AT65" s="382">
        <f t="shared" si="17"/>
        <v>0</v>
      </c>
      <c r="AU65" s="382">
        <f t="shared" si="17"/>
        <v>0</v>
      </c>
      <c r="AV65" s="392">
        <f t="shared" si="17"/>
        <v>-1202972.1970360975</v>
      </c>
      <c r="AW65" s="392">
        <f t="shared" si="17"/>
        <v>-345430.22143267089</v>
      </c>
      <c r="AX65" s="392">
        <f t="shared" si="17"/>
        <v>1545565.728965</v>
      </c>
      <c r="AY65" s="382">
        <f t="shared" si="17"/>
        <v>0</v>
      </c>
      <c r="AZ65" s="392">
        <f t="shared" si="17"/>
        <v>-133609.74064735524</v>
      </c>
      <c r="BA65" s="392">
        <f t="shared" si="17"/>
        <v>6876233.9533702889</v>
      </c>
      <c r="BB65" s="392">
        <f t="shared" si="17"/>
        <v>-27504346.142448019</v>
      </c>
      <c r="BC65" s="392">
        <f t="shared" si="17"/>
        <v>-930822.1895931469</v>
      </c>
      <c r="BD65" s="392">
        <f t="shared" si="17"/>
        <v>-52716.879907220973</v>
      </c>
      <c r="BE65" s="382">
        <f>-BE64/BE63</f>
        <v>0</v>
      </c>
      <c r="BF65" s="392">
        <f t="shared" si="17"/>
        <v>2223526.4135061814</v>
      </c>
      <c r="BG65" s="371">
        <f>-BG64/BG63</f>
        <v>9891166.5702277441</v>
      </c>
      <c r="BH65" s="371">
        <f>-BH64/BH63</f>
        <v>163690004.32284215</v>
      </c>
      <c r="BI65" s="82"/>
      <c r="BJ65" s="356"/>
      <c r="BK65" s="82"/>
    </row>
    <row r="66" spans="1:74" outlineLevel="1" x14ac:dyDescent="0.25">
      <c r="A66" s="317">
        <f t="shared" si="0"/>
        <v>52</v>
      </c>
      <c r="B66" s="365" t="s">
        <v>128</v>
      </c>
      <c r="C66" s="350" t="s">
        <v>143</v>
      </c>
      <c r="D66" s="1260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2"/>
      <c r="AF66" s="382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82"/>
      <c r="BB66" s="382"/>
      <c r="BC66" s="382"/>
      <c r="BD66" s="382"/>
      <c r="BE66" s="382"/>
      <c r="BF66" s="382"/>
      <c r="BG66" s="357"/>
      <c r="BH66" s="357"/>
      <c r="BI66" s="82"/>
      <c r="BK66" s="82"/>
    </row>
    <row r="67" spans="1:74" outlineLevel="1" x14ac:dyDescent="0.25">
      <c r="A67" s="317">
        <f t="shared" si="0"/>
        <v>53</v>
      </c>
      <c r="B67" s="365" t="s">
        <v>129</v>
      </c>
      <c r="C67" s="350" t="s">
        <v>143</v>
      </c>
      <c r="D67" s="1260"/>
      <c r="E67" s="382"/>
      <c r="F67" s="382"/>
      <c r="G67" s="382"/>
      <c r="H67" s="382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2"/>
      <c r="T67" s="382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2"/>
      <c r="AF67" s="382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2"/>
      <c r="AZ67" s="382"/>
      <c r="BA67" s="382"/>
      <c r="BB67" s="382"/>
      <c r="BC67" s="382"/>
      <c r="BD67" s="382"/>
      <c r="BE67" s="382"/>
      <c r="BF67" s="382"/>
      <c r="BG67" s="357"/>
      <c r="BH67" s="357"/>
      <c r="BI67" s="82"/>
      <c r="BK67" s="82"/>
    </row>
    <row r="68" spans="1:74" outlineLevel="1" x14ac:dyDescent="0.25">
      <c r="A68" s="65" t="s">
        <v>30</v>
      </c>
      <c r="B68" s="365"/>
      <c r="C68" s="350"/>
      <c r="D68" s="1273"/>
      <c r="E68" s="382"/>
      <c r="F68" s="382"/>
      <c r="G68" s="382"/>
      <c r="H68" s="382"/>
      <c r="I68" s="382"/>
      <c r="J68" s="382"/>
      <c r="K68" s="382"/>
      <c r="L68" s="382"/>
      <c r="M68" s="382"/>
      <c r="N68" s="382"/>
      <c r="O68" s="382"/>
      <c r="P68" s="382"/>
      <c r="Q68" s="382"/>
      <c r="R68" s="382"/>
      <c r="S68" s="382"/>
      <c r="T68" s="382"/>
      <c r="U68" s="382"/>
      <c r="V68" s="382"/>
      <c r="W68" s="382"/>
      <c r="X68" s="382"/>
      <c r="Y68" s="382"/>
      <c r="Z68" s="382"/>
      <c r="AA68" s="382"/>
      <c r="AB68" s="382"/>
      <c r="AC68" s="382"/>
      <c r="AD68" s="382"/>
      <c r="AE68" s="382"/>
      <c r="AF68" s="382"/>
      <c r="AG68" s="382"/>
      <c r="AH68" s="382"/>
      <c r="AI68" s="382"/>
      <c r="AJ68" s="382"/>
      <c r="AK68" s="382"/>
      <c r="AL68" s="382"/>
      <c r="AM68" s="382"/>
      <c r="AN68" s="382"/>
      <c r="AO68" s="382"/>
      <c r="AP68" s="382"/>
      <c r="AQ68" s="382"/>
      <c r="AR68" s="382"/>
      <c r="AS68" s="382"/>
      <c r="AT68" s="382"/>
      <c r="AU68" s="382"/>
      <c r="AV68" s="382"/>
      <c r="AW68" s="382"/>
      <c r="AX68" s="382"/>
      <c r="AY68" s="382"/>
      <c r="AZ68" s="382"/>
      <c r="BA68" s="382"/>
      <c r="BB68" s="382"/>
      <c r="BC68" s="382"/>
      <c r="BD68" s="382"/>
      <c r="BE68" s="382"/>
      <c r="BF68" s="382"/>
      <c r="BG68" s="393"/>
      <c r="BH68" s="393"/>
      <c r="BI68" s="82"/>
      <c r="BK68" s="82"/>
    </row>
    <row r="69" spans="1:74" outlineLevel="1" x14ac:dyDescent="0.25">
      <c r="A69" s="394"/>
      <c r="B69" s="365"/>
      <c r="C69" s="350"/>
      <c r="D69" s="1274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 s="1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I69" s="82"/>
      <c r="BK69" s="82"/>
    </row>
    <row r="70" spans="1:74" s="399" customFormat="1" outlineLevel="1" x14ac:dyDescent="0.25">
      <c r="A70" s="394"/>
      <c r="B70" s="395" t="s">
        <v>154</v>
      </c>
      <c r="C70" s="350" t="s">
        <v>143</v>
      </c>
      <c r="D70" s="1275"/>
      <c r="E70" s="397">
        <f>ROUND('SEF-32 pg 1-34, 46'!E82-E47,0)+E49</f>
        <v>0</v>
      </c>
      <c r="F70" s="397">
        <f>ROUND('SEF-32 pg 1-34, 46'!W59-F47,0)+F49</f>
        <v>0</v>
      </c>
      <c r="G70" s="397">
        <f>ROUND('SEF-32 pg 1-34, 46'!AO30-G47,0)+G49</f>
        <v>0</v>
      </c>
      <c r="H70" s="397">
        <f>ROUND('SEF-32 pg 1-34, 46'!BE24-H47,0)+H49</f>
        <v>0</v>
      </c>
      <c r="I70" s="397">
        <f>ROUND('SEF-32 pg 1-34, 46'!BW24-I47,0)+I49</f>
        <v>0</v>
      </c>
      <c r="J70" s="397">
        <f>ROUND('SEF-32 pg 1-34, 46'!CO21-J47,0)+J49</f>
        <v>0</v>
      </c>
      <c r="K70" s="397">
        <f>ROUND('SEF-32 pg 1-34, 46'!DG26-K47,0)+K49</f>
        <v>0</v>
      </c>
      <c r="L70" s="397">
        <f>ROUND('SEF-32 pg 1-34, 46'!DY22-L47,0)+L49</f>
        <v>0</v>
      </c>
      <c r="M70" s="397">
        <f>ROUND('SEF-32 pg 1-34, 46'!EQ27-M47,0)+M49</f>
        <v>0</v>
      </c>
      <c r="N70" s="397">
        <f>ROUND('SEF-32 pg 1-34, 46'!FI23-N47,0)+N49</f>
        <v>0</v>
      </c>
      <c r="O70" s="397">
        <f>ROUND('SEF-32 pg 1-34, 46'!GA31-O47,0)+O49</f>
        <v>0</v>
      </c>
      <c r="P70" s="397">
        <f>ROUND('SEF-32 pg 1-34, 46'!GS37-P47,0)+P49</f>
        <v>0</v>
      </c>
      <c r="Q70" s="397">
        <f>ROUND('SEF-32 pg 1-34, 46'!HK18-Q47,0)+Q49</f>
        <v>0</v>
      </c>
      <c r="R70" s="397">
        <f>ROUND('SEF-32 pg 1-34, 46'!IC23-R47,0)+R49</f>
        <v>0</v>
      </c>
      <c r="S70" s="397">
        <f>ROUND('SEF-32 pg 1-34, 46'!IU22-S47,0)+S49</f>
        <v>0</v>
      </c>
      <c r="T70" s="397">
        <f>ROUND('SEF-32 pg 1-34, 46'!JM23-T47,0)+T49</f>
        <v>0</v>
      </c>
      <c r="U70" s="397">
        <f>ROUND('SEF-32 pg 1-34, 46'!KE20-U47,0)+U49</f>
        <v>0</v>
      </c>
      <c r="V70" s="397">
        <f>ROUND('SEF-32 pg 1-34, 46'!KW32-V47,0)+V49</f>
        <v>0</v>
      </c>
      <c r="W70" s="397">
        <f>ROUND('SEF-32 pg 1-34, 46'!LO22-W49,0)</f>
        <v>0</v>
      </c>
      <c r="X70" s="397">
        <f>ROUND('SEF-32 pg 1-34, 46'!MG31-X47,0)+ROUND('SEF-32 pg 1-34, 46'!MG36-X49,0)</f>
        <v>0</v>
      </c>
      <c r="Y70" s="397">
        <f>ROUND('SEF-32 pg 1-34, 46'!MY21-Y47,0)+Y49</f>
        <v>0</v>
      </c>
      <c r="Z70" s="397">
        <f>ROUND('SEF-32 pg 1-34, 46'!NQ33-Z47,0)+Z49</f>
        <v>0</v>
      </c>
      <c r="AA70" s="397">
        <f>ROUND('SEF-32 pg 1-34, 46'!OI24-AA49+'SEF-32 pg 1-34, 46'!OI35-'SEF-30 pg 2 - 36 '!AA47,0)</f>
        <v>0</v>
      </c>
      <c r="AB70" s="397">
        <f>ROUND('SEF-32 pg 1-34, 46'!PA53-AB47,0)+ROUND('SEF-32 pg 1-34, 46'!PA35-AB49,0)</f>
        <v>0</v>
      </c>
      <c r="AC70" s="397">
        <f>ROUND('SEF-32 pg 1-34, 46'!PW21-AC47,0)+AC49</f>
        <v>0</v>
      </c>
      <c r="AD70" s="397">
        <f>+ROUND('SEF-32 pg 1-34, 46'!QO21-AD49,0)+ROUND(-AD47,0)</f>
        <v>0</v>
      </c>
      <c r="AE70" s="397">
        <f>ROUND('SEF-32 pg 1-34, 46'!RG31-AE47,0)+ROUND('SEF-32 pg 1-34, 46'!RG36-AE49,0)</f>
        <v>0</v>
      </c>
      <c r="AF70" s="397">
        <f>ROUND('SEF-32 pg 1-34, 46'!RY30-AF47,0)+ROUND('SEF-32 pg 1-34, 46'!RY35-AF49,0)</f>
        <v>0</v>
      </c>
      <c r="AG70" s="397">
        <f>ROUND('SEF-32 pg 1-34, 46'!SQ26-AG47,0)+ROUND('SEF-32 pg 1-34, 46'!SQ31-AG49,0)</f>
        <v>0</v>
      </c>
      <c r="AH70" s="397">
        <f>ROUND('SEF-32 pg 1-34, 46'!SQ44-AH47,0)+ROUND('SEF-32 pg 1-34, 46'!SQ49-AH49,0)</f>
        <v>0</v>
      </c>
      <c r="AI70" s="397">
        <f>ROUND('SEF-32 pg 1-34, 46'!SQ62-AI47,0)+ROUND('SEF-32 pg 1-34, 46'!SQ67-AI49,0)</f>
        <v>0</v>
      </c>
      <c r="AJ70" s="397">
        <f>ROUND('SEF-32 pg 1-34, 46'!SQ80-AJ47,0)+ROUND('SEF-32 pg 1-34, 46'!SQ85-AJ49,0)</f>
        <v>0</v>
      </c>
      <c r="AK70" s="397">
        <f>ROUND('SEF-32 pg 1-34, 46'!TJ35-AK47,0)</f>
        <v>0</v>
      </c>
      <c r="AL70" s="397">
        <f>ROUND('SEF-32 pg 1-34, 46'!TY27-AL47,0)+ROUND('SEF-32 pg 1-34, 46'!TY19-AL49,0)</f>
        <v>0</v>
      </c>
      <c r="AM70" s="397">
        <f>ROUND('SEF-32 pg 1-34, 46'!UN25-AM47,0)</f>
        <v>0</v>
      </c>
      <c r="AN70" s="397">
        <f>ROUND('SEF-32 pg 1-34, 46'!VC31-AN47,0)</f>
        <v>0</v>
      </c>
      <c r="AO70" s="397">
        <f>ROUND('SEF-32 pg 1-34, 46'!UP25-AO47,0)</f>
        <v>0</v>
      </c>
      <c r="AP70" s="397"/>
      <c r="AQ70" s="397"/>
      <c r="AR70" s="397"/>
      <c r="AS70" s="397"/>
      <c r="AT70" s="397"/>
      <c r="AU70" s="397">
        <f>ROUND('SEF-32 pg 1-34, 46'!UV25-AU47,0)</f>
        <v>0</v>
      </c>
      <c r="AV70" s="397">
        <f>ROUND('SEF-32 pg 35-45'!E41-'SEF-30 pg 2 - 36 '!AV47,0)+AV49</f>
        <v>0</v>
      </c>
      <c r="AW70" s="397">
        <f>ROUND('SEF-32 pg 35-45'!AO29-'SEF-30 pg 2 - 36 '!AW47,0)+ROUND('SEF-32 pg 35-45'!AO21-'SEF-30 pg 2 - 36 '!AW49,0)</f>
        <v>0</v>
      </c>
      <c r="AX70" s="397">
        <f>ROUND('SEF-32 pg 35-45'!BG30-'SEF-30 pg 2 - 36 '!AX47,0)+AX49</f>
        <v>0</v>
      </c>
      <c r="AY70" s="397">
        <f>ROUND('SEF-32 pg 35-45'!BY32-AY49,0)+ROUND('SEF-32 pg 35-45'!BY66-AY47,0)</f>
        <v>0</v>
      </c>
      <c r="AZ70" s="397">
        <f>ROUND('SEF-32 pg 35-45'!CQ29-'SEF-30 pg 2 - 36 '!AZ47,0)+ROUND('SEF-32 pg 35-45'!CQ21-'SEF-30 pg 2 - 36 '!AZ49,0)</f>
        <v>0</v>
      </c>
      <c r="BA70" s="397">
        <f>ROUND('SEF-32 pg 35-45'!DI30-'SEF-30 pg 2 - 36 '!BA47,0)+BA49</f>
        <v>0</v>
      </c>
      <c r="BB70" s="397">
        <f>ROUND('SEF-32 pg 35-45'!EA55-'SEF-30 pg 2 - 36 '!BB49,0)+ROUND('SEF-32 pg 35-45'!EA75-'SEF-30 pg 2 - 36 '!BB47,0)</f>
        <v>0</v>
      </c>
      <c r="BC70" s="397">
        <f>ROUND('SEF-32 pg 35-45'!ES42-'SEF-30 pg 2 - 36 '!BC47,0)+ROUND('SEF-32 pg 35-45'!ES31-'SEF-30 pg 2 - 36 '!BC49,0)</f>
        <v>0</v>
      </c>
      <c r="BD70" s="397">
        <f>ROUND('SEF-32 pg 35-45'!FK33-BD49,0)+ROUND('SEF-32 pg 35-45'!FK51-BD47,0)</f>
        <v>0</v>
      </c>
      <c r="BE70" s="397">
        <f>ROUND('SEF-32 pg 35-45'!GC42-'SEF-30 pg 2 - 36 '!BE47,0)+ROUND('SEF-32 pg 35-45'!GC32-'SEF-30 pg 2 - 36 '!BE49,0)</f>
        <v>0</v>
      </c>
      <c r="BF70" s="397">
        <f>ROUND('SEF-32 pg 35-45'!GU37-'SEF-30 pg 2 - 36 '!BF47,0)+BF49</f>
        <v>0</v>
      </c>
      <c r="BG70" s="398"/>
      <c r="BH70" s="398"/>
      <c r="BI70" s="82"/>
      <c r="BK70" s="82"/>
      <c r="BO70"/>
      <c r="BP70"/>
      <c r="BQ70"/>
      <c r="BR70"/>
      <c r="BS70"/>
      <c r="BT70"/>
      <c r="BU70"/>
      <c r="BV70"/>
    </row>
    <row r="71" spans="1:74" outlineLevel="1" x14ac:dyDescent="0.25">
      <c r="A71" s="394"/>
      <c r="B71" s="395" t="s">
        <v>155</v>
      </c>
      <c r="C71" s="350" t="s">
        <v>143</v>
      </c>
      <c r="D71" s="1276">
        <f>'SEF-30 pg 1'!C47-D47</f>
        <v>0</v>
      </c>
      <c r="BH71" s="397">
        <f>'SEF-30 pg 1'!E47-BH47</f>
        <v>0</v>
      </c>
      <c r="BI71" s="82"/>
      <c r="BK71" s="82"/>
    </row>
    <row r="72" spans="1:74" outlineLevel="1" x14ac:dyDescent="0.25">
      <c r="A72" s="394"/>
      <c r="B72" s="395" t="s">
        <v>156</v>
      </c>
      <c r="C72" s="350" t="s">
        <v>143</v>
      </c>
      <c r="D72" s="1276">
        <f>'SEF-30 pg 1'!C58-D60</f>
        <v>0</v>
      </c>
      <c r="BH72" s="397">
        <f>'SEF-30 pg 1'!E58-BH60</f>
        <v>0</v>
      </c>
      <c r="BI72" s="82"/>
      <c r="BK72" s="82"/>
    </row>
    <row r="73" spans="1:74" x14ac:dyDescent="0.25">
      <c r="B73" s="461"/>
      <c r="C73" s="350"/>
      <c r="D73" s="1257"/>
      <c r="BH73" s="1248"/>
      <c r="BI73" s="82"/>
      <c r="BK73" s="82"/>
    </row>
    <row r="74" spans="1:74" outlineLevel="1" x14ac:dyDescent="0.25">
      <c r="B74" s="399"/>
      <c r="C74" s="1250" t="s">
        <v>157</v>
      </c>
      <c r="D74" s="1277"/>
      <c r="E74" s="326">
        <v>45261</v>
      </c>
      <c r="F74" s="326">
        <v>45261</v>
      </c>
      <c r="G74" s="326">
        <v>45261</v>
      </c>
      <c r="H74" s="326">
        <v>45261</v>
      </c>
      <c r="I74" s="326">
        <v>45261</v>
      </c>
      <c r="J74" s="326">
        <v>45261</v>
      </c>
      <c r="K74" s="326">
        <v>45261</v>
      </c>
      <c r="L74" s="326">
        <v>45261</v>
      </c>
      <c r="M74" s="326">
        <v>45261</v>
      </c>
      <c r="N74" s="326">
        <v>45261</v>
      </c>
      <c r="O74" s="326">
        <v>45261</v>
      </c>
      <c r="P74" s="326">
        <v>45261</v>
      </c>
      <c r="Q74" s="326">
        <v>45261</v>
      </c>
      <c r="R74" s="326">
        <v>45261</v>
      </c>
      <c r="S74" s="326">
        <v>45261</v>
      </c>
      <c r="T74" s="326">
        <v>45261</v>
      </c>
      <c r="U74" s="326">
        <v>45261</v>
      </c>
      <c r="V74" s="326">
        <v>45261</v>
      </c>
      <c r="W74" s="326">
        <v>45261</v>
      </c>
      <c r="X74" s="326">
        <v>45261</v>
      </c>
      <c r="Y74" s="326">
        <v>45261</v>
      </c>
      <c r="Z74" s="326">
        <v>45261</v>
      </c>
      <c r="AA74" s="326">
        <v>45261</v>
      </c>
      <c r="AB74" s="326">
        <v>45261</v>
      </c>
      <c r="AC74" s="326">
        <v>45261</v>
      </c>
      <c r="AD74" s="326">
        <v>45261</v>
      </c>
      <c r="AE74" s="326">
        <v>45261</v>
      </c>
      <c r="AF74" s="326">
        <v>45261</v>
      </c>
      <c r="AG74" s="326">
        <v>45261</v>
      </c>
      <c r="AH74" s="326">
        <v>45261</v>
      </c>
      <c r="AI74" s="326">
        <v>45261</v>
      </c>
      <c r="AJ74" s="326">
        <v>45261</v>
      </c>
      <c r="AK74" s="326">
        <v>45261</v>
      </c>
      <c r="AL74" s="326">
        <v>45261</v>
      </c>
      <c r="AM74" s="326">
        <v>45261</v>
      </c>
      <c r="AN74" s="326">
        <v>45261</v>
      </c>
      <c r="AO74" s="326">
        <v>45261</v>
      </c>
      <c r="AP74" s="326">
        <v>45261</v>
      </c>
      <c r="AQ74" s="326">
        <v>45261</v>
      </c>
      <c r="AR74" s="326">
        <v>45261</v>
      </c>
      <c r="AS74" s="326">
        <v>45261</v>
      </c>
      <c r="AT74" s="326">
        <v>45261</v>
      </c>
      <c r="AU74" s="326">
        <v>45261</v>
      </c>
      <c r="AV74" s="326">
        <v>45261</v>
      </c>
      <c r="AW74" s="326">
        <v>45261</v>
      </c>
      <c r="AX74" s="326">
        <v>45261</v>
      </c>
      <c r="AY74" s="326">
        <v>45261</v>
      </c>
      <c r="AZ74" s="326">
        <v>45261</v>
      </c>
      <c r="BA74" s="326">
        <v>45261</v>
      </c>
      <c r="BB74" s="326">
        <v>45261</v>
      </c>
      <c r="BC74" s="326">
        <v>45261</v>
      </c>
      <c r="BD74" s="326">
        <v>45261</v>
      </c>
      <c r="BE74" s="326">
        <v>45261</v>
      </c>
      <c r="BF74" s="326">
        <v>45261</v>
      </c>
      <c r="BH74" s="1248"/>
      <c r="BI74" s="82"/>
      <c r="BK74" s="82"/>
    </row>
    <row r="75" spans="1:74" outlineLevel="1" x14ac:dyDescent="0.25">
      <c r="B75" s="399"/>
      <c r="C75" s="1251"/>
      <c r="D75" s="1278"/>
      <c r="E75" s="1249"/>
      <c r="F75" s="1249"/>
      <c r="G75" s="1249"/>
      <c r="H75" s="1249"/>
      <c r="I75" s="1249"/>
      <c r="J75" s="1249"/>
      <c r="K75" s="1249"/>
      <c r="L75" s="1249"/>
      <c r="M75" s="1249"/>
      <c r="N75" s="1249"/>
      <c r="O75" s="1249"/>
      <c r="P75" s="1249"/>
      <c r="Q75" s="1249"/>
      <c r="R75" s="1249"/>
      <c r="S75" s="1249"/>
      <c r="T75" s="1249"/>
      <c r="U75" s="1249"/>
      <c r="V75" s="1249"/>
      <c r="W75" s="1249"/>
      <c r="X75" s="1249"/>
      <c r="Y75" s="1249"/>
      <c r="Z75" s="1249"/>
      <c r="AA75" s="1249"/>
      <c r="AB75" s="1249"/>
      <c r="AC75" s="1249"/>
      <c r="AD75" s="1249"/>
      <c r="AE75" s="1249"/>
      <c r="AF75" s="1249"/>
      <c r="AG75" s="1249"/>
      <c r="AH75" s="1249"/>
      <c r="AI75" s="1249"/>
      <c r="AJ75" s="1249"/>
      <c r="AK75" s="1249"/>
      <c r="AL75" s="1249"/>
      <c r="AM75" s="1249"/>
      <c r="AN75" s="1249"/>
      <c r="AO75" s="1249"/>
      <c r="AP75" s="1249"/>
      <c r="AQ75" s="1249"/>
      <c r="AR75" s="1249"/>
      <c r="AS75" s="1249"/>
      <c r="AT75" s="1249"/>
      <c r="AU75" s="1249"/>
      <c r="AV75" s="1249"/>
      <c r="AW75" s="1249"/>
      <c r="AX75" s="1249"/>
      <c r="AY75" s="1249"/>
      <c r="AZ75" s="1249"/>
      <c r="BA75" s="1249"/>
      <c r="BB75" s="1249"/>
      <c r="BC75" s="1249"/>
      <c r="BD75" s="1249"/>
      <c r="BE75" s="1249"/>
      <c r="BF75" s="1249"/>
      <c r="BH75" s="1248"/>
      <c r="BI75" s="82"/>
      <c r="BK75" s="82"/>
    </row>
    <row r="76" spans="1:74" outlineLevel="1" x14ac:dyDescent="0.25">
      <c r="A76" s="317">
        <f t="shared" ref="A76:A128" si="18">A137</f>
        <v>1</v>
      </c>
      <c r="B76" s="349" t="s">
        <v>81</v>
      </c>
      <c r="C76" s="402">
        <v>45291</v>
      </c>
      <c r="D76" s="1259"/>
      <c r="E76" s="402"/>
      <c r="F76" s="402"/>
      <c r="G76" s="402"/>
      <c r="H76" s="402"/>
      <c r="I76" s="402"/>
      <c r="J76" s="402"/>
      <c r="K76" s="402"/>
      <c r="L76" s="402"/>
      <c r="M76" s="402"/>
      <c r="N76" s="402"/>
      <c r="O76" s="402"/>
      <c r="P76" s="402"/>
      <c r="Q76" s="402"/>
      <c r="R76" s="402"/>
      <c r="S76" s="402"/>
      <c r="T76" s="402"/>
      <c r="U76" s="402"/>
      <c r="V76" s="402"/>
      <c r="W76" s="402"/>
      <c r="X76" s="402"/>
      <c r="Y76" s="402"/>
      <c r="Z76" s="402"/>
      <c r="AA76" s="402"/>
      <c r="AB76" s="402"/>
      <c r="AC76" s="402"/>
      <c r="AD76" s="402"/>
      <c r="AE76" s="402"/>
      <c r="AF76" s="402"/>
      <c r="AG76" s="402"/>
      <c r="AH76" s="402"/>
      <c r="AI76" s="402"/>
      <c r="AJ76" s="402"/>
      <c r="AK76" s="402"/>
      <c r="AL76" s="402"/>
      <c r="AM76" s="402"/>
      <c r="AN76" s="402"/>
      <c r="AO76" s="402"/>
      <c r="AP76" s="402"/>
      <c r="AQ76" s="402"/>
      <c r="AR76" s="402"/>
      <c r="AS76" s="402"/>
      <c r="AT76" s="402"/>
      <c r="AU76" s="402"/>
      <c r="AV76" s="402"/>
      <c r="BG76" s="352"/>
      <c r="BH76" s="352"/>
      <c r="BI76" s="82"/>
      <c r="BK76" s="82"/>
    </row>
    <row r="77" spans="1:74" outlineLevel="1" x14ac:dyDescent="0.25">
      <c r="A77" s="317">
        <f t="shared" si="18"/>
        <v>2</v>
      </c>
      <c r="B77" s="349" t="s">
        <v>82</v>
      </c>
      <c r="C77" s="402">
        <v>45291</v>
      </c>
      <c r="D77" s="1279">
        <f>+BH16</f>
        <v>2396793288.8155236</v>
      </c>
      <c r="E77" s="353">
        <f>'SEF-32 pg 1-34, 46'!G$46-E78</f>
        <v>-282972303.87290168</v>
      </c>
      <c r="F77" s="353">
        <f>'SEF-32 pg 1-34, 46'!Y62</f>
        <v>-17506569.710000001</v>
      </c>
      <c r="G77" s="353">
        <f>'SEF-32 pg 1-34, 46'!AQ32</f>
        <v>0</v>
      </c>
      <c r="H77" s="353"/>
      <c r="I77" s="353"/>
      <c r="J77" s="353"/>
      <c r="K77" s="353"/>
      <c r="L77" s="353"/>
      <c r="M77" s="353"/>
      <c r="N77" s="353"/>
      <c r="O77" s="353"/>
      <c r="P77" s="353"/>
      <c r="Q77" s="353"/>
      <c r="R77" s="353"/>
      <c r="S77" s="353"/>
      <c r="T77" s="353"/>
      <c r="U77" s="353"/>
      <c r="V77" s="353"/>
      <c r="W77" s="353"/>
      <c r="X77" s="353"/>
      <c r="Y77" s="353"/>
      <c r="Z77" s="353"/>
      <c r="AA77" s="353"/>
      <c r="AB77" s="353"/>
      <c r="AC77" s="353"/>
      <c r="AD77" s="353"/>
      <c r="AE77" s="353"/>
      <c r="AF77" s="353"/>
      <c r="AG77" s="353"/>
      <c r="AH77" s="353"/>
      <c r="AI77" s="353"/>
      <c r="AJ77" s="353"/>
      <c r="AK77" s="353"/>
      <c r="AL77" s="353"/>
      <c r="AM77" s="353"/>
      <c r="AN77" s="353"/>
      <c r="AO77" s="353"/>
      <c r="AP77" s="353"/>
      <c r="AQ77" s="353"/>
      <c r="AR77" s="353"/>
      <c r="AS77" s="353"/>
      <c r="AT77" s="353"/>
      <c r="AU77" s="353"/>
      <c r="AV77" s="353"/>
      <c r="AW77" s="353"/>
      <c r="AX77" s="353"/>
      <c r="AY77" s="353"/>
      <c r="AZ77" s="353"/>
      <c r="BA77" s="353"/>
      <c r="BB77" s="353"/>
      <c r="BC77" s="353"/>
      <c r="BD77" s="353"/>
      <c r="BE77" s="353"/>
      <c r="BF77" s="353"/>
      <c r="BG77" s="352">
        <f>SUM(E77:BF77)</f>
        <v>-300478873.58290166</v>
      </c>
      <c r="BH77" s="355">
        <f>+BG77+BH16</f>
        <v>2096314415.2326219</v>
      </c>
      <c r="BI77" s="82"/>
      <c r="BJ77" s="356"/>
      <c r="BK77" s="82"/>
    </row>
    <row r="78" spans="1:74" outlineLevel="1" x14ac:dyDescent="0.25">
      <c r="A78" s="317">
        <f t="shared" si="18"/>
        <v>3</v>
      </c>
      <c r="B78" s="349" t="s">
        <v>83</v>
      </c>
      <c r="C78" s="402">
        <v>45291</v>
      </c>
      <c r="D78" s="1260">
        <f>+BH17</f>
        <v>468556.18608000001</v>
      </c>
      <c r="E78" s="358">
        <f>'SEF-32 pg 1-34, 46'!G$45</f>
        <v>-34111.146079999999</v>
      </c>
      <c r="F78" s="358"/>
      <c r="G78" s="358">
        <f>'SEF-32 pg 1-34, 46'!AQ33</f>
        <v>0</v>
      </c>
      <c r="H78" s="358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  <c r="Y78" s="358"/>
      <c r="Z78" s="358"/>
      <c r="AA78" s="358"/>
      <c r="AB78" s="358"/>
      <c r="AC78" s="358"/>
      <c r="AD78" s="358"/>
      <c r="AE78" s="358"/>
      <c r="AF78" s="358"/>
      <c r="AG78" s="358"/>
      <c r="AH78" s="358"/>
      <c r="AI78" s="358"/>
      <c r="AJ78" s="358"/>
      <c r="AK78" s="358"/>
      <c r="AL78" s="358"/>
      <c r="AM78" s="358"/>
      <c r="AN78" s="358"/>
      <c r="AO78" s="358"/>
      <c r="AP78" s="358"/>
      <c r="AQ78" s="358"/>
      <c r="AR78" s="358"/>
      <c r="AS78" s="358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7">
        <f>SUM(E78:BF78)</f>
        <v>-34111.146079999999</v>
      </c>
      <c r="BH78" s="357">
        <f>+BG78+BH17</f>
        <v>434445.04000000004</v>
      </c>
      <c r="BI78" s="82"/>
      <c r="BJ78" s="356"/>
      <c r="BK78" s="82"/>
    </row>
    <row r="79" spans="1:74" outlineLevel="1" x14ac:dyDescent="0.25">
      <c r="A79" s="317">
        <f t="shared" si="18"/>
        <v>4</v>
      </c>
      <c r="B79" s="349" t="s">
        <v>84</v>
      </c>
      <c r="C79" s="402">
        <v>45291</v>
      </c>
      <c r="D79" s="1260">
        <f>+BH18</f>
        <v>763721180.85000002</v>
      </c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58"/>
      <c r="Y79" s="358"/>
      <c r="Z79" s="358"/>
      <c r="AA79" s="358"/>
      <c r="AB79" s="358"/>
      <c r="AC79" s="358"/>
      <c r="AD79" s="358"/>
      <c r="AE79" s="358"/>
      <c r="AF79" s="358"/>
      <c r="AG79" s="358"/>
      <c r="AH79" s="358"/>
      <c r="AI79" s="358"/>
      <c r="AJ79" s="358"/>
      <c r="AK79" s="358"/>
      <c r="AL79" s="358"/>
      <c r="AM79" s="358"/>
      <c r="AN79" s="358"/>
      <c r="AO79" s="358"/>
      <c r="AP79" s="358"/>
      <c r="AQ79" s="358"/>
      <c r="AR79" s="358"/>
      <c r="AS79" s="358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7">
        <f>SUM(E79:BF79)</f>
        <v>0</v>
      </c>
      <c r="BH79" s="357">
        <f>+BG79+BH18</f>
        <v>763721180.85000002</v>
      </c>
      <c r="BI79" s="82"/>
      <c r="BJ79" s="356"/>
      <c r="BK79" s="82"/>
    </row>
    <row r="80" spans="1:74" outlineLevel="1" x14ac:dyDescent="0.25">
      <c r="A80" s="317">
        <f t="shared" si="18"/>
        <v>5</v>
      </c>
      <c r="B80" s="349" t="s">
        <v>85</v>
      </c>
      <c r="C80" s="402">
        <v>45291</v>
      </c>
      <c r="D80" s="1260">
        <f>+BH19</f>
        <v>138820020.22</v>
      </c>
      <c r="E80" s="358">
        <f>'SEF-32 pg 1-34, 46'!G$62</f>
        <v>42410003.579999991</v>
      </c>
      <c r="F80" s="358">
        <f>'SEF-32 pg 1-34, 46'!Y32</f>
        <v>2466633.94</v>
      </c>
      <c r="G80" s="358"/>
      <c r="H80" s="358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8"/>
      <c r="X80" s="358"/>
      <c r="Y80" s="358"/>
      <c r="Z80" s="358"/>
      <c r="AA80" s="358"/>
      <c r="AB80" s="358">
        <f>+'SEF-32 pg 1-34, 46'!PC38</f>
        <v>0</v>
      </c>
      <c r="AC80" s="358"/>
      <c r="AD80" s="358"/>
      <c r="AE80" s="358"/>
      <c r="AF80" s="358"/>
      <c r="AG80" s="358"/>
      <c r="AH80" s="358"/>
      <c r="AI80" s="358"/>
      <c r="AJ80" s="358"/>
      <c r="AK80" s="358"/>
      <c r="AL80" s="358"/>
      <c r="AM80" s="358"/>
      <c r="AN80" s="358"/>
      <c r="AO80" s="358"/>
      <c r="AP80" s="358"/>
      <c r="AQ80" s="358"/>
      <c r="AR80" s="358"/>
      <c r="AS80" s="358"/>
      <c r="AT80" s="358"/>
      <c r="AU80" s="358"/>
      <c r="AV80" s="358"/>
      <c r="AW80" s="358"/>
      <c r="AX80" s="358"/>
      <c r="AY80" s="358">
        <f>-'SEF-32 pg 35-45'!CA51</f>
        <v>-1303351.4882448129</v>
      </c>
      <c r="AZ80" s="358"/>
      <c r="BA80" s="358"/>
      <c r="BB80" s="358"/>
      <c r="BC80" s="358"/>
      <c r="BD80" s="358"/>
      <c r="BE80" s="358"/>
      <c r="BF80" s="358"/>
      <c r="BG80" s="357">
        <f>SUM(E80:BF80)</f>
        <v>43573286.031755179</v>
      </c>
      <c r="BH80" s="357">
        <f>+BG80+BH19</f>
        <v>182393306.25175518</v>
      </c>
      <c r="BI80" s="82"/>
      <c r="BJ80" s="356"/>
      <c r="BK80" s="82"/>
    </row>
    <row r="81" spans="1:63" outlineLevel="1" x14ac:dyDescent="0.25">
      <c r="A81" s="317">
        <f t="shared" si="18"/>
        <v>6</v>
      </c>
      <c r="B81" s="349" t="s">
        <v>86</v>
      </c>
      <c r="C81" s="402">
        <v>45291</v>
      </c>
      <c r="D81" s="1280">
        <f>SUM(D77:D80)</f>
        <v>3299803046.0716033</v>
      </c>
      <c r="E81" s="360">
        <f>SUM(E77:E80)</f>
        <v>-240596411.43898171</v>
      </c>
      <c r="F81" s="360">
        <f t="shared" ref="F81:BF81" si="19">SUM(F77:F80)</f>
        <v>-15039935.770000001</v>
      </c>
      <c r="G81" s="361">
        <f t="shared" si="19"/>
        <v>0</v>
      </c>
      <c r="H81" s="360">
        <f t="shared" si="19"/>
        <v>0</v>
      </c>
      <c r="I81" s="360">
        <f t="shared" si="19"/>
        <v>0</v>
      </c>
      <c r="J81" s="360">
        <f t="shared" si="19"/>
        <v>0</v>
      </c>
      <c r="K81" s="360">
        <f t="shared" si="19"/>
        <v>0</v>
      </c>
      <c r="L81" s="360">
        <f t="shared" si="19"/>
        <v>0</v>
      </c>
      <c r="M81" s="360">
        <f t="shared" si="19"/>
        <v>0</v>
      </c>
      <c r="N81" s="360">
        <f t="shared" si="19"/>
        <v>0</v>
      </c>
      <c r="O81" s="360">
        <f t="shared" si="19"/>
        <v>0</v>
      </c>
      <c r="P81" s="360">
        <f t="shared" si="19"/>
        <v>0</v>
      </c>
      <c r="Q81" s="360">
        <f t="shared" si="19"/>
        <v>0</v>
      </c>
      <c r="R81" s="360">
        <f t="shared" si="19"/>
        <v>0</v>
      </c>
      <c r="S81" s="360">
        <f t="shared" si="19"/>
        <v>0</v>
      </c>
      <c r="T81" s="360">
        <f t="shared" si="19"/>
        <v>0</v>
      </c>
      <c r="U81" s="360">
        <f t="shared" si="19"/>
        <v>0</v>
      </c>
      <c r="V81" s="360">
        <f t="shared" si="19"/>
        <v>0</v>
      </c>
      <c r="W81" s="360">
        <f t="shared" si="19"/>
        <v>0</v>
      </c>
      <c r="X81" s="360">
        <f t="shared" si="19"/>
        <v>0</v>
      </c>
      <c r="Y81" s="360">
        <f t="shared" si="19"/>
        <v>0</v>
      </c>
      <c r="Z81" s="360">
        <f t="shared" si="19"/>
        <v>0</v>
      </c>
      <c r="AA81" s="360">
        <f t="shared" si="19"/>
        <v>0</v>
      </c>
      <c r="AB81" s="360">
        <f t="shared" si="19"/>
        <v>0</v>
      </c>
      <c r="AC81" s="360">
        <f t="shared" si="19"/>
        <v>0</v>
      </c>
      <c r="AD81" s="360">
        <f t="shared" si="19"/>
        <v>0</v>
      </c>
      <c r="AE81" s="360">
        <f t="shared" si="19"/>
        <v>0</v>
      </c>
      <c r="AF81" s="360">
        <f t="shared" si="19"/>
        <v>0</v>
      </c>
      <c r="AG81" s="360">
        <f t="shared" si="19"/>
        <v>0</v>
      </c>
      <c r="AH81" s="360">
        <f t="shared" si="19"/>
        <v>0</v>
      </c>
      <c r="AI81" s="360">
        <f>SUM(AI77:AI80)</f>
        <v>0</v>
      </c>
      <c r="AJ81" s="360">
        <f>SUM(AJ77:AJ80)</f>
        <v>0</v>
      </c>
      <c r="AK81" s="360">
        <f>SUM(AK77:AK80)</f>
        <v>0</v>
      </c>
      <c r="AL81" s="360">
        <f>SUM(AL77:AL80)</f>
        <v>0</v>
      </c>
      <c r="AM81" s="360">
        <f>SUM(AM77:AM80)</f>
        <v>0</v>
      </c>
      <c r="AN81" s="360">
        <f t="shared" ref="AN81:AV81" si="20">SUM(AN77:AN80)</f>
        <v>0</v>
      </c>
      <c r="AO81" s="360">
        <f t="shared" si="20"/>
        <v>0</v>
      </c>
      <c r="AP81" s="360">
        <f t="shared" si="20"/>
        <v>0</v>
      </c>
      <c r="AQ81" s="360">
        <f t="shared" si="20"/>
        <v>0</v>
      </c>
      <c r="AR81" s="360">
        <f t="shared" si="20"/>
        <v>0</v>
      </c>
      <c r="AS81" s="360">
        <f t="shared" si="20"/>
        <v>0</v>
      </c>
      <c r="AT81" s="360">
        <f t="shared" si="20"/>
        <v>0</v>
      </c>
      <c r="AU81" s="360">
        <f t="shared" si="20"/>
        <v>0</v>
      </c>
      <c r="AV81" s="360">
        <f t="shared" si="20"/>
        <v>0</v>
      </c>
      <c r="AW81" s="360">
        <f t="shared" si="19"/>
        <v>0</v>
      </c>
      <c r="AX81" s="360">
        <f t="shared" si="19"/>
        <v>0</v>
      </c>
      <c r="AY81" s="360">
        <f t="shared" si="19"/>
        <v>-1303351.4882448129</v>
      </c>
      <c r="AZ81" s="360">
        <f t="shared" si="19"/>
        <v>0</v>
      </c>
      <c r="BA81" s="360">
        <f t="shared" si="19"/>
        <v>0</v>
      </c>
      <c r="BB81" s="360">
        <f t="shared" si="19"/>
        <v>0</v>
      </c>
      <c r="BC81" s="360">
        <f t="shared" si="19"/>
        <v>0</v>
      </c>
      <c r="BD81" s="360">
        <f t="shared" si="19"/>
        <v>0</v>
      </c>
      <c r="BE81" s="360">
        <f>SUM(BE77:BE80)</f>
        <v>0</v>
      </c>
      <c r="BF81" s="360">
        <f t="shared" si="19"/>
        <v>0</v>
      </c>
      <c r="BG81" s="359">
        <f>SUM(BG77:BG80)</f>
        <v>-256939698.69722649</v>
      </c>
      <c r="BH81" s="362">
        <f>SUM(BH77:BH80)</f>
        <v>3042863347.3743773</v>
      </c>
      <c r="BI81" s="82"/>
      <c r="BJ81" s="356"/>
      <c r="BK81" s="82"/>
    </row>
    <row r="82" spans="1:63" outlineLevel="1" x14ac:dyDescent="0.25">
      <c r="A82" s="317">
        <f t="shared" si="18"/>
        <v>7</v>
      </c>
      <c r="B82" s="363"/>
      <c r="C82" s="402">
        <v>45291</v>
      </c>
      <c r="D82" s="1260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358"/>
      <c r="AA82" s="358"/>
      <c r="AB82" s="358"/>
      <c r="AC82" s="358"/>
      <c r="AD82" s="358"/>
      <c r="AE82" s="358"/>
      <c r="AF82" s="358"/>
      <c r="AG82" s="358"/>
      <c r="AH82" s="358"/>
      <c r="AI82" s="358"/>
      <c r="AJ82" s="358"/>
      <c r="AK82" s="358"/>
      <c r="AL82" s="358"/>
      <c r="AM82" s="358"/>
      <c r="AN82" s="358"/>
      <c r="AO82" s="358"/>
      <c r="AP82" s="358"/>
      <c r="AQ82" s="358"/>
      <c r="AR82" s="358"/>
      <c r="AS82" s="358"/>
      <c r="AT82" s="358"/>
      <c r="AU82" s="358"/>
      <c r="AV82" s="358"/>
      <c r="AW82" s="358"/>
      <c r="AX82" s="358"/>
      <c r="AY82" s="358"/>
      <c r="AZ82" s="358"/>
      <c r="BA82" s="358"/>
      <c r="BB82" s="358"/>
      <c r="BC82" s="358"/>
      <c r="BD82" s="358"/>
      <c r="BE82" s="358"/>
      <c r="BF82" s="358"/>
      <c r="BG82" s="357"/>
      <c r="BH82" s="357"/>
      <c r="BI82" s="82"/>
      <c r="BJ82" s="356"/>
      <c r="BK82" s="82"/>
    </row>
    <row r="83" spans="1:63" outlineLevel="1" x14ac:dyDescent="0.25">
      <c r="A83" s="317">
        <f t="shared" si="18"/>
        <v>8</v>
      </c>
      <c r="B83" s="349" t="s">
        <v>87</v>
      </c>
      <c r="C83" s="402">
        <v>45291</v>
      </c>
      <c r="D83" s="1258"/>
      <c r="BG83" s="351"/>
      <c r="BH83" s="351"/>
      <c r="BI83" s="82"/>
      <c r="BJ83" s="356"/>
      <c r="BK83" s="82"/>
    </row>
    <row r="84" spans="1:63" outlineLevel="1" x14ac:dyDescent="0.25">
      <c r="A84" s="317">
        <f t="shared" si="18"/>
        <v>9</v>
      </c>
      <c r="B84" s="365"/>
      <c r="C84" s="402">
        <v>45291</v>
      </c>
      <c r="D84" s="1258"/>
      <c r="BG84" s="351"/>
      <c r="BH84" s="351"/>
      <c r="BI84" s="82"/>
      <c r="BJ84" s="356"/>
      <c r="BK84" s="82"/>
    </row>
    <row r="85" spans="1:63" outlineLevel="1" x14ac:dyDescent="0.25">
      <c r="A85" s="317">
        <f t="shared" si="18"/>
        <v>10</v>
      </c>
      <c r="B85" s="349" t="s">
        <v>88</v>
      </c>
      <c r="C85" s="402">
        <v>45291</v>
      </c>
      <c r="D85" s="1258"/>
      <c r="BG85" s="351"/>
      <c r="BH85" s="351"/>
      <c r="BI85" s="82"/>
      <c r="BJ85" s="356"/>
      <c r="BK85" s="82"/>
    </row>
    <row r="86" spans="1:63" outlineLevel="1" x14ac:dyDescent="0.25">
      <c r="A86" s="317">
        <f t="shared" si="18"/>
        <v>11</v>
      </c>
      <c r="B86" s="349" t="s">
        <v>89</v>
      </c>
      <c r="C86" s="402">
        <v>45291</v>
      </c>
      <c r="D86" s="1262">
        <f>+BH25</f>
        <v>455418278.81</v>
      </c>
      <c r="E86" s="356"/>
      <c r="F86" s="356"/>
      <c r="G86" s="356"/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6"/>
      <c r="AI86" s="356"/>
      <c r="AJ86" s="356"/>
      <c r="AK86" s="356"/>
      <c r="AL86" s="356"/>
      <c r="AM86" s="356"/>
      <c r="AN86" s="356"/>
      <c r="AO86" s="356"/>
      <c r="AP86" s="356"/>
      <c r="AQ86" s="356"/>
      <c r="AR86" s="356"/>
      <c r="AS86" s="356"/>
      <c r="AT86" s="356"/>
      <c r="AU86" s="356"/>
      <c r="AV86" s="356"/>
      <c r="AW86" s="356"/>
      <c r="AX86" s="356"/>
      <c r="AY86" s="356"/>
      <c r="AZ86" s="356"/>
      <c r="BA86" s="356"/>
      <c r="BB86" s="356"/>
      <c r="BC86" s="356"/>
      <c r="BD86" s="356"/>
      <c r="BE86" s="356"/>
      <c r="BF86" s="356"/>
      <c r="BG86" s="366">
        <f>SUM(E86:BF86)</f>
        <v>0</v>
      </c>
      <c r="BH86" s="366">
        <f>+BG86+BH25</f>
        <v>455418278.81</v>
      </c>
      <c r="BI86" s="82"/>
      <c r="BJ86" s="356"/>
      <c r="BK86" s="82"/>
    </row>
    <row r="87" spans="1:63" outlineLevel="1" x14ac:dyDescent="0.25">
      <c r="A87" s="317">
        <f t="shared" si="18"/>
        <v>12</v>
      </c>
      <c r="B87" s="349" t="s">
        <v>90</v>
      </c>
      <c r="C87" s="402">
        <v>45291</v>
      </c>
      <c r="D87" s="1260">
        <f>+BH26</f>
        <v>1301528766.2718756</v>
      </c>
      <c r="E87" s="358"/>
      <c r="F87" s="358"/>
      <c r="G87" s="358"/>
      <c r="H87" s="358"/>
      <c r="I87" s="358"/>
      <c r="J87" s="358"/>
      <c r="K87" s="358"/>
      <c r="L87" s="358"/>
      <c r="M87" s="358"/>
      <c r="N87" s="358"/>
      <c r="O87" s="358">
        <f>'SEF-32 pg 1-34, 46'!GC17</f>
        <v>54208.728968531417</v>
      </c>
      <c r="P87" s="358"/>
      <c r="Q87" s="358"/>
      <c r="R87" s="358"/>
      <c r="S87" s="358"/>
      <c r="T87" s="358"/>
      <c r="U87" s="358"/>
      <c r="V87" s="358"/>
      <c r="W87" s="358"/>
      <c r="X87" s="358"/>
      <c r="Y87" s="358"/>
      <c r="Z87" s="358"/>
      <c r="AA87" s="358"/>
      <c r="AB87" s="358"/>
      <c r="AC87" s="358"/>
      <c r="AD87" s="358"/>
      <c r="AE87" s="358"/>
      <c r="AF87" s="358"/>
      <c r="AG87" s="358"/>
      <c r="AH87" s="358"/>
      <c r="AI87" s="358"/>
      <c r="AJ87" s="358"/>
      <c r="AK87" s="358"/>
      <c r="AL87" s="358"/>
      <c r="AM87" s="358"/>
      <c r="AN87" s="358"/>
      <c r="AO87" s="358"/>
      <c r="AP87" s="358"/>
      <c r="AQ87" s="358"/>
      <c r="AR87" s="358"/>
      <c r="AS87" s="358"/>
      <c r="AT87" s="358"/>
      <c r="AU87" s="358"/>
      <c r="AV87" s="358"/>
      <c r="AW87" s="358"/>
      <c r="AX87" s="358"/>
      <c r="AY87" s="358"/>
      <c r="AZ87" s="358"/>
      <c r="BA87" s="358"/>
      <c r="BB87" s="358"/>
      <c r="BC87" s="358"/>
      <c r="BD87" s="358"/>
      <c r="BE87" s="358"/>
      <c r="BF87" s="358"/>
      <c r="BG87" s="357">
        <f>SUM(E87:BF87)</f>
        <v>54208.728968531417</v>
      </c>
      <c r="BH87" s="357">
        <f>+BG87+BH26</f>
        <v>1301582975.0008442</v>
      </c>
      <c r="BI87" s="82"/>
      <c r="BJ87" s="356"/>
      <c r="BK87" s="82"/>
    </row>
    <row r="88" spans="1:63" outlineLevel="1" x14ac:dyDescent="0.25">
      <c r="A88" s="317">
        <f t="shared" si="18"/>
        <v>13</v>
      </c>
      <c r="B88" s="349" t="s">
        <v>91</v>
      </c>
      <c r="C88" s="402">
        <v>45291</v>
      </c>
      <c r="D88" s="1260">
        <f>+BH27</f>
        <v>161536441.13999999</v>
      </c>
      <c r="E88" s="358"/>
      <c r="F88" s="358"/>
      <c r="G88" s="358"/>
      <c r="H88" s="358"/>
      <c r="I88" s="358"/>
      <c r="J88" s="358"/>
      <c r="K88" s="358"/>
      <c r="L88" s="358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  <c r="Y88" s="358"/>
      <c r="Z88" s="358"/>
      <c r="AA88" s="358"/>
      <c r="AB88" s="358"/>
      <c r="AC88" s="358"/>
      <c r="AD88" s="358"/>
      <c r="AE88" s="358"/>
      <c r="AF88" s="358"/>
      <c r="AG88" s="358"/>
      <c r="AH88" s="358"/>
      <c r="AI88" s="358"/>
      <c r="AJ88" s="358"/>
      <c r="AK88" s="358"/>
      <c r="AL88" s="358"/>
      <c r="AM88" s="358"/>
      <c r="AN88" s="358"/>
      <c r="AO88" s="358"/>
      <c r="AP88" s="358"/>
      <c r="AQ88" s="358"/>
      <c r="AR88" s="358"/>
      <c r="AS88" s="358"/>
      <c r="AT88" s="358"/>
      <c r="AU88" s="358"/>
      <c r="AV88" s="358"/>
      <c r="AW88" s="358"/>
      <c r="AX88" s="358"/>
      <c r="AY88" s="358"/>
      <c r="AZ88" s="358"/>
      <c r="BA88" s="358"/>
      <c r="BB88" s="358"/>
      <c r="BC88" s="358"/>
      <c r="BD88" s="358"/>
      <c r="BE88" s="358"/>
      <c r="BF88" s="358"/>
      <c r="BG88" s="357">
        <f>SUM(E88:BF88)</f>
        <v>0</v>
      </c>
      <c r="BH88" s="357">
        <f>+BG88+BH27</f>
        <v>161536441.13999999</v>
      </c>
      <c r="BI88" s="82"/>
      <c r="BJ88" s="356"/>
      <c r="BK88" s="82"/>
    </row>
    <row r="89" spans="1:63" outlineLevel="1" x14ac:dyDescent="0.25">
      <c r="A89" s="317">
        <f t="shared" si="18"/>
        <v>14</v>
      </c>
      <c r="B89" s="365" t="s">
        <v>92</v>
      </c>
      <c r="C89" s="402">
        <v>45291</v>
      </c>
      <c r="D89" s="1260">
        <f>+BH28</f>
        <v>0</v>
      </c>
      <c r="E89" s="358"/>
      <c r="F89" s="358"/>
      <c r="G89" s="358"/>
      <c r="H89" s="358"/>
      <c r="I89" s="358"/>
      <c r="J89" s="358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  <c r="AA89" s="358"/>
      <c r="AB89" s="358"/>
      <c r="AC89" s="358"/>
      <c r="AD89" s="358"/>
      <c r="AE89" s="358"/>
      <c r="AF89" s="358"/>
      <c r="AG89" s="358"/>
      <c r="AH89" s="358"/>
      <c r="AI89" s="358"/>
      <c r="AJ89" s="358"/>
      <c r="AK89" s="358"/>
      <c r="AL89" s="358"/>
      <c r="AM89" s="358"/>
      <c r="AN89" s="358"/>
      <c r="AO89" s="358"/>
      <c r="AP89" s="358"/>
      <c r="AQ89" s="358"/>
      <c r="AR89" s="358"/>
      <c r="AS89" s="358"/>
      <c r="AT89" s="358"/>
      <c r="AU89" s="358"/>
      <c r="AV89" s="358"/>
      <c r="AW89" s="358"/>
      <c r="AX89" s="358"/>
      <c r="AY89" s="358"/>
      <c r="AZ89" s="358"/>
      <c r="BA89" s="358"/>
      <c r="BB89" s="358"/>
      <c r="BC89" s="358"/>
      <c r="BD89" s="358"/>
      <c r="BE89" s="358"/>
      <c r="BF89" s="358"/>
      <c r="BG89" s="357">
        <f>SUM(E89:BF89)</f>
        <v>0</v>
      </c>
      <c r="BH89" s="357">
        <f>+BG89+BH28</f>
        <v>0</v>
      </c>
      <c r="BI89" s="82"/>
      <c r="BJ89" s="356"/>
      <c r="BK89" s="82"/>
    </row>
    <row r="90" spans="1:63" outlineLevel="1" x14ac:dyDescent="0.25">
      <c r="A90" s="317">
        <f t="shared" si="18"/>
        <v>15</v>
      </c>
      <c r="B90" s="349" t="s">
        <v>93</v>
      </c>
      <c r="C90" s="402">
        <v>45291</v>
      </c>
      <c r="D90" s="1263">
        <f>SUM(D85:D89)</f>
        <v>1918483486.2218757</v>
      </c>
      <c r="E90" s="368">
        <f>SUM(E85:E89)</f>
        <v>0</v>
      </c>
      <c r="F90" s="368">
        <f t="shared" ref="F90:BF90" si="21">SUM(F85:F89)</f>
        <v>0</v>
      </c>
      <c r="G90" s="368">
        <f t="shared" si="21"/>
        <v>0</v>
      </c>
      <c r="H90" s="368">
        <f t="shared" si="21"/>
        <v>0</v>
      </c>
      <c r="I90" s="368">
        <f t="shared" si="21"/>
        <v>0</v>
      </c>
      <c r="J90" s="368">
        <f t="shared" si="21"/>
        <v>0</v>
      </c>
      <c r="K90" s="368">
        <f t="shared" si="21"/>
        <v>0</v>
      </c>
      <c r="L90" s="368">
        <f t="shared" si="21"/>
        <v>0</v>
      </c>
      <c r="M90" s="368">
        <f t="shared" si="21"/>
        <v>0</v>
      </c>
      <c r="N90" s="368">
        <f t="shared" si="21"/>
        <v>0</v>
      </c>
      <c r="O90" s="368">
        <f t="shared" si="21"/>
        <v>54208.728968531417</v>
      </c>
      <c r="P90" s="368">
        <f t="shared" si="21"/>
        <v>0</v>
      </c>
      <c r="Q90" s="368">
        <f t="shared" si="21"/>
        <v>0</v>
      </c>
      <c r="R90" s="368">
        <f t="shared" si="21"/>
        <v>0</v>
      </c>
      <c r="S90" s="368">
        <f t="shared" si="21"/>
        <v>0</v>
      </c>
      <c r="T90" s="368">
        <f t="shared" si="21"/>
        <v>0</v>
      </c>
      <c r="U90" s="368">
        <f t="shared" si="21"/>
        <v>0</v>
      </c>
      <c r="V90" s="368">
        <f t="shared" si="21"/>
        <v>0</v>
      </c>
      <c r="W90" s="368">
        <f t="shared" si="21"/>
        <v>0</v>
      </c>
      <c r="X90" s="368">
        <f t="shared" si="21"/>
        <v>0</v>
      </c>
      <c r="Y90" s="368">
        <f t="shared" si="21"/>
        <v>0</v>
      </c>
      <c r="Z90" s="368">
        <f t="shared" si="21"/>
        <v>0</v>
      </c>
      <c r="AA90" s="368">
        <f t="shared" si="21"/>
        <v>0</v>
      </c>
      <c r="AB90" s="368">
        <f t="shared" si="21"/>
        <v>0</v>
      </c>
      <c r="AC90" s="368">
        <f t="shared" si="21"/>
        <v>0</v>
      </c>
      <c r="AD90" s="368">
        <f t="shared" si="21"/>
        <v>0</v>
      </c>
      <c r="AE90" s="368">
        <f t="shared" si="21"/>
        <v>0</v>
      </c>
      <c r="AF90" s="368">
        <f t="shared" si="21"/>
        <v>0</v>
      </c>
      <c r="AG90" s="368">
        <f t="shared" si="21"/>
        <v>0</v>
      </c>
      <c r="AH90" s="368">
        <f t="shared" si="21"/>
        <v>0</v>
      </c>
      <c r="AI90" s="368">
        <f>SUM(AI85:AI89)</f>
        <v>0</v>
      </c>
      <c r="AJ90" s="368">
        <f>SUM(AJ85:AJ89)</f>
        <v>0</v>
      </c>
      <c r="AK90" s="368">
        <f>SUM(AK85:AK89)</f>
        <v>0</v>
      </c>
      <c r="AL90" s="368">
        <f>SUM(AL85:AL89)</f>
        <v>0</v>
      </c>
      <c r="AM90" s="368">
        <f>SUM(AM85:AM89)</f>
        <v>0</v>
      </c>
      <c r="AN90" s="368">
        <f t="shared" ref="AN90:AV90" si="22">SUM(AN85:AN89)</f>
        <v>0</v>
      </c>
      <c r="AO90" s="368">
        <f t="shared" si="22"/>
        <v>0</v>
      </c>
      <c r="AP90" s="368">
        <f t="shared" si="22"/>
        <v>0</v>
      </c>
      <c r="AQ90" s="368">
        <f t="shared" si="22"/>
        <v>0</v>
      </c>
      <c r="AR90" s="368">
        <f t="shared" si="22"/>
        <v>0</v>
      </c>
      <c r="AS90" s="368">
        <f t="shared" si="22"/>
        <v>0</v>
      </c>
      <c r="AT90" s="368">
        <f t="shared" si="22"/>
        <v>0</v>
      </c>
      <c r="AU90" s="368">
        <f t="shared" si="22"/>
        <v>0</v>
      </c>
      <c r="AV90" s="368">
        <f t="shared" si="22"/>
        <v>0</v>
      </c>
      <c r="AW90" s="368">
        <f t="shared" si="21"/>
        <v>0</v>
      </c>
      <c r="AX90" s="368">
        <f t="shared" si="21"/>
        <v>0</v>
      </c>
      <c r="AY90" s="368">
        <f t="shared" si="21"/>
        <v>0</v>
      </c>
      <c r="AZ90" s="368">
        <f t="shared" si="21"/>
        <v>0</v>
      </c>
      <c r="BA90" s="368">
        <f t="shared" si="21"/>
        <v>0</v>
      </c>
      <c r="BB90" s="368">
        <f t="shared" si="21"/>
        <v>0</v>
      </c>
      <c r="BC90" s="368">
        <f t="shared" si="21"/>
        <v>0</v>
      </c>
      <c r="BD90" s="368">
        <f t="shared" si="21"/>
        <v>0</v>
      </c>
      <c r="BE90" s="368">
        <f>SUM(BE85:BE89)</f>
        <v>0</v>
      </c>
      <c r="BF90" s="368">
        <f t="shared" si="21"/>
        <v>0</v>
      </c>
      <c r="BG90" s="367">
        <f>SUM(BG85:BG89)</f>
        <v>54208.728968531417</v>
      </c>
      <c r="BH90" s="367">
        <f>SUM(BH85:BH89)</f>
        <v>1918537694.9508443</v>
      </c>
      <c r="BI90" s="82"/>
      <c r="BJ90" s="356"/>
      <c r="BK90" s="82"/>
    </row>
    <row r="91" spans="1:63" outlineLevel="1" x14ac:dyDescent="0.25">
      <c r="A91" s="317">
        <f t="shared" si="18"/>
        <v>16</v>
      </c>
      <c r="B91" s="349"/>
      <c r="C91" s="402">
        <v>45291</v>
      </c>
      <c r="D91" s="1262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  <c r="AG91" s="356"/>
      <c r="AH91" s="356"/>
      <c r="AI91" s="356"/>
      <c r="AJ91" s="356"/>
      <c r="AK91" s="356"/>
      <c r="AL91" s="356"/>
      <c r="AM91" s="356"/>
      <c r="AN91" s="356"/>
      <c r="AO91" s="356"/>
      <c r="AP91" s="356"/>
      <c r="AQ91" s="356"/>
      <c r="AR91" s="356"/>
      <c r="AS91" s="356"/>
      <c r="AT91" s="356"/>
      <c r="AU91" s="356"/>
      <c r="AV91" s="356"/>
      <c r="AW91" s="356"/>
      <c r="AX91" s="356"/>
      <c r="AY91" s="356"/>
      <c r="AZ91" s="356"/>
      <c r="BA91" s="356"/>
      <c r="BB91" s="356"/>
      <c r="BC91" s="356"/>
      <c r="BD91" s="356"/>
      <c r="BE91" s="356"/>
      <c r="BF91" s="356"/>
      <c r="BG91" s="366"/>
      <c r="BH91" s="366"/>
      <c r="BI91" s="82"/>
      <c r="BJ91" s="356"/>
      <c r="BK91" s="82"/>
    </row>
    <row r="92" spans="1:63" outlineLevel="1" x14ac:dyDescent="0.25">
      <c r="A92" s="317">
        <f t="shared" si="18"/>
        <v>17</v>
      </c>
      <c r="B92" s="369" t="s">
        <v>94</v>
      </c>
      <c r="C92" s="402">
        <v>45291</v>
      </c>
      <c r="D92" s="1260">
        <f t="shared" ref="D92:D105" si="23">+BH31</f>
        <v>95426621.431153491</v>
      </c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356">
        <f>'SEF-32 pg 1-34, 46'!GC18</f>
        <v>145899.18276586221</v>
      </c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  <c r="AA92" s="356"/>
      <c r="AB92" s="356"/>
      <c r="AC92" s="356"/>
      <c r="AD92" s="356"/>
      <c r="AE92" s="356"/>
      <c r="AF92" s="356"/>
      <c r="AG92" s="356"/>
      <c r="AH92" s="356"/>
      <c r="AI92" s="356"/>
      <c r="AJ92" s="356"/>
      <c r="AK92" s="356"/>
      <c r="AL92" s="356"/>
      <c r="AM92" s="356"/>
      <c r="AN92" s="356"/>
      <c r="AO92" s="356"/>
      <c r="AP92" s="356"/>
      <c r="AQ92" s="356"/>
      <c r="AR92" s="356"/>
      <c r="AS92" s="356"/>
      <c r="AT92" s="356"/>
      <c r="AU92" s="356"/>
      <c r="AV92" s="356"/>
      <c r="AW92" s="356"/>
      <c r="AX92" s="356"/>
      <c r="AY92" s="356"/>
      <c r="AZ92" s="356"/>
      <c r="BA92" s="356"/>
      <c r="BB92" s="356">
        <f>'SEF-32 pg 35-45'!EC61</f>
        <v>0</v>
      </c>
      <c r="BC92" s="356"/>
      <c r="BD92" s="356"/>
      <c r="BE92" s="356"/>
      <c r="BF92" s="356"/>
      <c r="BG92" s="357">
        <f t="shared" ref="BG92:BG105" si="24">SUM(E92:BF92)</f>
        <v>145899.18276586221</v>
      </c>
      <c r="BH92" s="366">
        <f t="shared" ref="BH92:BH105" si="25">+BG92+BH31</f>
        <v>95572520.613919348</v>
      </c>
      <c r="BI92" s="82"/>
      <c r="BJ92" s="356"/>
      <c r="BK92" s="82"/>
    </row>
    <row r="93" spans="1:63" outlineLevel="1" x14ac:dyDescent="0.25">
      <c r="A93" s="317">
        <f t="shared" si="18"/>
        <v>18</v>
      </c>
      <c r="B93" s="349" t="s">
        <v>95</v>
      </c>
      <c r="C93" s="402">
        <v>45291</v>
      </c>
      <c r="D93" s="1260">
        <f t="shared" si="23"/>
        <v>26020655.655686866</v>
      </c>
      <c r="E93" s="358"/>
      <c r="F93" s="358"/>
      <c r="G93" s="358"/>
      <c r="H93" s="358"/>
      <c r="I93" s="358"/>
      <c r="J93" s="358"/>
      <c r="K93" s="358"/>
      <c r="L93" s="358"/>
      <c r="M93" s="358"/>
      <c r="N93" s="358"/>
      <c r="O93" s="358">
        <f>'SEF-32 pg 1-34, 46'!GC19</f>
        <v>77980.945734437671</v>
      </c>
      <c r="P93" s="358"/>
      <c r="Q93" s="358"/>
      <c r="R93" s="358"/>
      <c r="S93" s="358"/>
      <c r="T93" s="358"/>
      <c r="U93" s="358"/>
      <c r="V93" s="358"/>
      <c r="W93" s="358"/>
      <c r="X93" s="358"/>
      <c r="Y93" s="358"/>
      <c r="Z93" s="358"/>
      <c r="AA93" s="358"/>
      <c r="AB93" s="358"/>
      <c r="AC93" s="358"/>
      <c r="AD93" s="358"/>
      <c r="AE93" s="358"/>
      <c r="AF93" s="358"/>
      <c r="AG93" s="358"/>
      <c r="AH93" s="358"/>
      <c r="AI93" s="358"/>
      <c r="AJ93" s="358"/>
      <c r="AK93" s="358"/>
      <c r="AL93" s="358"/>
      <c r="AM93" s="358"/>
      <c r="AN93" s="358"/>
      <c r="AO93" s="358"/>
      <c r="AP93" s="358"/>
      <c r="AQ93" s="358"/>
      <c r="AR93" s="358"/>
      <c r="AS93" s="358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7">
        <f t="shared" si="24"/>
        <v>77980.945734437671</v>
      </c>
      <c r="BH93" s="357">
        <f t="shared" si="25"/>
        <v>26098636.601421304</v>
      </c>
      <c r="BI93" s="82"/>
      <c r="BJ93" s="356"/>
      <c r="BK93" s="82"/>
    </row>
    <row r="94" spans="1:63" outlineLevel="1" x14ac:dyDescent="0.25">
      <c r="A94" s="317">
        <f t="shared" si="18"/>
        <v>19</v>
      </c>
      <c r="B94" s="349" t="s">
        <v>96</v>
      </c>
      <c r="C94" s="402">
        <v>45291</v>
      </c>
      <c r="D94" s="1260">
        <f t="shared" si="23"/>
        <v>104398180.95640522</v>
      </c>
      <c r="E94" s="358"/>
      <c r="F94" s="358"/>
      <c r="G94" s="358"/>
      <c r="H94" s="358"/>
      <c r="I94" s="358"/>
      <c r="J94" s="358"/>
      <c r="K94" s="358"/>
      <c r="L94" s="358"/>
      <c r="M94" s="358"/>
      <c r="N94" s="358"/>
      <c r="O94" s="358">
        <f>'SEF-32 pg 1-34, 46'!GC20</f>
        <v>238125.90477231075</v>
      </c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  <c r="AA94" s="358"/>
      <c r="AB94" s="358"/>
      <c r="AC94" s="358"/>
      <c r="AD94" s="358"/>
      <c r="AE94" s="358"/>
      <c r="AF94" s="358"/>
      <c r="AG94" s="358"/>
      <c r="AH94" s="358"/>
      <c r="AI94" s="358"/>
      <c r="AJ94" s="358"/>
      <c r="AK94" s="358"/>
      <c r="AL94" s="358"/>
      <c r="AM94" s="358"/>
      <c r="AN94" s="358"/>
      <c r="AO94" s="358"/>
      <c r="AP94" s="358"/>
      <c r="AQ94" s="358"/>
      <c r="AR94" s="358"/>
      <c r="AS94" s="358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7">
        <f t="shared" si="24"/>
        <v>238125.90477231075</v>
      </c>
      <c r="BH94" s="357">
        <f t="shared" si="25"/>
        <v>104636306.86117753</v>
      </c>
      <c r="BI94" s="82"/>
      <c r="BJ94" s="356"/>
      <c r="BK94" s="82"/>
    </row>
    <row r="95" spans="1:63" outlineLevel="1" x14ac:dyDescent="0.25">
      <c r="A95" s="317">
        <f t="shared" si="18"/>
        <v>20</v>
      </c>
      <c r="B95" s="349" t="s">
        <v>97</v>
      </c>
      <c r="C95" s="402">
        <v>45291</v>
      </c>
      <c r="D95" s="1272">
        <f t="shared" si="23"/>
        <v>54317133.716662996</v>
      </c>
      <c r="E95" s="358">
        <f>'SEF-32 pg 1-34, 46'!G$74</f>
        <v>-1560989.5174161133</v>
      </c>
      <c r="F95" s="358">
        <f>'SEF-32 pg 1-34, 46'!Y$37</f>
        <v>-97579.103275760004</v>
      </c>
      <c r="G95" s="370">
        <f>'SEF-32 pg 1-34, 46'!AQ22</f>
        <v>0</v>
      </c>
      <c r="H95" s="358"/>
      <c r="I95" s="358"/>
      <c r="J95" s="358"/>
      <c r="K95" s="358"/>
      <c r="L95" s="358"/>
      <c r="M95" s="358"/>
      <c r="N95" s="358"/>
      <c r="O95" s="358">
        <f>'SEF-32 pg 1-34, 46'!GC21</f>
        <v>57514.107160903688</v>
      </c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  <c r="AA95" s="358"/>
      <c r="AB95" s="358"/>
      <c r="AC95" s="358"/>
      <c r="AD95" s="358"/>
      <c r="AE95" s="358"/>
      <c r="AF95" s="358"/>
      <c r="AG95" s="358"/>
      <c r="AH95" s="358"/>
      <c r="AI95" s="358"/>
      <c r="AJ95" s="358"/>
      <c r="AK95" s="358"/>
      <c r="AL95" s="358"/>
      <c r="AM95" s="358"/>
      <c r="AN95" s="358"/>
      <c r="AO95" s="358"/>
      <c r="AP95" s="358"/>
      <c r="AQ95" s="358"/>
      <c r="AR95" s="358"/>
      <c r="AS95" s="358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7">
        <f t="shared" si="24"/>
        <v>-1601054.5135309696</v>
      </c>
      <c r="BH95" s="371">
        <f t="shared" si="25"/>
        <v>52716079.203132026</v>
      </c>
      <c r="BI95" s="82"/>
      <c r="BJ95" s="356"/>
      <c r="BK95" s="82"/>
    </row>
    <row r="96" spans="1:63" outlineLevel="1" x14ac:dyDescent="0.25">
      <c r="A96" s="317">
        <f t="shared" si="18"/>
        <v>21</v>
      </c>
      <c r="B96" s="349" t="s">
        <v>98</v>
      </c>
      <c r="C96" s="402">
        <v>45291</v>
      </c>
      <c r="D96" s="1260">
        <f t="shared" si="23"/>
        <v>4268799.3227763921</v>
      </c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>
        <f>'SEF-32 pg 1-34, 46'!GC22</f>
        <v>15473.663709910601</v>
      </c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  <c r="AA96" s="358"/>
      <c r="AB96" s="358"/>
      <c r="AC96" s="358"/>
      <c r="AD96" s="358"/>
      <c r="AE96" s="358"/>
      <c r="AF96" s="358"/>
      <c r="AG96" s="358"/>
      <c r="AH96" s="358"/>
      <c r="AI96" s="358"/>
      <c r="AJ96" s="358"/>
      <c r="AK96" s="358"/>
      <c r="AL96" s="358"/>
      <c r="AM96" s="358"/>
      <c r="AN96" s="358"/>
      <c r="AO96" s="358"/>
      <c r="AP96" s="358"/>
      <c r="AQ96" s="358"/>
      <c r="AR96" s="358"/>
      <c r="AS96" s="358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7">
        <f t="shared" si="24"/>
        <v>15473.663709910601</v>
      </c>
      <c r="BH96" s="357">
        <f t="shared" si="25"/>
        <v>4284272.9864863027</v>
      </c>
      <c r="BI96" s="82"/>
      <c r="BJ96" s="356"/>
      <c r="BK96" s="82"/>
    </row>
    <row r="97" spans="1:63" outlineLevel="1" x14ac:dyDescent="0.25">
      <c r="A97" s="317">
        <f t="shared" si="18"/>
        <v>22</v>
      </c>
      <c r="B97" s="349" t="s">
        <v>99</v>
      </c>
      <c r="C97" s="402">
        <v>45291</v>
      </c>
      <c r="D97" s="1260">
        <f t="shared" si="23"/>
        <v>0</v>
      </c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  <c r="Y97" s="358"/>
      <c r="Z97" s="358"/>
      <c r="AA97" s="358"/>
      <c r="AB97" s="358"/>
      <c r="AC97" s="358"/>
      <c r="AD97" s="358"/>
      <c r="AE97" s="358"/>
      <c r="AF97" s="358"/>
      <c r="AG97" s="358"/>
      <c r="AH97" s="358"/>
      <c r="AI97" s="358"/>
      <c r="AJ97" s="358"/>
      <c r="AK97" s="358"/>
      <c r="AL97" s="358"/>
      <c r="AM97" s="358"/>
      <c r="AN97" s="358"/>
      <c r="AO97" s="358"/>
      <c r="AP97" s="358"/>
      <c r="AQ97" s="358"/>
      <c r="AR97" s="358"/>
      <c r="AS97" s="358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7">
        <f t="shared" si="24"/>
        <v>0</v>
      </c>
      <c r="BH97" s="357">
        <f t="shared" si="25"/>
        <v>0</v>
      </c>
      <c r="BI97" s="82"/>
      <c r="BJ97" s="356"/>
      <c r="BK97" s="82"/>
    </row>
    <row r="98" spans="1:63" outlineLevel="1" x14ac:dyDescent="0.25">
      <c r="A98" s="317">
        <f t="shared" si="18"/>
        <v>23</v>
      </c>
      <c r="B98" s="349" t="s">
        <v>100</v>
      </c>
      <c r="C98" s="402">
        <v>45291</v>
      </c>
      <c r="D98" s="1272">
        <f t="shared" si="23"/>
        <v>174510998.74932092</v>
      </c>
      <c r="E98" s="370">
        <f>'SEF-32 pg 1-34, 46'!G$75</f>
        <v>-1202982.0571949086</v>
      </c>
      <c r="F98" s="370">
        <f>'SEF-32 pg 1-34, 46'!Y$38</f>
        <v>-75199.678850000011</v>
      </c>
      <c r="G98" s="370">
        <f>'SEF-32 pg 1-34, 46'!AQ23</f>
        <v>0</v>
      </c>
      <c r="H98" s="358"/>
      <c r="I98" s="358"/>
      <c r="J98" s="358"/>
      <c r="K98" s="358"/>
      <c r="L98" s="358"/>
      <c r="M98" s="358">
        <f>'SEF-32 pg 1-34, 46'!ES23</f>
        <v>677349.63627642021</v>
      </c>
      <c r="N98" s="358"/>
      <c r="O98" s="358">
        <f>'SEF-32 pg 1-34, 46'!GC23+'SEF-32 pg 1-34, 46'!GC24</f>
        <v>288485.96582433919</v>
      </c>
      <c r="P98" s="358"/>
      <c r="Q98" s="358"/>
      <c r="R98" s="358">
        <f>'SEF-32 pg 1-34, 46'!IE20</f>
        <v>0</v>
      </c>
      <c r="S98" s="358"/>
      <c r="T98" s="358"/>
      <c r="U98" s="358">
        <f>'SEF-32 pg 1-34, 46'!KG16</f>
        <v>0</v>
      </c>
      <c r="V98" s="358"/>
      <c r="W98" s="358"/>
      <c r="X98" s="358"/>
      <c r="Y98" s="370"/>
      <c r="Z98" s="358"/>
      <c r="AA98" s="358"/>
      <c r="AB98" s="370"/>
      <c r="AC98" s="358"/>
      <c r="AD98" s="358"/>
      <c r="AE98" s="358"/>
      <c r="AF98" s="358"/>
      <c r="AG98" s="358"/>
      <c r="AH98" s="358"/>
      <c r="AI98" s="358"/>
      <c r="AJ98" s="358"/>
      <c r="AK98" s="370"/>
      <c r="AL98" s="358"/>
      <c r="AM98" s="358"/>
      <c r="AN98" s="358"/>
      <c r="AO98" s="358"/>
      <c r="AP98" s="358"/>
      <c r="AQ98" s="358"/>
      <c r="AR98" s="358"/>
      <c r="AS98" s="358"/>
      <c r="AT98" s="358"/>
      <c r="AU98" s="358"/>
      <c r="AV98" s="358"/>
      <c r="AW98" s="358"/>
      <c r="AX98" s="358"/>
      <c r="AY98" s="358"/>
      <c r="AZ98" s="358">
        <f>+'SEF-32 pg 35-45'!CS25</f>
        <v>0</v>
      </c>
      <c r="BA98" s="358"/>
      <c r="BB98" s="370">
        <f>'SEF-32 pg 35-45'!EC66</f>
        <v>0</v>
      </c>
      <c r="BC98" s="358"/>
      <c r="BD98" s="370"/>
      <c r="BE98" s="358"/>
      <c r="BF98" s="370"/>
      <c r="BG98" s="371">
        <f t="shared" si="24"/>
        <v>-312346.13394414925</v>
      </c>
      <c r="BH98" s="371">
        <f t="shared" si="25"/>
        <v>174198652.61537677</v>
      </c>
      <c r="BI98" s="82"/>
      <c r="BJ98" s="356"/>
      <c r="BK98" s="82"/>
    </row>
    <row r="99" spans="1:63" outlineLevel="1" x14ac:dyDescent="0.25">
      <c r="A99" s="317">
        <f t="shared" si="18"/>
        <v>24</v>
      </c>
      <c r="B99" s="349" t="s">
        <v>101</v>
      </c>
      <c r="C99" s="402">
        <v>45291</v>
      </c>
      <c r="D99" s="1260">
        <f t="shared" si="23"/>
        <v>365465905.59209752</v>
      </c>
      <c r="E99" s="358"/>
      <c r="F99" s="358"/>
      <c r="G99" s="358"/>
      <c r="H99" s="358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  <c r="AA99" s="358">
        <f>'SEF-32 pg 1-34, 46'!OK32</f>
        <v>-4730967.9799999986</v>
      </c>
      <c r="AB99" s="358"/>
      <c r="AC99" s="358"/>
      <c r="AD99" s="358"/>
      <c r="AE99" s="358">
        <f>'SEF-32 pg 1-34, 46'!$RI$17+'SEF-32 pg 1-34, 46'!$RI$18+'SEF-32 pg 1-34, 46'!RI22+'SEF-32 pg 1-34, 46'!RI23</f>
        <v>1153244.5001822114</v>
      </c>
      <c r="AF99" s="358">
        <f>'SEF-32 pg 1-34, 46'!$SA$16+'SEF-32 pg 1-34, 46'!$SA$17</f>
        <v>-174784.55000000002</v>
      </c>
      <c r="AG99" s="358">
        <f>'SEF-32 pg 1-34, 46'!$SS$16+'SEF-32 pg 1-34, 46'!$SS$17</f>
        <v>3130403.3304500002</v>
      </c>
      <c r="AH99" s="358">
        <f>'SEF-32 pg 1-34, 46'!$SS$34+'SEF-32 pg 1-34, 46'!$SS$35</f>
        <v>301743.54000000004</v>
      </c>
      <c r="AI99" s="358">
        <f>'SEF-32 pg 1-34, 46'!$SS$52+'SEF-32 pg 1-34, 46'!$SS$53</f>
        <v>1286931.1299999999</v>
      </c>
      <c r="AJ99" s="358">
        <f>'SEF-32 pg 1-34, 46'!$SS$70+'SEF-32 pg 1-34, 46'!$SS$71</f>
        <v>594415.70433000021</v>
      </c>
      <c r="AK99" s="358"/>
      <c r="AL99" s="358"/>
      <c r="AM99" s="358"/>
      <c r="AN99" s="358"/>
      <c r="AO99" s="358"/>
      <c r="AP99" s="358"/>
      <c r="AQ99" s="358"/>
      <c r="AR99" s="358"/>
      <c r="AS99" s="358"/>
      <c r="AT99" s="358"/>
      <c r="AU99" s="358"/>
      <c r="AV99" s="358"/>
      <c r="AW99" s="358"/>
      <c r="AX99" s="358"/>
      <c r="AY99" s="358"/>
      <c r="AZ99" s="358"/>
      <c r="BA99" s="358"/>
      <c r="BB99" s="358">
        <f>'SEF-32 pg 35-45'!EC62</f>
        <v>0</v>
      </c>
      <c r="BC99" s="358"/>
      <c r="BD99" s="358"/>
      <c r="BE99" s="358"/>
      <c r="BF99" s="358"/>
      <c r="BG99" s="357">
        <f t="shared" si="24"/>
        <v>1560985.6749622133</v>
      </c>
      <c r="BH99" s="357">
        <f t="shared" si="25"/>
        <v>367026891.26705974</v>
      </c>
      <c r="BI99" s="82"/>
      <c r="BJ99" s="356"/>
      <c r="BK99" s="82"/>
    </row>
    <row r="100" spans="1:63" outlineLevel="1" x14ac:dyDescent="0.25">
      <c r="A100" s="317">
        <f t="shared" si="18"/>
        <v>25</v>
      </c>
      <c r="B100" s="349" t="s">
        <v>102</v>
      </c>
      <c r="C100" s="402">
        <v>45291</v>
      </c>
      <c r="D100" s="1260">
        <f t="shared" si="23"/>
        <v>61937163.936125472</v>
      </c>
      <c r="E100" s="358"/>
      <c r="F100" s="358"/>
      <c r="G100" s="358"/>
      <c r="H100" s="358"/>
      <c r="I100" s="358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  <c r="AA100" s="358"/>
      <c r="AB100" s="358"/>
      <c r="AC100" s="358"/>
      <c r="AD100" s="358"/>
      <c r="AE100" s="358">
        <f>'SEF-32 pg 1-34, 46'!$RI$19+'SEF-32 pg 1-34, 46'!$RI$20</f>
        <v>-31809.370972745121</v>
      </c>
      <c r="AF100" s="358">
        <f>'SEF-32 pg 1-34, 46'!$SA$18+'SEF-32 pg 1-34, 46'!$SA$19</f>
        <v>0</v>
      </c>
      <c r="AG100" s="358">
        <f>'SEF-32 pg 1-34, 46'!$SS$18+'SEF-32 pg 1-34, 46'!$SS$19</f>
        <v>361037.52274000004</v>
      </c>
      <c r="AH100" s="358">
        <f>'SEF-32 pg 1-34, 46'!$SS$36+'SEF-32 pg 1-34, 46'!$SS$37</f>
        <v>2048.9499999999998</v>
      </c>
      <c r="AI100" s="358">
        <f>'SEF-32 pg 1-34, 46'!$SS$54+'SEF-32 pg 1-34, 46'!$SS$55</f>
        <v>0</v>
      </c>
      <c r="AJ100" s="358">
        <f>'SEF-32 pg 1-34, 46'!$SS$72+'SEF-32 pg 1-34, 46'!$SS$73</f>
        <v>742178.91590000002</v>
      </c>
      <c r="AK100" s="358"/>
      <c r="AL100" s="358"/>
      <c r="AM100" s="358"/>
      <c r="AN100" s="358"/>
      <c r="AO100" s="358"/>
      <c r="AP100" s="358"/>
      <c r="AQ100" s="358"/>
      <c r="AR100" s="358"/>
      <c r="AS100" s="358"/>
      <c r="AT100" s="358"/>
      <c r="AU100" s="358"/>
      <c r="AV100" s="358"/>
      <c r="AW100" s="358"/>
      <c r="AX100" s="358"/>
      <c r="AY100" s="358"/>
      <c r="AZ100" s="358">
        <f>+'SEF-32 pg 35-45'!CS24</f>
        <v>0</v>
      </c>
      <c r="BA100" s="358"/>
      <c r="BB100" s="358"/>
      <c r="BC100" s="358">
        <f>'SEF-32 pg 35-45'!EU37</f>
        <v>0</v>
      </c>
      <c r="BD100" s="358"/>
      <c r="BE100" s="358">
        <f>'SEF-32 pg 35-45'!GE38</f>
        <v>0</v>
      </c>
      <c r="BF100" s="358"/>
      <c r="BG100" s="357">
        <f t="shared" si="24"/>
        <v>1073456.0176672549</v>
      </c>
      <c r="BH100" s="357">
        <f t="shared" si="25"/>
        <v>63010619.953792728</v>
      </c>
      <c r="BI100" s="82"/>
      <c r="BJ100" s="356"/>
      <c r="BK100" s="82"/>
    </row>
    <row r="101" spans="1:63" outlineLevel="1" x14ac:dyDescent="0.25">
      <c r="A101" s="317">
        <f t="shared" si="18"/>
        <v>26</v>
      </c>
      <c r="B101" s="369" t="s">
        <v>103</v>
      </c>
      <c r="C101" s="402">
        <v>45291</v>
      </c>
      <c r="D101" s="1260">
        <f t="shared" si="23"/>
        <v>34245088.449854851</v>
      </c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  <c r="AA101" s="358"/>
      <c r="AB101" s="358"/>
      <c r="AC101" s="358"/>
      <c r="AD101" s="358"/>
      <c r="AE101" s="358"/>
      <c r="AF101" s="358"/>
      <c r="AG101" s="358"/>
      <c r="AH101" s="358"/>
      <c r="AI101" s="358"/>
      <c r="AJ101" s="358"/>
      <c r="AK101" s="358"/>
      <c r="AL101" s="358"/>
      <c r="AM101" s="358"/>
      <c r="AN101" s="358"/>
      <c r="AO101" s="358"/>
      <c r="AP101" s="358"/>
      <c r="AQ101" s="358"/>
      <c r="AR101" s="358"/>
      <c r="AS101" s="358"/>
      <c r="AT101" s="358"/>
      <c r="AU101" s="358"/>
      <c r="AV101" s="358"/>
      <c r="AW101" s="358"/>
      <c r="AX101" s="358">
        <f>+'SEF-32 pg 35-45'!BI24</f>
        <v>0</v>
      </c>
      <c r="AY101" s="358"/>
      <c r="AZ101" s="358"/>
      <c r="BA101" s="358">
        <f>'SEF-32 pg 35-45'!DK$26</f>
        <v>0</v>
      </c>
      <c r="BB101" s="358"/>
      <c r="BC101" s="358"/>
      <c r="BD101" s="358"/>
      <c r="BE101" s="358"/>
      <c r="BF101" s="358"/>
      <c r="BG101" s="357">
        <f t="shared" si="24"/>
        <v>0</v>
      </c>
      <c r="BH101" s="357">
        <f t="shared" si="25"/>
        <v>34245088.449854851</v>
      </c>
      <c r="BI101" s="82"/>
      <c r="BJ101" s="356"/>
      <c r="BK101" s="82"/>
    </row>
    <row r="102" spans="1:63" outlineLevel="1" x14ac:dyDescent="0.25">
      <c r="A102" s="317">
        <f t="shared" si="18"/>
        <v>27</v>
      </c>
      <c r="B102" s="349" t="s">
        <v>104</v>
      </c>
      <c r="C102" s="402">
        <v>45291</v>
      </c>
      <c r="D102" s="1260">
        <f t="shared" si="23"/>
        <v>21476852.731342316</v>
      </c>
      <c r="E102" s="358">
        <f>'SEF-32 pg 1-34, 46'!G$72</f>
        <v>0</v>
      </c>
      <c r="F102" s="358"/>
      <c r="G102" s="358"/>
      <c r="H102" s="358"/>
      <c r="I102" s="358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>
        <f>'SEF-32 pg 1-34, 46'!IW19</f>
        <v>0</v>
      </c>
      <c r="T102" s="358"/>
      <c r="U102" s="358"/>
      <c r="V102" s="358"/>
      <c r="W102" s="358"/>
      <c r="X102" s="358"/>
      <c r="Y102" s="358"/>
      <c r="Z102" s="358"/>
      <c r="AA102" s="358"/>
      <c r="AB102" s="358"/>
      <c r="AC102" s="358">
        <f>'SEF-32 pg 1-34, 46'!PY17</f>
        <v>-2720.4305089763366</v>
      </c>
      <c r="AD102" s="358"/>
      <c r="AE102" s="358"/>
      <c r="AF102" s="358"/>
      <c r="AG102" s="358"/>
      <c r="AH102" s="358"/>
      <c r="AI102" s="358"/>
      <c r="AJ102" s="358"/>
      <c r="AK102" s="358"/>
      <c r="AL102" s="358">
        <f>'SEF-32 pg 1-34, 46'!UA24</f>
        <v>0</v>
      </c>
      <c r="AM102" s="358"/>
      <c r="AN102" s="358"/>
      <c r="AO102" s="358"/>
      <c r="AP102" s="358"/>
      <c r="AQ102" s="358"/>
      <c r="AR102" s="358"/>
      <c r="AS102" s="358"/>
      <c r="AT102" s="358"/>
      <c r="AU102" s="358"/>
      <c r="AV102" s="358"/>
      <c r="AW102" s="358"/>
      <c r="AX102" s="358"/>
      <c r="AY102" s="358">
        <f>'SEF-32 pg 35-45'!CA62-'SEF-32 pg 35-45'!CA51</f>
        <v>3390172.9759582337</v>
      </c>
      <c r="AZ102" s="358"/>
      <c r="BA102" s="358"/>
      <c r="BB102" s="358"/>
      <c r="BC102" s="358"/>
      <c r="BD102" s="358"/>
      <c r="BE102" s="358"/>
      <c r="BF102" s="358"/>
      <c r="BG102" s="357">
        <f t="shared" si="24"/>
        <v>3387452.5454492574</v>
      </c>
      <c r="BH102" s="357">
        <f t="shared" si="25"/>
        <v>24864305.276791573</v>
      </c>
      <c r="BI102" s="82"/>
      <c r="BJ102" s="356"/>
      <c r="BK102" s="82"/>
    </row>
    <row r="103" spans="1:63" outlineLevel="1" x14ac:dyDescent="0.25">
      <c r="A103" s="317">
        <f t="shared" si="18"/>
        <v>28</v>
      </c>
      <c r="B103" s="349" t="s">
        <v>105</v>
      </c>
      <c r="C103" s="402">
        <v>45291</v>
      </c>
      <c r="D103" s="1272">
        <f t="shared" si="23"/>
        <v>107082930.11594141</v>
      </c>
      <c r="E103" s="358">
        <f>'SEF-32 pg 1-34, 46'!G$76</f>
        <v>-9258871.7014063336</v>
      </c>
      <c r="F103" s="358">
        <f>'SEF-32 pg 1-34, 46'!Y$39</f>
        <v>-578781.84823691007</v>
      </c>
      <c r="G103" s="370">
        <f>'SEF-32 pg 1-34, 46'!AQ24</f>
        <v>0</v>
      </c>
      <c r="H103" s="358"/>
      <c r="I103" s="358"/>
      <c r="J103" s="358"/>
      <c r="K103" s="358"/>
      <c r="L103" s="358"/>
      <c r="M103" s="358"/>
      <c r="N103" s="358"/>
      <c r="O103" s="358">
        <f>'SEF-32 pg 1-34, 46'!GC27</f>
        <v>77149.216680025449</v>
      </c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8"/>
      <c r="AJ103" s="358"/>
      <c r="AK103" s="358"/>
      <c r="AL103" s="358"/>
      <c r="AM103" s="358"/>
      <c r="AN103" s="358"/>
      <c r="AO103" s="358"/>
      <c r="AP103" s="358"/>
      <c r="AQ103" s="358"/>
      <c r="AR103" s="358"/>
      <c r="AS103" s="358"/>
      <c r="AT103" s="358"/>
      <c r="AU103" s="358"/>
      <c r="AV103" s="358"/>
      <c r="AW103" s="358"/>
      <c r="AX103" s="358"/>
      <c r="AY103" s="358"/>
      <c r="AZ103" s="358"/>
      <c r="BA103" s="358"/>
      <c r="BB103" s="358">
        <f>'SEF-32 pg 35-45'!EC69</f>
        <v>0</v>
      </c>
      <c r="BC103" s="358"/>
      <c r="BD103" s="358"/>
      <c r="BE103" s="358"/>
      <c r="BF103" s="358"/>
      <c r="BG103" s="357">
        <f t="shared" si="24"/>
        <v>-9760504.3329632189</v>
      </c>
      <c r="BH103" s="371">
        <f t="shared" si="25"/>
        <v>97322425.782978192</v>
      </c>
      <c r="BI103" s="82"/>
      <c r="BJ103" s="356"/>
      <c r="BK103" s="82"/>
    </row>
    <row r="104" spans="1:63" outlineLevel="1" x14ac:dyDescent="0.25">
      <c r="A104" s="317">
        <f t="shared" si="18"/>
        <v>29</v>
      </c>
      <c r="B104" s="349" t="s">
        <v>106</v>
      </c>
      <c r="C104" s="402">
        <v>45291</v>
      </c>
      <c r="D104" s="1272">
        <f t="shared" si="23"/>
        <v>70688730.301505998</v>
      </c>
      <c r="E104" s="370">
        <f>'SEF-32 pg 1-34, 46'!G$81</f>
        <v>-48000449.314222507</v>
      </c>
      <c r="F104" s="370">
        <f>'SEF-32 pg 1-34, 46'!Y58</f>
        <v>-3000558.7793238391</v>
      </c>
      <c r="G104" s="370">
        <f>'SEF-32 pg 1-34, 46'!AQ29</f>
        <v>0</v>
      </c>
      <c r="H104" s="358">
        <f>+'SEF-32 pg 1-34, 46'!BG16</f>
        <v>0</v>
      </c>
      <c r="I104" s="358">
        <f>+'SEF-32 pg 1-34, 46'!BY23</f>
        <v>-2863596.510559116</v>
      </c>
      <c r="J104" s="358"/>
      <c r="K104" s="358"/>
      <c r="L104" s="358"/>
      <c r="M104" s="358">
        <f>'SEF-32 pg 1-34, 46'!ES25</f>
        <v>-142243.42361804823</v>
      </c>
      <c r="N104" s="358"/>
      <c r="O104" s="358">
        <f>'SEF-32 pg 1-34, 46'!GC30</f>
        <v>-200515.9202794274</v>
      </c>
      <c r="P104" s="358"/>
      <c r="Q104" s="358"/>
      <c r="R104" s="358">
        <f>'SEF-32 pg 1-34, 46'!IE22</f>
        <v>0</v>
      </c>
      <c r="S104" s="358">
        <f>'SEF-32 pg 1-34, 46'!IW21</f>
        <v>0</v>
      </c>
      <c r="T104" s="358"/>
      <c r="U104" s="358">
        <f>'SEF-32 pg 1-34, 46'!KG19</f>
        <v>0</v>
      </c>
      <c r="V104" s="358"/>
      <c r="W104" s="358"/>
      <c r="X104" s="358"/>
      <c r="Y104" s="370"/>
      <c r="Z104" s="358"/>
      <c r="AA104" s="358">
        <f>'SEF-32 pg 1-34, 46'!OK34</f>
        <v>993503.27579999971</v>
      </c>
      <c r="AB104" s="370">
        <f>'SEF-32 pg 1-34, 46'!PC52</f>
        <v>0</v>
      </c>
      <c r="AC104" s="358">
        <f>'SEF-32 pg 1-34, 46'!PY20</f>
        <v>571.29040688503062</v>
      </c>
      <c r="AD104" s="358"/>
      <c r="AE104" s="358">
        <f>'SEF-32 pg 1-34, 46'!$RI$29</f>
        <v>-235501.3771339879</v>
      </c>
      <c r="AF104" s="358">
        <f>'SEF-32 pg 1-34, 46'!$SA$28</f>
        <v>36704.755499999999</v>
      </c>
      <c r="AG104" s="358">
        <f>'SEF-32 pg 1-34, 46'!$SS$24</f>
        <v>-733202.57916990004</v>
      </c>
      <c r="AH104" s="358">
        <f>'SEF-32 pg 1-34, 46'!$SS$42</f>
        <v>-63796.422900000005</v>
      </c>
      <c r="AI104" s="358">
        <f>'SEF-32 pg 1-34, 46'!$SS$60</f>
        <v>-270255.53729999997</v>
      </c>
      <c r="AJ104" s="358">
        <f>'SEF-32 pg 1-34, 46'!$SS$78</f>
        <v>-280684.87024830002</v>
      </c>
      <c r="AK104" s="370"/>
      <c r="AL104" s="358">
        <f>'SEF-32 pg 1-34, 46'!UA26</f>
        <v>0</v>
      </c>
      <c r="AM104" s="358"/>
      <c r="AN104" s="358"/>
      <c r="AO104" s="358"/>
      <c r="AP104" s="358"/>
      <c r="AQ104" s="358"/>
      <c r="AR104" s="358"/>
      <c r="AS104" s="358"/>
      <c r="AT104" s="358"/>
      <c r="AU104" s="358"/>
      <c r="AV104" s="358"/>
      <c r="AW104" s="358"/>
      <c r="AX104" s="358">
        <f>+'SEF-32 pg 35-45'!BI28</f>
        <v>0</v>
      </c>
      <c r="AY104" s="358">
        <f>'SEF-32 pg 35-45'!CA64</f>
        <v>-985640.13748263975</v>
      </c>
      <c r="AZ104" s="358">
        <f>+'SEF-32 pg 35-45'!CS28</f>
        <v>0</v>
      </c>
      <c r="BA104" s="358">
        <f>'SEF-32 pg 35-45'!DK$28</f>
        <v>0</v>
      </c>
      <c r="BB104" s="370">
        <f>'SEF-32 pg 35-45'!EC70+'SEF-32 pg 35-45'!EC73+'SEF-32 pg 35-45'!EC75</f>
        <v>0</v>
      </c>
      <c r="BC104" s="358">
        <f>'SEF-32 pg 35-45'!EU41</f>
        <v>0</v>
      </c>
      <c r="BD104" s="370"/>
      <c r="BE104" s="358">
        <f>'SEF-32 pg 35-45'!GE44</f>
        <v>0</v>
      </c>
      <c r="BF104" s="370"/>
      <c r="BG104" s="371">
        <f t="shared" si="24"/>
        <v>-55745665.550530888</v>
      </c>
      <c r="BH104" s="371">
        <f t="shared" si="25"/>
        <v>14943064.75097511</v>
      </c>
      <c r="BI104" s="82"/>
      <c r="BJ104" s="356"/>
      <c r="BK104" s="82"/>
    </row>
    <row r="105" spans="1:63" outlineLevel="1" x14ac:dyDescent="0.25">
      <c r="A105" s="317">
        <f t="shared" si="18"/>
        <v>30</v>
      </c>
      <c r="B105" s="365" t="s">
        <v>107</v>
      </c>
      <c r="C105" s="402">
        <v>45291</v>
      </c>
      <c r="D105" s="1260">
        <f t="shared" si="23"/>
        <v>-43416959.290300004</v>
      </c>
      <c r="E105" s="358"/>
      <c r="F105" s="358"/>
      <c r="G105" s="358"/>
      <c r="H105" s="358">
        <f>SUM('SEF-32 pg 1-34, 46'!BG17:BG21)</f>
        <v>-3832342.7665624972</v>
      </c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  <c r="AA105" s="358"/>
      <c r="AB105" s="358"/>
      <c r="AC105" s="358"/>
      <c r="AD105" s="358"/>
      <c r="AE105" s="358"/>
      <c r="AF105" s="358"/>
      <c r="AG105" s="358"/>
      <c r="AH105" s="358"/>
      <c r="AI105" s="358"/>
      <c r="AJ105" s="358"/>
      <c r="AK105" s="358"/>
      <c r="AL105" s="358"/>
      <c r="AM105" s="358"/>
      <c r="AN105" s="358"/>
      <c r="AO105" s="358"/>
      <c r="AP105" s="358"/>
      <c r="AQ105" s="358"/>
      <c r="AR105" s="358"/>
      <c r="AS105" s="358"/>
      <c r="AT105" s="358"/>
      <c r="AU105" s="358"/>
      <c r="AV105" s="358"/>
      <c r="AW105" s="358"/>
      <c r="AX105" s="358"/>
      <c r="AY105" s="358"/>
      <c r="AZ105" s="358"/>
      <c r="BA105" s="358"/>
      <c r="BB105" s="358"/>
      <c r="BC105" s="358"/>
      <c r="BD105" s="358"/>
      <c r="BE105" s="358"/>
      <c r="BF105" s="358"/>
      <c r="BG105" s="357">
        <f t="shared" si="24"/>
        <v>-3832342.7665624972</v>
      </c>
      <c r="BH105" s="357">
        <f t="shared" si="25"/>
        <v>-47249302.056862503</v>
      </c>
      <c r="BI105" s="82"/>
      <c r="BJ105" s="356"/>
      <c r="BK105" s="82"/>
    </row>
    <row r="106" spans="1:63" outlineLevel="1" x14ac:dyDescent="0.25">
      <c r="A106" s="317">
        <f t="shared" si="18"/>
        <v>31</v>
      </c>
      <c r="B106" s="349" t="s">
        <v>109</v>
      </c>
      <c r="C106" s="402">
        <v>45291</v>
      </c>
      <c r="D106" s="1281">
        <f>SUM(D90:D105)</f>
        <v>2994905587.890449</v>
      </c>
      <c r="E106" s="372">
        <f t="shared" ref="E106:AH106" si="26">SUM(E90:E105)</f>
        <v>-60023292.590239868</v>
      </c>
      <c r="F106" s="372">
        <f t="shared" si="26"/>
        <v>-3752119.4096865091</v>
      </c>
      <c r="G106" s="372">
        <f t="shared" si="26"/>
        <v>0</v>
      </c>
      <c r="H106" s="368">
        <f t="shared" si="26"/>
        <v>-3832342.7665624972</v>
      </c>
      <c r="I106" s="368">
        <f t="shared" si="26"/>
        <v>-2863596.510559116</v>
      </c>
      <c r="J106" s="368">
        <f t="shared" si="26"/>
        <v>0</v>
      </c>
      <c r="K106" s="368">
        <f t="shared" si="26"/>
        <v>0</v>
      </c>
      <c r="L106" s="368">
        <f t="shared" si="26"/>
        <v>0</v>
      </c>
      <c r="M106" s="368">
        <f t="shared" si="26"/>
        <v>535106.21265837201</v>
      </c>
      <c r="N106" s="368">
        <f t="shared" si="26"/>
        <v>0</v>
      </c>
      <c r="O106" s="368">
        <f t="shared" si="26"/>
        <v>754321.79533689353</v>
      </c>
      <c r="P106" s="368">
        <f t="shared" si="26"/>
        <v>0</v>
      </c>
      <c r="Q106" s="368">
        <f t="shared" si="26"/>
        <v>0</v>
      </c>
      <c r="R106" s="368">
        <f t="shared" si="26"/>
        <v>0</v>
      </c>
      <c r="S106" s="368">
        <f t="shared" si="26"/>
        <v>0</v>
      </c>
      <c r="T106" s="368">
        <f t="shared" si="26"/>
        <v>0</v>
      </c>
      <c r="U106" s="368">
        <f t="shared" si="26"/>
        <v>0</v>
      </c>
      <c r="V106" s="368">
        <f t="shared" si="26"/>
        <v>0</v>
      </c>
      <c r="W106" s="368">
        <f t="shared" si="26"/>
        <v>0</v>
      </c>
      <c r="X106" s="368">
        <f t="shared" si="26"/>
        <v>0</v>
      </c>
      <c r="Y106" s="368">
        <f t="shared" si="26"/>
        <v>0</v>
      </c>
      <c r="Z106" s="368">
        <f t="shared" si="26"/>
        <v>0</v>
      </c>
      <c r="AA106" s="368">
        <f t="shared" si="26"/>
        <v>-3737464.7041999986</v>
      </c>
      <c r="AB106" s="368">
        <f t="shared" si="26"/>
        <v>0</v>
      </c>
      <c r="AC106" s="368">
        <f t="shared" si="26"/>
        <v>-2149.1401020913058</v>
      </c>
      <c r="AD106" s="368">
        <f t="shared" si="26"/>
        <v>0</v>
      </c>
      <c r="AE106" s="368">
        <f t="shared" si="26"/>
        <v>885933.75207547843</v>
      </c>
      <c r="AF106" s="368">
        <f t="shared" si="26"/>
        <v>-138079.79450000002</v>
      </c>
      <c r="AG106" s="368">
        <f t="shared" si="26"/>
        <v>2758238.2740201</v>
      </c>
      <c r="AH106" s="368">
        <f t="shared" si="26"/>
        <v>239996.06710000004</v>
      </c>
      <c r="AI106" s="368">
        <f>SUM(AI90:AI105)</f>
        <v>1016675.5926999999</v>
      </c>
      <c r="AJ106" s="368">
        <f>SUM(AJ90:AJ105)</f>
        <v>1055909.7499817002</v>
      </c>
      <c r="AK106" s="368">
        <f>SUM(AK90:AK105)</f>
        <v>0</v>
      </c>
      <c r="AL106" s="368">
        <f>SUM(AL90:AL105)</f>
        <v>0</v>
      </c>
      <c r="AM106" s="368">
        <f>SUM(AM90:AM105)</f>
        <v>0</v>
      </c>
      <c r="AN106" s="368">
        <f t="shared" ref="AN106:BH106" si="27">SUM(AN90:AN105)</f>
        <v>0</v>
      </c>
      <c r="AO106" s="368">
        <f t="shared" si="27"/>
        <v>0</v>
      </c>
      <c r="AP106" s="368">
        <f t="shared" si="27"/>
        <v>0</v>
      </c>
      <c r="AQ106" s="368">
        <f t="shared" si="27"/>
        <v>0</v>
      </c>
      <c r="AR106" s="368">
        <f t="shared" si="27"/>
        <v>0</v>
      </c>
      <c r="AS106" s="368">
        <f t="shared" si="27"/>
        <v>0</v>
      </c>
      <c r="AT106" s="368">
        <f t="shared" si="27"/>
        <v>0</v>
      </c>
      <c r="AU106" s="368">
        <f t="shared" si="27"/>
        <v>0</v>
      </c>
      <c r="AV106" s="368">
        <f t="shared" si="27"/>
        <v>0</v>
      </c>
      <c r="AW106" s="368">
        <f t="shared" si="27"/>
        <v>0</v>
      </c>
      <c r="AX106" s="368">
        <f t="shared" si="27"/>
        <v>0</v>
      </c>
      <c r="AY106" s="368">
        <f t="shared" si="27"/>
        <v>2404532.8384755938</v>
      </c>
      <c r="AZ106" s="368">
        <f t="shared" si="27"/>
        <v>0</v>
      </c>
      <c r="BA106" s="368">
        <f t="shared" si="27"/>
        <v>0</v>
      </c>
      <c r="BB106" s="368">
        <f t="shared" si="27"/>
        <v>0</v>
      </c>
      <c r="BC106" s="368">
        <f t="shared" si="27"/>
        <v>0</v>
      </c>
      <c r="BD106" s="368">
        <f t="shared" si="27"/>
        <v>0</v>
      </c>
      <c r="BE106" s="368">
        <f>SUM(BE90:BE105)</f>
        <v>0</v>
      </c>
      <c r="BF106" s="368">
        <f t="shared" si="27"/>
        <v>0</v>
      </c>
      <c r="BG106" s="373">
        <f t="shared" si="27"/>
        <v>-64698330.633501947</v>
      </c>
      <c r="BH106" s="373">
        <f t="shared" si="27"/>
        <v>2930207257.2569475</v>
      </c>
      <c r="BI106" s="82"/>
      <c r="BJ106" s="356"/>
      <c r="BK106" s="82"/>
    </row>
    <row r="107" spans="1:63" outlineLevel="1" x14ac:dyDescent="0.25">
      <c r="A107" s="317">
        <f t="shared" si="18"/>
        <v>32</v>
      </c>
      <c r="B107" s="365"/>
      <c r="C107" s="402">
        <v>45291</v>
      </c>
      <c r="D107" s="1264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375"/>
      <c r="AF107" s="375"/>
      <c r="AG107" s="375"/>
      <c r="AH107" s="375"/>
      <c r="AI107" s="375"/>
      <c r="AJ107" s="375"/>
      <c r="AK107" s="375"/>
      <c r="AL107" s="375"/>
      <c r="AM107" s="375"/>
      <c r="AN107" s="375"/>
      <c r="AO107" s="375"/>
      <c r="AP107" s="375"/>
      <c r="AQ107" s="375"/>
      <c r="AR107" s="375"/>
      <c r="AS107" s="375"/>
      <c r="AT107" s="375"/>
      <c r="AU107" s="375"/>
      <c r="AV107" s="375"/>
      <c r="AW107" s="375"/>
      <c r="AX107" s="375"/>
      <c r="AY107" s="375"/>
      <c r="AZ107" s="375"/>
      <c r="BA107" s="375"/>
      <c r="BB107" s="375"/>
      <c r="BC107" s="375"/>
      <c r="BD107" s="375"/>
      <c r="BE107" s="375"/>
      <c r="BF107" s="375"/>
      <c r="BG107" s="374"/>
      <c r="BH107" s="374"/>
      <c r="BI107" s="82"/>
      <c r="BJ107" s="356"/>
      <c r="BK107" s="82"/>
    </row>
    <row r="108" spans="1:63" ht="15.75" outlineLevel="1" thickBot="1" x14ac:dyDescent="0.3">
      <c r="A108" s="317">
        <f t="shared" si="18"/>
        <v>33</v>
      </c>
      <c r="B108" s="365" t="s">
        <v>110</v>
      </c>
      <c r="C108" s="402">
        <v>45291</v>
      </c>
      <c r="D108" s="1282">
        <f>+D81-D106</f>
        <v>304897458.18115425</v>
      </c>
      <c r="E108" s="377">
        <f t="shared" ref="E108:AH108" si="28">+E81-E106</f>
        <v>-180573118.84874183</v>
      </c>
      <c r="F108" s="377">
        <f t="shared" si="28"/>
        <v>-11287816.360313492</v>
      </c>
      <c r="G108" s="377">
        <f t="shared" si="28"/>
        <v>0</v>
      </c>
      <c r="H108" s="378">
        <f t="shared" si="28"/>
        <v>3832342.7665624972</v>
      </c>
      <c r="I108" s="378">
        <f t="shared" si="28"/>
        <v>2863596.510559116</v>
      </c>
      <c r="J108" s="378">
        <f t="shared" si="28"/>
        <v>0</v>
      </c>
      <c r="K108" s="378">
        <f t="shared" si="28"/>
        <v>0</v>
      </c>
      <c r="L108" s="378">
        <f t="shared" si="28"/>
        <v>0</v>
      </c>
      <c r="M108" s="378">
        <f t="shared" si="28"/>
        <v>-535106.21265837201</v>
      </c>
      <c r="N108" s="378">
        <f t="shared" si="28"/>
        <v>0</v>
      </c>
      <c r="O108" s="378">
        <f t="shared" si="28"/>
        <v>-754321.79533689353</v>
      </c>
      <c r="P108" s="378">
        <f t="shared" si="28"/>
        <v>0</v>
      </c>
      <c r="Q108" s="378">
        <f t="shared" si="28"/>
        <v>0</v>
      </c>
      <c r="R108" s="378">
        <f t="shared" si="28"/>
        <v>0</v>
      </c>
      <c r="S108" s="378">
        <f t="shared" si="28"/>
        <v>0</v>
      </c>
      <c r="T108" s="378">
        <f t="shared" si="28"/>
        <v>0</v>
      </c>
      <c r="U108" s="378">
        <f t="shared" si="28"/>
        <v>0</v>
      </c>
      <c r="V108" s="378">
        <f t="shared" si="28"/>
        <v>0</v>
      </c>
      <c r="W108" s="378">
        <f t="shared" si="28"/>
        <v>0</v>
      </c>
      <c r="X108" s="378">
        <f t="shared" si="28"/>
        <v>0</v>
      </c>
      <c r="Y108" s="378">
        <f t="shared" si="28"/>
        <v>0</v>
      </c>
      <c r="Z108" s="378">
        <f t="shared" si="28"/>
        <v>0</v>
      </c>
      <c r="AA108" s="378">
        <f t="shared" si="28"/>
        <v>3737464.7041999986</v>
      </c>
      <c r="AB108" s="378">
        <f t="shared" si="28"/>
        <v>0</v>
      </c>
      <c r="AC108" s="378">
        <f t="shared" si="28"/>
        <v>2149.1401020913058</v>
      </c>
      <c r="AD108" s="378">
        <f t="shared" si="28"/>
        <v>0</v>
      </c>
      <c r="AE108" s="378">
        <f t="shared" si="28"/>
        <v>-885933.75207547843</v>
      </c>
      <c r="AF108" s="378">
        <f t="shared" si="28"/>
        <v>138079.79450000002</v>
      </c>
      <c r="AG108" s="378">
        <f t="shared" si="28"/>
        <v>-2758238.2740201</v>
      </c>
      <c r="AH108" s="378">
        <f t="shared" si="28"/>
        <v>-239996.06710000004</v>
      </c>
      <c r="AI108" s="378">
        <f>+AI81-AI106</f>
        <v>-1016675.5926999999</v>
      </c>
      <c r="AJ108" s="378">
        <f>+AJ81-AJ106</f>
        <v>-1055909.7499817002</v>
      </c>
      <c r="AK108" s="378">
        <f>+AK81-AK106</f>
        <v>0</v>
      </c>
      <c r="AL108" s="378">
        <f>+AL81-AL106</f>
        <v>0</v>
      </c>
      <c r="AM108" s="378">
        <f>+AM81-AM106</f>
        <v>0</v>
      </c>
      <c r="AN108" s="378">
        <f t="shared" ref="AN108:BH108" si="29">+AN81-AN106</f>
        <v>0</v>
      </c>
      <c r="AO108" s="378">
        <f t="shared" si="29"/>
        <v>0</v>
      </c>
      <c r="AP108" s="378">
        <f t="shared" si="29"/>
        <v>0</v>
      </c>
      <c r="AQ108" s="378">
        <f t="shared" si="29"/>
        <v>0</v>
      </c>
      <c r="AR108" s="378">
        <f t="shared" si="29"/>
        <v>0</v>
      </c>
      <c r="AS108" s="378">
        <f t="shared" si="29"/>
        <v>0</v>
      </c>
      <c r="AT108" s="378">
        <f t="shared" si="29"/>
        <v>0</v>
      </c>
      <c r="AU108" s="378">
        <f t="shared" si="29"/>
        <v>0</v>
      </c>
      <c r="AV108" s="378">
        <f t="shared" si="29"/>
        <v>0</v>
      </c>
      <c r="AW108" s="378">
        <f t="shared" si="29"/>
        <v>0</v>
      </c>
      <c r="AX108" s="378">
        <f t="shared" si="29"/>
        <v>0</v>
      </c>
      <c r="AY108" s="378">
        <f>+AY81-AY106</f>
        <v>-3707884.3267204068</v>
      </c>
      <c r="AZ108" s="378">
        <f t="shared" si="29"/>
        <v>0</v>
      </c>
      <c r="BA108" s="378">
        <f t="shared" si="29"/>
        <v>0</v>
      </c>
      <c r="BB108" s="378">
        <f t="shared" si="29"/>
        <v>0</v>
      </c>
      <c r="BC108" s="378">
        <f t="shared" si="29"/>
        <v>0</v>
      </c>
      <c r="BD108" s="378">
        <f t="shared" si="29"/>
        <v>0</v>
      </c>
      <c r="BE108" s="378">
        <f>+BE81-BE106</f>
        <v>0</v>
      </c>
      <c r="BF108" s="378">
        <f t="shared" si="29"/>
        <v>0</v>
      </c>
      <c r="BG108" s="379">
        <f t="shared" si="29"/>
        <v>-192241368.06372455</v>
      </c>
      <c r="BH108" s="379">
        <f t="shared" si="29"/>
        <v>112656090.11742973</v>
      </c>
      <c r="BI108" s="82"/>
      <c r="BJ108" s="356"/>
      <c r="BK108" s="82"/>
    </row>
    <row r="109" spans="1:63" ht="15.75" outlineLevel="1" thickTop="1" x14ac:dyDescent="0.25">
      <c r="A109" s="317">
        <f t="shared" si="18"/>
        <v>34</v>
      </c>
      <c r="B109" s="18"/>
      <c r="C109" s="402">
        <v>45291</v>
      </c>
      <c r="D109" s="1266"/>
      <c r="E109" s="381"/>
      <c r="F109" s="381"/>
      <c r="G109" s="381"/>
      <c r="H109" s="381"/>
      <c r="I109" s="381"/>
      <c r="J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381"/>
      <c r="V109" s="381"/>
      <c r="W109" s="381"/>
      <c r="X109" s="381"/>
      <c r="Y109" s="381"/>
      <c r="Z109" s="381"/>
      <c r="AA109" s="381"/>
      <c r="AB109" s="381"/>
      <c r="AC109" s="381"/>
      <c r="AD109" s="381"/>
      <c r="AE109" s="381"/>
      <c r="AF109" s="381"/>
      <c r="AG109" s="381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81"/>
      <c r="AS109" s="381"/>
      <c r="AT109" s="381"/>
      <c r="AU109" s="381"/>
      <c r="AV109" s="381"/>
      <c r="AW109" s="381"/>
      <c r="AX109" s="381"/>
      <c r="AY109" s="381"/>
      <c r="AZ109" s="381"/>
      <c r="BA109" s="381"/>
      <c r="BB109" s="381"/>
      <c r="BC109" s="381"/>
      <c r="BD109" s="381"/>
      <c r="BE109" s="381"/>
      <c r="BF109" s="381"/>
      <c r="BG109" s="380"/>
      <c r="BH109" s="380"/>
      <c r="BI109" s="82"/>
      <c r="BJ109" s="356"/>
      <c r="BK109" s="82"/>
    </row>
    <row r="110" spans="1:63" outlineLevel="1" x14ac:dyDescent="0.25">
      <c r="A110" s="317">
        <f t="shared" si="18"/>
        <v>35</v>
      </c>
      <c r="B110" s="349" t="s">
        <v>145</v>
      </c>
      <c r="C110" s="402">
        <v>45291</v>
      </c>
      <c r="D110" s="1262">
        <f>D121</f>
        <v>5591510735.8894997</v>
      </c>
      <c r="E110" s="356">
        <f t="shared" ref="E110:AJ110" si="30">E121</f>
        <v>0</v>
      </c>
      <c r="F110" s="356">
        <f t="shared" si="30"/>
        <v>0</v>
      </c>
      <c r="G110" s="356">
        <f t="shared" si="30"/>
        <v>0</v>
      </c>
      <c r="H110" s="356">
        <f t="shared" si="30"/>
        <v>0</v>
      </c>
      <c r="I110" s="356">
        <f t="shared" si="30"/>
        <v>0</v>
      </c>
      <c r="J110" s="356">
        <f t="shared" si="30"/>
        <v>0</v>
      </c>
      <c r="K110" s="356">
        <f t="shared" si="30"/>
        <v>0</v>
      </c>
      <c r="L110" s="356">
        <f t="shared" si="30"/>
        <v>0</v>
      </c>
      <c r="M110" s="356">
        <f t="shared" si="30"/>
        <v>0</v>
      </c>
      <c r="N110" s="356">
        <f t="shared" si="30"/>
        <v>0</v>
      </c>
      <c r="O110" s="356">
        <f t="shared" si="30"/>
        <v>0</v>
      </c>
      <c r="P110" s="356">
        <f t="shared" si="30"/>
        <v>0</v>
      </c>
      <c r="Q110" s="356">
        <f t="shared" si="30"/>
        <v>0</v>
      </c>
      <c r="R110" s="356">
        <f t="shared" si="30"/>
        <v>0</v>
      </c>
      <c r="S110" s="356">
        <f t="shared" si="30"/>
        <v>0</v>
      </c>
      <c r="T110" s="356">
        <f t="shared" si="30"/>
        <v>0</v>
      </c>
      <c r="U110" s="356">
        <f t="shared" si="30"/>
        <v>0</v>
      </c>
      <c r="V110" s="356">
        <f t="shared" si="30"/>
        <v>0</v>
      </c>
      <c r="W110" s="356">
        <f t="shared" si="30"/>
        <v>0</v>
      </c>
      <c r="X110" s="356">
        <f t="shared" si="30"/>
        <v>0</v>
      </c>
      <c r="Y110" s="356">
        <f t="shared" si="30"/>
        <v>0</v>
      </c>
      <c r="Z110" s="356">
        <f t="shared" si="30"/>
        <v>0</v>
      </c>
      <c r="AA110" s="356">
        <f t="shared" si="30"/>
        <v>-60657666.762677558</v>
      </c>
      <c r="AB110" s="356">
        <f t="shared" si="30"/>
        <v>117784370.64898372</v>
      </c>
      <c r="AC110" s="356">
        <f t="shared" si="30"/>
        <v>0</v>
      </c>
      <c r="AD110" s="356">
        <f t="shared" si="30"/>
        <v>0</v>
      </c>
      <c r="AE110" s="356">
        <f t="shared" si="30"/>
        <v>-213417265.83208799</v>
      </c>
      <c r="AF110" s="356">
        <f t="shared" si="30"/>
        <v>174784.55000000002</v>
      </c>
      <c r="AG110" s="356">
        <f t="shared" si="30"/>
        <v>193636571.05324996</v>
      </c>
      <c r="AH110" s="356">
        <f t="shared" si="30"/>
        <v>48794218.919999994</v>
      </c>
      <c r="AI110" s="356">
        <f t="shared" si="30"/>
        <v>245365929.83000001</v>
      </c>
      <c r="AJ110" s="356">
        <f t="shared" si="30"/>
        <v>133865024.70928994</v>
      </c>
      <c r="AK110" s="356"/>
      <c r="AL110" s="356">
        <f>AL121</f>
        <v>0</v>
      </c>
      <c r="AM110" s="356">
        <f>AM121</f>
        <v>0</v>
      </c>
      <c r="AN110" s="356">
        <f t="shared" ref="AN110:BH110" si="31">AN121</f>
        <v>2889649.9920000006</v>
      </c>
      <c r="AO110" s="356">
        <f t="shared" si="31"/>
        <v>0</v>
      </c>
      <c r="AP110" s="356">
        <f t="shared" si="31"/>
        <v>0</v>
      </c>
      <c r="AQ110" s="356">
        <f t="shared" si="31"/>
        <v>0</v>
      </c>
      <c r="AR110" s="356">
        <f t="shared" si="31"/>
        <v>0</v>
      </c>
      <c r="AS110" s="356">
        <f t="shared" si="31"/>
        <v>0</v>
      </c>
      <c r="AT110" s="356">
        <f t="shared" si="31"/>
        <v>0</v>
      </c>
      <c r="AU110" s="356">
        <f t="shared" si="31"/>
        <v>0</v>
      </c>
      <c r="AV110" s="356">
        <f t="shared" si="31"/>
        <v>0</v>
      </c>
      <c r="AW110" s="356">
        <f t="shared" si="31"/>
        <v>53549.595000000962</v>
      </c>
      <c r="AX110" s="356">
        <f t="shared" si="31"/>
        <v>0</v>
      </c>
      <c r="AY110" s="356">
        <f t="shared" si="31"/>
        <v>52195374.07849817</v>
      </c>
      <c r="AZ110" s="356">
        <f t="shared" si="31"/>
        <v>0</v>
      </c>
      <c r="BA110" s="356">
        <f t="shared" si="31"/>
        <v>0</v>
      </c>
      <c r="BB110" s="356">
        <f t="shared" si="31"/>
        <v>0</v>
      </c>
      <c r="BC110" s="356">
        <f t="shared" si="31"/>
        <v>-2880746.5800000094</v>
      </c>
      <c r="BD110" s="356">
        <f t="shared" si="31"/>
        <v>0</v>
      </c>
      <c r="BE110" s="356">
        <f t="shared" si="31"/>
        <v>681903.88919999998</v>
      </c>
      <c r="BF110" s="356">
        <f t="shared" si="31"/>
        <v>0</v>
      </c>
      <c r="BG110" s="366">
        <f t="shared" si="31"/>
        <v>518485698.09145623</v>
      </c>
      <c r="BH110" s="366">
        <f t="shared" si="31"/>
        <v>6109996433.9809561</v>
      </c>
      <c r="BI110" s="82"/>
      <c r="BJ110" s="356"/>
      <c r="BK110" s="82"/>
    </row>
    <row r="111" spans="1:63" ht="21" customHeight="1" outlineLevel="1" x14ac:dyDescent="0.25">
      <c r="A111" s="317">
        <f t="shared" si="18"/>
        <v>36</v>
      </c>
      <c r="B111" s="365"/>
      <c r="C111" s="402">
        <v>45291</v>
      </c>
      <c r="D111" s="1258"/>
      <c r="BG111" s="351"/>
      <c r="BH111" s="351"/>
      <c r="BI111" s="82"/>
      <c r="BJ111" s="356"/>
      <c r="BK111" s="82"/>
    </row>
    <row r="112" spans="1:63" outlineLevel="1" x14ac:dyDescent="0.25">
      <c r="A112" s="317">
        <f t="shared" si="18"/>
        <v>37</v>
      </c>
      <c r="B112" s="349" t="s">
        <v>18</v>
      </c>
      <c r="C112" s="402">
        <v>45291</v>
      </c>
      <c r="D112" s="1283">
        <f>+D108/D110</f>
        <v>5.4528636817979932E-2</v>
      </c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358"/>
      <c r="AF112" s="358"/>
      <c r="AG112" s="358"/>
      <c r="AH112" s="358"/>
      <c r="AI112" s="358"/>
      <c r="AJ112" s="358"/>
      <c r="AK112" s="358"/>
      <c r="AL112" s="358"/>
      <c r="AM112" s="358"/>
      <c r="AN112" s="358"/>
      <c r="AO112" s="358"/>
      <c r="AP112" s="358"/>
      <c r="AQ112" s="358"/>
      <c r="AR112" s="358"/>
      <c r="AS112" s="358"/>
      <c r="AT112" s="358"/>
      <c r="AU112" s="358"/>
      <c r="AV112" s="358"/>
      <c r="AW112" s="358"/>
      <c r="AX112" s="358"/>
      <c r="AY112" s="358"/>
      <c r="AZ112" s="358"/>
      <c r="BA112" s="358"/>
      <c r="BB112" s="358"/>
      <c r="BC112" s="358"/>
      <c r="BD112" s="358"/>
      <c r="BE112" s="358"/>
      <c r="BF112" s="358"/>
      <c r="BG112" s="357"/>
      <c r="BH112" s="383">
        <f>+BH108/BH110</f>
        <v>1.8437996050355936E-2</v>
      </c>
      <c r="BI112" s="82"/>
      <c r="BJ112" s="356"/>
      <c r="BK112" s="82"/>
    </row>
    <row r="113" spans="1:63" outlineLevel="1" x14ac:dyDescent="0.25">
      <c r="A113" s="317">
        <f t="shared" si="18"/>
        <v>38</v>
      </c>
      <c r="B113" s="365"/>
      <c r="C113" s="402">
        <v>45291</v>
      </c>
      <c r="D113" s="1260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358"/>
      <c r="AF113" s="358"/>
      <c r="AG113" s="358"/>
      <c r="AH113" s="358"/>
      <c r="AI113" s="358"/>
      <c r="AJ113" s="358"/>
      <c r="AK113" s="358"/>
      <c r="AL113" s="358"/>
      <c r="AM113" s="358"/>
      <c r="AN113" s="358"/>
      <c r="AO113" s="358"/>
      <c r="AP113" s="358"/>
      <c r="AQ113" s="358"/>
      <c r="AR113" s="358"/>
      <c r="AS113" s="358"/>
      <c r="AT113" s="358"/>
      <c r="AU113" s="358"/>
      <c r="AV113" s="358"/>
      <c r="AW113" s="358"/>
      <c r="AX113" s="358"/>
      <c r="AY113" s="358"/>
      <c r="AZ113" s="358"/>
      <c r="BA113" s="358"/>
      <c r="BB113" s="358"/>
      <c r="BC113" s="358"/>
      <c r="BD113" s="358"/>
      <c r="BE113" s="358"/>
      <c r="BF113" s="358"/>
      <c r="BG113" s="357"/>
      <c r="BH113" s="357"/>
      <c r="BI113" s="82"/>
      <c r="BJ113" s="356"/>
      <c r="BK113" s="82"/>
    </row>
    <row r="114" spans="1:63" outlineLevel="1" x14ac:dyDescent="0.25">
      <c r="A114" s="317">
        <f t="shared" si="18"/>
        <v>39</v>
      </c>
      <c r="B114" s="365" t="s">
        <v>146</v>
      </c>
      <c r="C114" s="402">
        <v>45291</v>
      </c>
      <c r="D114" s="1260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8"/>
      <c r="AJ114" s="358"/>
      <c r="AK114" s="358"/>
      <c r="AL114" s="358"/>
      <c r="AM114" s="358"/>
      <c r="AN114" s="358"/>
      <c r="AO114" s="358"/>
      <c r="AP114" s="358"/>
      <c r="AQ114" s="358"/>
      <c r="AR114" s="358"/>
      <c r="AS114" s="358"/>
      <c r="AT114" s="358"/>
      <c r="AU114" s="358"/>
      <c r="AV114" s="358"/>
      <c r="AW114" s="358"/>
      <c r="AX114" s="358"/>
      <c r="AY114" s="358"/>
      <c r="AZ114" s="358"/>
      <c r="BA114" s="358"/>
      <c r="BB114" s="358"/>
      <c r="BC114" s="358"/>
      <c r="BD114" s="358"/>
      <c r="BE114" s="358"/>
      <c r="BF114" s="358"/>
      <c r="BG114" s="357"/>
      <c r="BH114" s="357"/>
      <c r="BI114" s="82"/>
      <c r="BJ114" s="356"/>
      <c r="BK114" s="82"/>
    </row>
    <row r="115" spans="1:63" outlineLevel="1" x14ac:dyDescent="0.25">
      <c r="A115" s="317">
        <f t="shared" si="18"/>
        <v>40</v>
      </c>
      <c r="B115" s="384" t="s">
        <v>112</v>
      </c>
      <c r="C115" s="402">
        <v>45291</v>
      </c>
      <c r="D115" s="1262">
        <f t="shared" ref="D115:D120" si="32">+BH54</f>
        <v>11193108106.166798</v>
      </c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  <c r="AA115" s="356">
        <f>'SEF-32 pg 1-34, 46'!OK18</f>
        <v>-28770635.394200001</v>
      </c>
      <c r="AB115" s="356">
        <f>'SEF-32 pg 1-34, 46'!PC21</f>
        <v>161479731.44760534</v>
      </c>
      <c r="AC115" s="356"/>
      <c r="AD115" s="356">
        <f>'SEF-32 pg 1-34, 46'!QQ19</f>
        <v>-16261754.541388333</v>
      </c>
      <c r="AE115" s="356"/>
      <c r="AF115" s="356"/>
      <c r="AG115" s="356">
        <f>'SEF-32 pg 1-34, 46'!$SS$28</f>
        <v>198533936.63822496</v>
      </c>
      <c r="AH115" s="356">
        <f>'SEF-32 pg 1-34, 46'!$SS$46</f>
        <v>44198350.349999994</v>
      </c>
      <c r="AI115" s="356">
        <f>'SEF-32 pg 1-34, 46'!$SS$64</f>
        <v>248858085.66</v>
      </c>
      <c r="AJ115" s="356">
        <f>+'SEF-32 pg 1-34, 46'!$SS$82</f>
        <v>135541938.04094994</v>
      </c>
      <c r="AK115" s="356"/>
      <c r="AL115" s="356"/>
      <c r="AM115" s="356"/>
      <c r="AN115" s="356">
        <f>'SEF-32 pg 1-34, 46'!VE19</f>
        <v>3657784.8000000003</v>
      </c>
      <c r="AO115" s="356"/>
      <c r="AP115" s="356"/>
      <c r="AQ115" s="356"/>
      <c r="AR115" s="356"/>
      <c r="AS115" s="356"/>
      <c r="AT115" s="356"/>
      <c r="AU115" s="356"/>
      <c r="AV115" s="356"/>
      <c r="AW115" s="356"/>
      <c r="AX115" s="356"/>
      <c r="AY115" s="356"/>
      <c r="AZ115" s="356">
        <f>+'SEF-32 pg 35-45'!CS18</f>
        <v>0</v>
      </c>
      <c r="BA115" s="356"/>
      <c r="BB115" s="356">
        <f>'SEF-32 pg 35-45'!EC48</f>
        <v>0</v>
      </c>
      <c r="BC115" s="356">
        <f>'SEF-32 pg 35-45'!EU23</f>
        <v>0</v>
      </c>
      <c r="BD115" s="356"/>
      <c r="BE115" s="356">
        <f>'SEF-32 pg 35-45'!GE24</f>
        <v>0</v>
      </c>
      <c r="BF115" s="356"/>
      <c r="BG115" s="366">
        <f t="shared" ref="BG115:BG120" si="33">SUM(E115:BF115)</f>
        <v>747237437.00119185</v>
      </c>
      <c r="BH115" s="366">
        <f t="shared" ref="BH115:BH120" si="34">+BG115+BH54</f>
        <v>11940345543.16799</v>
      </c>
      <c r="BI115" s="82"/>
      <c r="BJ115" s="356"/>
      <c r="BK115" s="82"/>
    </row>
    <row r="116" spans="1:63" outlineLevel="1" x14ac:dyDescent="0.25">
      <c r="A116" s="317">
        <f t="shared" si="18"/>
        <v>41</v>
      </c>
      <c r="B116" s="384" t="s">
        <v>113</v>
      </c>
      <c r="C116" s="402">
        <v>45291</v>
      </c>
      <c r="D116" s="1260">
        <f t="shared" si="32"/>
        <v>-5099483061.2199478</v>
      </c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>
        <f>'SEF-32 pg 1-34, 46'!OK19</f>
        <v>-52057610.180075027</v>
      </c>
      <c r="AB116" s="385">
        <f>'SEF-32 pg 1-34, 46'!PC27</f>
        <v>-26856211.233735442</v>
      </c>
      <c r="AC116" s="385"/>
      <c r="AD116" s="385">
        <f>'SEF-32 pg 1-34, 46'!QQ20</f>
        <v>16261754.541388333</v>
      </c>
      <c r="AE116" s="385">
        <f>'SEF-32 pg 1-34, 46'!$RI$34</f>
        <v>-210203843.5857296</v>
      </c>
      <c r="AF116" s="385">
        <f>'SEF-32 pg 1-34, 46'!$SA$33</f>
        <v>174784.55000000002</v>
      </c>
      <c r="AG116" s="385">
        <f>'SEF-32 pg 1-34, 46'!$SS$29</f>
        <v>-3491440.8531900002</v>
      </c>
      <c r="AH116" s="385">
        <f>'SEF-32 pg 1-34, 46'!$SS$47</f>
        <v>-303792.49</v>
      </c>
      <c r="AI116" s="385">
        <f>'SEF-32 pg 1-34, 46'!$SS$65</f>
        <v>-1286931.1299999999</v>
      </c>
      <c r="AJ116" s="385">
        <f>+'SEF-32 pg 1-34, 46'!$SS$83</f>
        <v>-1336594.6202300002</v>
      </c>
      <c r="AK116" s="385"/>
      <c r="AL116" s="385"/>
      <c r="AM116" s="385"/>
      <c r="AN116" s="385">
        <f>'SEF-32 pg 1-34, 46'!VE20</f>
        <v>0</v>
      </c>
      <c r="AO116" s="385"/>
      <c r="AP116" s="385"/>
      <c r="AQ116" s="385"/>
      <c r="AR116" s="385"/>
      <c r="AS116" s="385"/>
      <c r="AT116" s="385"/>
      <c r="AU116" s="385"/>
      <c r="AV116" s="385"/>
      <c r="AW116" s="385">
        <f>'SEF-32 pg 35-45'!AQ19</f>
        <v>109783.00000000093</v>
      </c>
      <c r="AX116" s="385"/>
      <c r="AY116" s="385"/>
      <c r="AZ116" s="385">
        <f>+'SEF-32 pg 35-45'!CS19</f>
        <v>0</v>
      </c>
      <c r="BA116" s="385"/>
      <c r="BB116" s="385">
        <f>'SEF-32 pg 35-45'!EC54</f>
        <v>0</v>
      </c>
      <c r="BC116" s="385">
        <f>'SEF-32 pg 35-45'!EU29</f>
        <v>-2880746.5800000094</v>
      </c>
      <c r="BD116" s="385"/>
      <c r="BE116" s="385"/>
      <c r="BF116" s="385"/>
      <c r="BG116" s="357">
        <f t="shared" si="33"/>
        <v>-281870848.5815717</v>
      </c>
      <c r="BH116" s="357">
        <f t="shared" si="34"/>
        <v>-5381353909.8015194</v>
      </c>
      <c r="BI116" s="82"/>
      <c r="BJ116" s="356"/>
      <c r="BK116" s="82"/>
    </row>
    <row r="117" spans="1:63" outlineLevel="1" x14ac:dyDescent="0.25">
      <c r="A117" s="317">
        <f t="shared" si="18"/>
        <v>42</v>
      </c>
      <c r="B117" s="365" t="s">
        <v>147</v>
      </c>
      <c r="C117" s="402">
        <v>45291</v>
      </c>
      <c r="D117" s="1260">
        <f t="shared" si="32"/>
        <v>604395611.35000002</v>
      </c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>
        <f>'SEF-32 pg 1-34, 46'!UA17</f>
        <v>0</v>
      </c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5"/>
      <c r="AX117" s="385"/>
      <c r="AY117" s="385">
        <f>'SEF-32 pg 35-45'!CA36</f>
        <v>65152660.896992534</v>
      </c>
      <c r="AZ117" s="385"/>
      <c r="BA117" s="385"/>
      <c r="BB117" s="385">
        <f>'SEF-32 pg 35-45'!EC55</f>
        <v>0</v>
      </c>
      <c r="BC117" s="385"/>
      <c r="BD117" s="385">
        <f>'SEF-32 pg 35-45'!FM18+'SEF-32 pg 35-45'!FM19+'SEF-32 pg 35-45'!FM20</f>
        <v>0</v>
      </c>
      <c r="BE117" s="385">
        <f>'SEF-32 pg 35-45'!GE22</f>
        <v>863169.48</v>
      </c>
      <c r="BF117" s="385"/>
      <c r="BG117" s="357">
        <f t="shared" si="33"/>
        <v>66015830.376992531</v>
      </c>
      <c r="BH117" s="357">
        <f t="shared" si="34"/>
        <v>670411441.72699261</v>
      </c>
      <c r="BI117" s="82"/>
      <c r="BJ117" s="356"/>
      <c r="BK117" s="82"/>
    </row>
    <row r="118" spans="1:63" outlineLevel="1" x14ac:dyDescent="0.25">
      <c r="A118" s="317">
        <f t="shared" si="18"/>
        <v>43</v>
      </c>
      <c r="B118" s="365" t="s">
        <v>148</v>
      </c>
      <c r="C118" s="402">
        <v>45291</v>
      </c>
      <c r="D118" s="1260">
        <f t="shared" si="32"/>
        <v>-1187035196.4647081</v>
      </c>
      <c r="E118" s="385"/>
      <c r="F118" s="385"/>
      <c r="G118" s="385"/>
      <c r="H118" s="385">
        <f>+'SEF-32 pg 1-34, 46'!BG29</f>
        <v>0</v>
      </c>
      <c r="I118" s="385"/>
      <c r="J118" s="385"/>
      <c r="K118" s="385"/>
      <c r="L118" s="385"/>
      <c r="M118" s="385"/>
      <c r="N118" s="385"/>
      <c r="O118" s="385"/>
      <c r="P118" s="385"/>
      <c r="Q118" s="385"/>
      <c r="R118" s="385"/>
      <c r="S118" s="385"/>
      <c r="T118" s="385"/>
      <c r="U118" s="385"/>
      <c r="V118" s="385"/>
      <c r="W118" s="385"/>
      <c r="X118" s="385"/>
      <c r="Y118" s="385"/>
      <c r="Z118" s="385"/>
      <c r="AA118" s="385">
        <f>'SEF-32 pg 1-34, 46'!OK20</f>
        <v>20170578.811597474</v>
      </c>
      <c r="AB118" s="385">
        <f>'SEF-32 pg 1-34, 46'!PC33</f>
        <v>-16839149.564886183</v>
      </c>
      <c r="AC118" s="385"/>
      <c r="AD118" s="385"/>
      <c r="AE118" s="385">
        <f>'SEF-32 pg 1-34, 46'!$RI$35</f>
        <v>-3213422.2463583946</v>
      </c>
      <c r="AF118" s="385">
        <f>'SEF-32 pg 1-34, 46'!$SA$34</f>
        <v>0</v>
      </c>
      <c r="AG118" s="385">
        <f>'SEF-32 pg 1-34, 46'!$SS$30</f>
        <v>-1405924.7317849998</v>
      </c>
      <c r="AH118" s="385">
        <f>'SEF-32 pg 1-34, 46'!$SS$48</f>
        <v>4899661.0600000005</v>
      </c>
      <c r="AI118" s="385">
        <f>'SEF-32 pg 1-34, 46'!$SS$66</f>
        <v>-2205224.6999999997</v>
      </c>
      <c r="AJ118" s="385">
        <f>+'SEF-32 pg 1-34, 46'!$SS$84</f>
        <v>-340318.71143000014</v>
      </c>
      <c r="AK118" s="385"/>
      <c r="AL118" s="385">
        <f>'SEF-32 pg 1-34, 46'!UA18</f>
        <v>0</v>
      </c>
      <c r="AM118" s="385"/>
      <c r="AN118" s="385">
        <f>'SEF-32 pg 1-34, 46'!VE21</f>
        <v>-768134.80799999996</v>
      </c>
      <c r="AO118" s="385"/>
      <c r="AP118" s="385"/>
      <c r="AQ118" s="385"/>
      <c r="AR118" s="385"/>
      <c r="AS118" s="385"/>
      <c r="AT118" s="385"/>
      <c r="AU118" s="385"/>
      <c r="AV118" s="385"/>
      <c r="AW118" s="385">
        <f>'SEF-32 pg 35-45'!AQ20</f>
        <v>-56233.40499999997</v>
      </c>
      <c r="AX118" s="385"/>
      <c r="AY118" s="385">
        <f>'SEF-32 pg 35-45'!CA37</f>
        <v>-12957286.818494361</v>
      </c>
      <c r="AZ118" s="385">
        <f>+'SEF-32 pg 35-45'!CS20</f>
        <v>0</v>
      </c>
      <c r="BA118" s="385"/>
      <c r="BB118" s="385">
        <f>'SEF-32 pg 35-45'!EC56</f>
        <v>0</v>
      </c>
      <c r="BC118" s="385">
        <f>'SEF-32 pg 35-45'!EU21</f>
        <v>0</v>
      </c>
      <c r="BD118" s="385">
        <f>'SEF-32 pg 35-45'!FM21</f>
        <v>0</v>
      </c>
      <c r="BE118" s="385">
        <f>'SEF-32 pg 35-45'!GE30</f>
        <v>-181265.59080000001</v>
      </c>
      <c r="BF118" s="385"/>
      <c r="BG118" s="357">
        <f t="shared" si="33"/>
        <v>-12896720.705156464</v>
      </c>
      <c r="BH118" s="357">
        <f t="shared" si="34"/>
        <v>-1199931917.1698647</v>
      </c>
      <c r="BI118" s="82"/>
      <c r="BJ118" s="356"/>
      <c r="BK118" s="82"/>
    </row>
    <row r="119" spans="1:63" outlineLevel="1" x14ac:dyDescent="0.25">
      <c r="A119" s="317">
        <f t="shared" si="18"/>
        <v>44</v>
      </c>
      <c r="B119" s="365" t="s">
        <v>149</v>
      </c>
      <c r="C119" s="402">
        <v>45291</v>
      </c>
      <c r="D119" s="1268">
        <f t="shared" si="32"/>
        <v>222518805.82795244</v>
      </c>
      <c r="E119" s="385"/>
      <c r="F119" s="385"/>
      <c r="G119" s="385"/>
      <c r="H119" s="385"/>
      <c r="I119" s="385"/>
      <c r="J119" s="385"/>
      <c r="K119" s="385"/>
      <c r="L119" s="385"/>
      <c r="M119" s="385"/>
      <c r="N119" s="385"/>
      <c r="O119" s="385"/>
      <c r="P119" s="385"/>
      <c r="Q119" s="385"/>
      <c r="R119" s="385"/>
      <c r="S119" s="385"/>
      <c r="T119" s="385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5"/>
      <c r="AX119" s="385"/>
      <c r="AY119" s="385"/>
      <c r="AZ119" s="385"/>
      <c r="BA119" s="385"/>
      <c r="BB119" s="385"/>
      <c r="BC119" s="385"/>
      <c r="BD119" s="385"/>
      <c r="BE119" s="385"/>
      <c r="BF119" s="385"/>
      <c r="BG119" s="357">
        <f t="shared" si="33"/>
        <v>0</v>
      </c>
      <c r="BH119" s="357">
        <f t="shared" si="34"/>
        <v>222518805.82795244</v>
      </c>
      <c r="BI119" s="82"/>
      <c r="BJ119" s="356"/>
      <c r="BK119" s="82"/>
    </row>
    <row r="120" spans="1:63" outlineLevel="1" x14ac:dyDescent="0.25">
      <c r="A120" s="317">
        <f t="shared" si="18"/>
        <v>45</v>
      </c>
      <c r="B120" s="365" t="s">
        <v>150</v>
      </c>
      <c r="C120" s="402">
        <v>45291</v>
      </c>
      <c r="D120" s="1260">
        <f t="shared" si="32"/>
        <v>-141993529.77059498</v>
      </c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5"/>
      <c r="P120" s="385"/>
      <c r="Q120" s="385"/>
      <c r="R120" s="385"/>
      <c r="S120" s="385"/>
      <c r="T120" s="385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5"/>
      <c r="AG120" s="385"/>
      <c r="AH120" s="385"/>
      <c r="AI120" s="385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5"/>
      <c r="AX120" s="385"/>
      <c r="AY120" s="385"/>
      <c r="AZ120" s="385"/>
      <c r="BA120" s="385"/>
      <c r="BB120" s="385"/>
      <c r="BC120" s="385"/>
      <c r="BD120" s="385"/>
      <c r="BE120" s="385"/>
      <c r="BF120" s="385"/>
      <c r="BG120" s="357">
        <f t="shared" si="33"/>
        <v>0</v>
      </c>
      <c r="BH120" s="357">
        <f t="shared" si="34"/>
        <v>-141993529.77059498</v>
      </c>
      <c r="BI120" s="82"/>
      <c r="BJ120" s="356"/>
      <c r="BK120" s="82"/>
    </row>
    <row r="121" spans="1:63" ht="15.75" outlineLevel="1" thickBot="1" x14ac:dyDescent="0.3">
      <c r="A121" s="317">
        <f t="shared" si="18"/>
        <v>46</v>
      </c>
      <c r="B121" s="365" t="s">
        <v>118</v>
      </c>
      <c r="C121" s="402">
        <v>45291</v>
      </c>
      <c r="D121" s="1269">
        <f>SUM(D115:D120)</f>
        <v>5591510735.8894997</v>
      </c>
      <c r="E121" s="389">
        <f t="shared" ref="E121:BH121" si="35">SUM(E115:E120)</f>
        <v>0</v>
      </c>
      <c r="F121" s="389">
        <f t="shared" si="35"/>
        <v>0</v>
      </c>
      <c r="G121" s="389">
        <f t="shared" si="35"/>
        <v>0</v>
      </c>
      <c r="H121" s="389">
        <f t="shared" si="35"/>
        <v>0</v>
      </c>
      <c r="I121" s="389">
        <f t="shared" si="35"/>
        <v>0</v>
      </c>
      <c r="J121" s="389">
        <f t="shared" si="35"/>
        <v>0</v>
      </c>
      <c r="K121" s="389">
        <f t="shared" si="35"/>
        <v>0</v>
      </c>
      <c r="L121" s="389">
        <f t="shared" si="35"/>
        <v>0</v>
      </c>
      <c r="M121" s="389">
        <f t="shared" si="35"/>
        <v>0</v>
      </c>
      <c r="N121" s="389">
        <f t="shared" si="35"/>
        <v>0</v>
      </c>
      <c r="O121" s="389">
        <f t="shared" si="35"/>
        <v>0</v>
      </c>
      <c r="P121" s="389">
        <f t="shared" si="35"/>
        <v>0</v>
      </c>
      <c r="Q121" s="389">
        <f t="shared" si="35"/>
        <v>0</v>
      </c>
      <c r="R121" s="389">
        <f t="shared" si="35"/>
        <v>0</v>
      </c>
      <c r="S121" s="389">
        <f t="shared" si="35"/>
        <v>0</v>
      </c>
      <c r="T121" s="389">
        <f t="shared" si="35"/>
        <v>0</v>
      </c>
      <c r="U121" s="389">
        <f t="shared" si="35"/>
        <v>0</v>
      </c>
      <c r="V121" s="389">
        <f t="shared" si="35"/>
        <v>0</v>
      </c>
      <c r="W121" s="389">
        <f t="shared" si="35"/>
        <v>0</v>
      </c>
      <c r="X121" s="389">
        <f t="shared" si="35"/>
        <v>0</v>
      </c>
      <c r="Y121" s="389">
        <f t="shared" si="35"/>
        <v>0</v>
      </c>
      <c r="Z121" s="389">
        <f t="shared" si="35"/>
        <v>0</v>
      </c>
      <c r="AA121" s="389">
        <f t="shared" si="35"/>
        <v>-60657666.762677558</v>
      </c>
      <c r="AB121" s="389">
        <f t="shared" si="35"/>
        <v>117784370.64898372</v>
      </c>
      <c r="AC121" s="389">
        <f t="shared" si="35"/>
        <v>0</v>
      </c>
      <c r="AD121" s="389">
        <f t="shared" si="35"/>
        <v>0</v>
      </c>
      <c r="AE121" s="389">
        <f t="shared" si="35"/>
        <v>-213417265.83208799</v>
      </c>
      <c r="AF121" s="389">
        <f t="shared" si="35"/>
        <v>174784.55000000002</v>
      </c>
      <c r="AG121" s="389">
        <f t="shared" si="35"/>
        <v>193636571.05324996</v>
      </c>
      <c r="AH121" s="389">
        <f t="shared" si="35"/>
        <v>48794218.919999994</v>
      </c>
      <c r="AI121" s="389">
        <f t="shared" si="35"/>
        <v>245365929.83000001</v>
      </c>
      <c r="AJ121" s="389">
        <f t="shared" si="35"/>
        <v>133865024.70928994</v>
      </c>
      <c r="AK121" s="389">
        <f t="shared" si="35"/>
        <v>0</v>
      </c>
      <c r="AL121" s="389">
        <f t="shared" si="35"/>
        <v>0</v>
      </c>
      <c r="AM121" s="389">
        <f t="shared" si="35"/>
        <v>0</v>
      </c>
      <c r="AN121" s="389">
        <f t="shared" si="35"/>
        <v>2889649.9920000006</v>
      </c>
      <c r="AO121" s="389">
        <f t="shared" si="35"/>
        <v>0</v>
      </c>
      <c r="AP121" s="389">
        <f t="shared" si="35"/>
        <v>0</v>
      </c>
      <c r="AQ121" s="389">
        <f t="shared" si="35"/>
        <v>0</v>
      </c>
      <c r="AR121" s="389">
        <f t="shared" si="35"/>
        <v>0</v>
      </c>
      <c r="AS121" s="389">
        <f t="shared" si="35"/>
        <v>0</v>
      </c>
      <c r="AT121" s="389">
        <f t="shared" si="35"/>
        <v>0</v>
      </c>
      <c r="AU121" s="389">
        <f t="shared" si="35"/>
        <v>0</v>
      </c>
      <c r="AV121" s="389">
        <f t="shared" si="35"/>
        <v>0</v>
      </c>
      <c r="AW121" s="389">
        <f t="shared" si="35"/>
        <v>53549.595000000962</v>
      </c>
      <c r="AX121" s="389">
        <f t="shared" si="35"/>
        <v>0</v>
      </c>
      <c r="AY121" s="389">
        <f t="shared" si="35"/>
        <v>52195374.07849817</v>
      </c>
      <c r="AZ121" s="389">
        <f t="shared" si="35"/>
        <v>0</v>
      </c>
      <c r="BA121" s="389">
        <f t="shared" si="35"/>
        <v>0</v>
      </c>
      <c r="BB121" s="389">
        <f t="shared" si="35"/>
        <v>0</v>
      </c>
      <c r="BC121" s="389">
        <f t="shared" si="35"/>
        <v>-2880746.5800000094</v>
      </c>
      <c r="BD121" s="389">
        <f t="shared" si="35"/>
        <v>0</v>
      </c>
      <c r="BE121" s="389">
        <f t="shared" si="35"/>
        <v>681903.88919999998</v>
      </c>
      <c r="BF121" s="389">
        <f t="shared" si="35"/>
        <v>0</v>
      </c>
      <c r="BG121" s="388">
        <f t="shared" si="35"/>
        <v>518485698.09145623</v>
      </c>
      <c r="BH121" s="388">
        <f t="shared" si="35"/>
        <v>6109996433.9809561</v>
      </c>
      <c r="BI121" s="82"/>
      <c r="BJ121" s="356"/>
      <c r="BK121" s="82"/>
    </row>
    <row r="122" spans="1:63" ht="15.75" outlineLevel="1" thickTop="1" x14ac:dyDescent="0.25">
      <c r="A122" s="317">
        <f t="shared" si="18"/>
        <v>47</v>
      </c>
      <c r="C122" s="402">
        <v>45291</v>
      </c>
      <c r="D122" s="1258"/>
      <c r="BG122" s="351"/>
      <c r="BH122" s="351"/>
      <c r="BI122" s="82"/>
      <c r="BJ122" s="356"/>
      <c r="BK122" s="82"/>
    </row>
    <row r="123" spans="1:63" outlineLevel="1" x14ac:dyDescent="0.25">
      <c r="A123" s="317">
        <f t="shared" si="18"/>
        <v>48</v>
      </c>
      <c r="B123" s="365" t="s">
        <v>119</v>
      </c>
      <c r="C123" s="402">
        <v>45291</v>
      </c>
      <c r="D123" s="1270">
        <f>+'SEF-29 pg 1-2'!$C$13</f>
        <v>7.6499999999999999E-2</v>
      </c>
      <c r="E123" s="80">
        <f>+'SEF-29 pg 1-2'!$C$13</f>
        <v>7.6499999999999999E-2</v>
      </c>
      <c r="F123" s="80">
        <f>+'SEF-29 pg 1-2'!$C$13</f>
        <v>7.6499999999999999E-2</v>
      </c>
      <c r="G123" s="80">
        <f>+'SEF-29 pg 1-2'!$C$13</f>
        <v>7.6499999999999999E-2</v>
      </c>
      <c r="H123" s="80">
        <f>+'SEF-29 pg 1-2'!$C$13</f>
        <v>7.6499999999999999E-2</v>
      </c>
      <c r="I123" s="80">
        <f>+'SEF-29 pg 1-2'!$C$13</f>
        <v>7.6499999999999999E-2</v>
      </c>
      <c r="J123" s="80">
        <f>+'SEF-29 pg 1-2'!$C$13</f>
        <v>7.6499999999999999E-2</v>
      </c>
      <c r="K123" s="80">
        <f>+'SEF-29 pg 1-2'!$C$13</f>
        <v>7.6499999999999999E-2</v>
      </c>
      <c r="L123" s="80">
        <f>+'SEF-29 pg 1-2'!$C$13</f>
        <v>7.6499999999999999E-2</v>
      </c>
      <c r="M123" s="80">
        <f>+'SEF-29 pg 1-2'!$C$13</f>
        <v>7.6499999999999999E-2</v>
      </c>
      <c r="N123" s="80">
        <f>+'SEF-29 pg 1-2'!$C$13</f>
        <v>7.6499999999999999E-2</v>
      </c>
      <c r="O123" s="80">
        <f>+'SEF-29 pg 1-2'!$C$13</f>
        <v>7.6499999999999999E-2</v>
      </c>
      <c r="P123" s="80">
        <f>+'SEF-29 pg 1-2'!$C$13</f>
        <v>7.6499999999999999E-2</v>
      </c>
      <c r="Q123" s="80">
        <f>+'SEF-29 pg 1-2'!$C$13</f>
        <v>7.6499999999999999E-2</v>
      </c>
      <c r="R123" s="80">
        <f>+'SEF-29 pg 1-2'!$C$13</f>
        <v>7.6499999999999999E-2</v>
      </c>
      <c r="S123" s="80">
        <f>+'SEF-29 pg 1-2'!$C$13</f>
        <v>7.6499999999999999E-2</v>
      </c>
      <c r="T123" s="80">
        <f>+'SEF-29 pg 1-2'!$C$13</f>
        <v>7.6499999999999999E-2</v>
      </c>
      <c r="U123" s="80">
        <f>+'SEF-29 pg 1-2'!$C$13</f>
        <v>7.6499999999999999E-2</v>
      </c>
      <c r="V123" s="80">
        <f>+'SEF-29 pg 1-2'!$C$13</f>
        <v>7.6499999999999999E-2</v>
      </c>
      <c r="W123" s="80">
        <f>+'SEF-29 pg 1-2'!$C$13</f>
        <v>7.6499999999999999E-2</v>
      </c>
      <c r="X123" s="80">
        <f>+'SEF-29 pg 1-2'!$C$13</f>
        <v>7.6499999999999999E-2</v>
      </c>
      <c r="Y123" s="80">
        <f>+'SEF-29 pg 1-2'!$C$13</f>
        <v>7.6499999999999999E-2</v>
      </c>
      <c r="Z123" s="80">
        <f>+'SEF-29 pg 1-2'!$C$13</f>
        <v>7.6499999999999999E-2</v>
      </c>
      <c r="AA123" s="80">
        <f>+'SEF-29 pg 1-2'!$C$13</f>
        <v>7.6499999999999999E-2</v>
      </c>
      <c r="AB123" s="80">
        <f>+'SEF-29 pg 1-2'!$C$13</f>
        <v>7.6499999999999999E-2</v>
      </c>
      <c r="AC123" s="80">
        <f>+'SEF-29 pg 1-2'!$C$13</f>
        <v>7.6499999999999999E-2</v>
      </c>
      <c r="AD123" s="80">
        <f>+'SEF-29 pg 1-2'!$C$13</f>
        <v>7.6499999999999999E-2</v>
      </c>
      <c r="AE123" s="80">
        <f>+'SEF-29 pg 1-2'!$C$13</f>
        <v>7.6499999999999999E-2</v>
      </c>
      <c r="AF123" s="80">
        <f>+'SEF-29 pg 1-2'!$C$13</f>
        <v>7.6499999999999999E-2</v>
      </c>
      <c r="AG123" s="80">
        <f>+'SEF-29 pg 1-2'!$C$13</f>
        <v>7.6499999999999999E-2</v>
      </c>
      <c r="AH123" s="80">
        <f>+'SEF-29 pg 1-2'!$C$13</f>
        <v>7.6499999999999999E-2</v>
      </c>
      <c r="AI123" s="80">
        <f>+'SEF-29 pg 1-2'!$C$13</f>
        <v>7.6499999999999999E-2</v>
      </c>
      <c r="AJ123" s="80">
        <f>+'SEF-29 pg 1-2'!$C$13</f>
        <v>7.6499999999999999E-2</v>
      </c>
      <c r="AK123" s="80">
        <f>+'SEF-29 pg 1-2'!$C$13</f>
        <v>7.6499999999999999E-2</v>
      </c>
      <c r="AL123" s="80">
        <f>+'SEF-29 pg 1-2'!$C$13</f>
        <v>7.6499999999999999E-2</v>
      </c>
      <c r="AM123" s="80">
        <f>+'SEF-29 pg 1-2'!$C$13</f>
        <v>7.6499999999999999E-2</v>
      </c>
      <c r="AN123" s="80">
        <f>+'SEF-29 pg 1-2'!$C$13</f>
        <v>7.6499999999999999E-2</v>
      </c>
      <c r="AO123" s="80"/>
      <c r="AP123" s="80"/>
      <c r="AQ123" s="80"/>
      <c r="AR123" s="80"/>
      <c r="AS123" s="80"/>
      <c r="AT123" s="80"/>
      <c r="AU123" s="80"/>
      <c r="AV123" s="80">
        <f>+'SEF-29 pg 1-2'!$C$13</f>
        <v>7.6499999999999999E-2</v>
      </c>
      <c r="AW123" s="80">
        <f>+'SEF-29 pg 1-2'!$C$13</f>
        <v>7.6499999999999999E-2</v>
      </c>
      <c r="AX123" s="80">
        <f>+'SEF-29 pg 1-2'!$C$13</f>
        <v>7.6499999999999999E-2</v>
      </c>
      <c r="AY123" s="80">
        <f>+'SEF-29 pg 1-2'!$C$13</f>
        <v>7.6499999999999999E-2</v>
      </c>
      <c r="AZ123" s="80">
        <f>+'SEF-29 pg 1-2'!$C$13</f>
        <v>7.6499999999999999E-2</v>
      </c>
      <c r="BA123" s="80">
        <f>+'SEF-29 pg 1-2'!$C$13</f>
        <v>7.6499999999999999E-2</v>
      </c>
      <c r="BB123" s="80">
        <f>+'SEF-29 pg 1-2'!$C$13</f>
        <v>7.6499999999999999E-2</v>
      </c>
      <c r="BC123" s="80">
        <f>+'SEF-29 pg 1-2'!$C$13</f>
        <v>7.6499999999999999E-2</v>
      </c>
      <c r="BD123" s="80">
        <f>+'SEF-29 pg 1-2'!$C$13</f>
        <v>7.6499999999999999E-2</v>
      </c>
      <c r="BE123" s="80">
        <f>+'SEF-29 pg 1-2'!$C$13</f>
        <v>7.6499999999999999E-2</v>
      </c>
      <c r="BF123" s="80">
        <f>+'SEF-29 pg 1-2'!$C$13</f>
        <v>7.6499999999999999E-2</v>
      </c>
      <c r="BG123" s="81">
        <f>+'SEF-29 pg 1-2'!$C$13</f>
        <v>7.6499999999999999E-2</v>
      </c>
      <c r="BH123" s="81">
        <f>+'SEF-29 pg 1-2'!$C$13</f>
        <v>7.6499999999999999E-2</v>
      </c>
      <c r="BI123" s="82"/>
      <c r="BJ123" s="356"/>
      <c r="BK123" s="82"/>
    </row>
    <row r="124" spans="1:63" outlineLevel="1" x14ac:dyDescent="0.25">
      <c r="A124" s="317">
        <f t="shared" si="18"/>
        <v>49</v>
      </c>
      <c r="B124" s="365" t="s">
        <v>3</v>
      </c>
      <c r="C124" s="402">
        <v>45291</v>
      </c>
      <c r="D124" s="1271">
        <f>+'SEF-31'!$E$20</f>
        <v>0.75052300000000005</v>
      </c>
      <c r="E124" s="391">
        <f>+'SEF-31'!$E$20</f>
        <v>0.75052300000000005</v>
      </c>
      <c r="F124" s="391">
        <f>+'SEF-31'!$E$20</f>
        <v>0.75052300000000005</v>
      </c>
      <c r="G124" s="391">
        <f>+'SEF-31'!$E$20</f>
        <v>0.75052300000000005</v>
      </c>
      <c r="H124" s="391">
        <f>+'SEF-31'!$E$20</f>
        <v>0.75052300000000005</v>
      </c>
      <c r="I124" s="391">
        <f>+'SEF-31'!$E$20</f>
        <v>0.75052300000000005</v>
      </c>
      <c r="J124" s="391">
        <f>+'SEF-31'!$E$20</f>
        <v>0.75052300000000005</v>
      </c>
      <c r="K124" s="391">
        <f>+'SEF-31'!$E$20</f>
        <v>0.75052300000000005</v>
      </c>
      <c r="L124" s="391">
        <f>+'SEF-31'!$E$20</f>
        <v>0.75052300000000005</v>
      </c>
      <c r="M124" s="391">
        <f>+'SEF-31'!$E$20</f>
        <v>0.75052300000000005</v>
      </c>
      <c r="N124" s="391">
        <f>+'SEF-31'!$E$20</f>
        <v>0.75052300000000005</v>
      </c>
      <c r="O124" s="391">
        <f>+'SEF-31'!$E$20</f>
        <v>0.75052300000000005</v>
      </c>
      <c r="P124" s="391">
        <f>+'SEF-31'!$E$20</f>
        <v>0.75052300000000005</v>
      </c>
      <c r="Q124" s="391">
        <f>+'SEF-31'!$E$20</f>
        <v>0.75052300000000005</v>
      </c>
      <c r="R124" s="391">
        <f>+'SEF-31'!$E$20</f>
        <v>0.75052300000000005</v>
      </c>
      <c r="S124" s="391">
        <f>+'SEF-31'!$E$20</f>
        <v>0.75052300000000005</v>
      </c>
      <c r="T124" s="391">
        <f>+'SEF-31'!$E$20</f>
        <v>0.75052300000000005</v>
      </c>
      <c r="U124" s="391">
        <f>+'SEF-31'!$E$20</f>
        <v>0.75052300000000005</v>
      </c>
      <c r="V124" s="391">
        <f>+'SEF-31'!$E$20</f>
        <v>0.75052300000000005</v>
      </c>
      <c r="W124" s="391">
        <f>+'SEF-31'!$E$20</f>
        <v>0.75052300000000005</v>
      </c>
      <c r="X124" s="391">
        <f>+'SEF-31'!$E$20</f>
        <v>0.75052300000000005</v>
      </c>
      <c r="Y124" s="391">
        <f>+'SEF-31'!$E$20</f>
        <v>0.75052300000000005</v>
      </c>
      <c r="Z124" s="391">
        <f>+'SEF-31'!$E$20</f>
        <v>0.75052300000000005</v>
      </c>
      <c r="AA124" s="391">
        <f>+'SEF-31'!$E$20</f>
        <v>0.75052300000000005</v>
      </c>
      <c r="AB124" s="391">
        <f>+'SEF-31'!$E$20</f>
        <v>0.75052300000000005</v>
      </c>
      <c r="AC124" s="391">
        <f>+'SEF-31'!$E$20</f>
        <v>0.75052300000000005</v>
      </c>
      <c r="AD124" s="391">
        <f>+'SEF-31'!$E$20</f>
        <v>0.75052300000000005</v>
      </c>
      <c r="AE124" s="391">
        <f>+'SEF-31'!$E$20</f>
        <v>0.75052300000000005</v>
      </c>
      <c r="AF124" s="391">
        <f>+'SEF-31'!$E$20</f>
        <v>0.75052300000000005</v>
      </c>
      <c r="AG124" s="391">
        <f>+'SEF-31'!$E$20</f>
        <v>0.75052300000000005</v>
      </c>
      <c r="AH124" s="391">
        <f>+'SEF-31'!$E$20</f>
        <v>0.75052300000000005</v>
      </c>
      <c r="AI124" s="391">
        <f>+'SEF-31'!$E$20</f>
        <v>0.75052300000000005</v>
      </c>
      <c r="AJ124" s="391">
        <f>+'SEF-31'!$E$20</f>
        <v>0.75052300000000005</v>
      </c>
      <c r="AK124" s="391">
        <f>+'SEF-31'!$E$20</f>
        <v>0.75052300000000005</v>
      </c>
      <c r="AL124" s="391">
        <f>+'SEF-31'!$E$20</f>
        <v>0.75052300000000005</v>
      </c>
      <c r="AM124" s="391">
        <f>+'SEF-31'!$E$20</f>
        <v>0.75052300000000005</v>
      </c>
      <c r="AN124" s="391">
        <f>+'SEF-31'!$E$20</f>
        <v>0.75052300000000005</v>
      </c>
      <c r="AO124" s="391"/>
      <c r="AP124" s="391"/>
      <c r="AQ124" s="391"/>
      <c r="AR124" s="391"/>
      <c r="AS124" s="391"/>
      <c r="AT124" s="391"/>
      <c r="AU124" s="391"/>
      <c r="AV124" s="391">
        <f>+'SEF-31'!$E$20</f>
        <v>0.75052300000000005</v>
      </c>
      <c r="AW124" s="391">
        <f>+'SEF-31'!$E$20</f>
        <v>0.75052300000000005</v>
      </c>
      <c r="AX124" s="391">
        <f>+'SEF-31'!$E$20</f>
        <v>0.75052300000000005</v>
      </c>
      <c r="AY124" s="391">
        <f>+'SEF-31'!$E$20</f>
        <v>0.75052300000000005</v>
      </c>
      <c r="AZ124" s="391">
        <f>+'SEF-31'!$E$20</f>
        <v>0.75052300000000005</v>
      </c>
      <c r="BA124" s="391">
        <f>+'SEF-31'!$E$20</f>
        <v>0.75052300000000005</v>
      </c>
      <c r="BB124" s="391">
        <f>+'SEF-31'!$E$20</f>
        <v>0.75052300000000005</v>
      </c>
      <c r="BC124" s="391">
        <f>+'SEF-31'!$E$20</f>
        <v>0.75052300000000005</v>
      </c>
      <c r="BD124" s="391">
        <f>+'SEF-31'!$E$20</f>
        <v>0.75052300000000005</v>
      </c>
      <c r="BE124" s="391">
        <f>+'SEF-31'!$E$20</f>
        <v>0.75052300000000005</v>
      </c>
      <c r="BF124" s="391">
        <f>+'SEF-31'!$E$20</f>
        <v>0.75052300000000005</v>
      </c>
      <c r="BG124" s="390">
        <f>+'SEF-31'!$E$20</f>
        <v>0.75052300000000005</v>
      </c>
      <c r="BH124" s="390">
        <f>+'SEF-31'!$E$20</f>
        <v>0.75052300000000005</v>
      </c>
      <c r="BI124" s="82"/>
      <c r="BJ124" s="356"/>
      <c r="BK124" s="82"/>
    </row>
    <row r="125" spans="1:63" outlineLevel="1" x14ac:dyDescent="0.25">
      <c r="A125" s="317">
        <f t="shared" si="18"/>
        <v>50</v>
      </c>
      <c r="B125" s="365" t="s">
        <v>152</v>
      </c>
      <c r="C125" s="402">
        <v>45291</v>
      </c>
      <c r="D125" s="1272">
        <f>+D108-(D121*D123)</f>
        <v>-122853113.11439246</v>
      </c>
      <c r="E125" s="392">
        <f t="shared" ref="E125:BF125" si="36">+E108-(E121*E123)</f>
        <v>-180573118.84874183</v>
      </c>
      <c r="F125" s="392">
        <f t="shared" si="36"/>
        <v>-11287816.360313492</v>
      </c>
      <c r="G125" s="392">
        <f t="shared" si="36"/>
        <v>0</v>
      </c>
      <c r="H125" s="382">
        <f t="shared" si="36"/>
        <v>3832342.7665624972</v>
      </c>
      <c r="I125" s="382">
        <f t="shared" si="36"/>
        <v>2863596.510559116</v>
      </c>
      <c r="J125" s="382">
        <f t="shared" si="36"/>
        <v>0</v>
      </c>
      <c r="K125" s="382">
        <f t="shared" si="36"/>
        <v>0</v>
      </c>
      <c r="L125" s="382">
        <f t="shared" si="36"/>
        <v>0</v>
      </c>
      <c r="M125" s="382">
        <f t="shared" si="36"/>
        <v>-535106.21265837201</v>
      </c>
      <c r="N125" s="382">
        <f t="shared" si="36"/>
        <v>0</v>
      </c>
      <c r="O125" s="382">
        <f t="shared" si="36"/>
        <v>-754321.79533689353</v>
      </c>
      <c r="P125" s="382">
        <f t="shared" si="36"/>
        <v>0</v>
      </c>
      <c r="Q125" s="382">
        <f t="shared" si="36"/>
        <v>0</v>
      </c>
      <c r="R125" s="382">
        <f t="shared" si="36"/>
        <v>0</v>
      </c>
      <c r="S125" s="382">
        <f t="shared" si="36"/>
        <v>0</v>
      </c>
      <c r="T125" s="382">
        <f t="shared" si="36"/>
        <v>0</v>
      </c>
      <c r="U125" s="382">
        <f t="shared" si="36"/>
        <v>0</v>
      </c>
      <c r="V125" s="382">
        <f t="shared" si="36"/>
        <v>0</v>
      </c>
      <c r="W125" s="382">
        <f t="shared" si="36"/>
        <v>0</v>
      </c>
      <c r="X125" s="382">
        <f t="shared" si="36"/>
        <v>0</v>
      </c>
      <c r="Y125" s="392">
        <f t="shared" si="36"/>
        <v>0</v>
      </c>
      <c r="Z125" s="382">
        <f t="shared" si="36"/>
        <v>0</v>
      </c>
      <c r="AA125" s="382">
        <f t="shared" si="36"/>
        <v>8377776.2115448313</v>
      </c>
      <c r="AB125" s="392">
        <f t="shared" si="36"/>
        <v>-9010504.3546472546</v>
      </c>
      <c r="AC125" s="382">
        <f t="shared" si="36"/>
        <v>2149.1401020913058</v>
      </c>
      <c r="AD125" s="382">
        <f t="shared" si="36"/>
        <v>0</v>
      </c>
      <c r="AE125" s="382">
        <f t="shared" si="36"/>
        <v>15440487.084079253</v>
      </c>
      <c r="AF125" s="382">
        <f t="shared" si="36"/>
        <v>124708.77642500002</v>
      </c>
      <c r="AG125" s="382">
        <f t="shared" si="36"/>
        <v>-17571435.959593721</v>
      </c>
      <c r="AH125" s="382">
        <f t="shared" si="36"/>
        <v>-3972753.8144799997</v>
      </c>
      <c r="AI125" s="382">
        <f t="shared" si="36"/>
        <v>-19787169.224695001</v>
      </c>
      <c r="AJ125" s="382">
        <f t="shared" si="36"/>
        <v>-11296584.140242379</v>
      </c>
      <c r="AK125" s="392">
        <f t="shared" si="36"/>
        <v>0</v>
      </c>
      <c r="AL125" s="382">
        <f t="shared" si="36"/>
        <v>0</v>
      </c>
      <c r="AM125" s="382">
        <f t="shared" si="36"/>
        <v>0</v>
      </c>
      <c r="AN125" s="382">
        <f t="shared" si="36"/>
        <v>-221058.22438800003</v>
      </c>
      <c r="AO125" s="382"/>
      <c r="AP125" s="382"/>
      <c r="AQ125" s="382"/>
      <c r="AR125" s="382"/>
      <c r="AS125" s="382"/>
      <c r="AT125" s="382"/>
      <c r="AU125" s="382"/>
      <c r="AV125" s="382">
        <f t="shared" si="36"/>
        <v>0</v>
      </c>
      <c r="AW125" s="382">
        <f t="shared" si="36"/>
        <v>-4096.5440175000731</v>
      </c>
      <c r="AX125" s="382">
        <f t="shared" si="36"/>
        <v>0</v>
      </c>
      <c r="AY125" s="382">
        <f t="shared" si="36"/>
        <v>-7700830.443725517</v>
      </c>
      <c r="AZ125" s="382">
        <f t="shared" si="36"/>
        <v>0</v>
      </c>
      <c r="BA125" s="382">
        <f t="shared" si="36"/>
        <v>0</v>
      </c>
      <c r="BB125" s="392">
        <f t="shared" si="36"/>
        <v>0</v>
      </c>
      <c r="BC125" s="382">
        <f t="shared" si="36"/>
        <v>220377.1133700007</v>
      </c>
      <c r="BD125" s="392">
        <f t="shared" si="36"/>
        <v>0</v>
      </c>
      <c r="BE125" s="382">
        <f>+BE108-(BE121*BE123)</f>
        <v>-52165.647523799998</v>
      </c>
      <c r="BF125" s="392">
        <f t="shared" si="36"/>
        <v>0</v>
      </c>
      <c r="BG125" s="371">
        <f>SUM(E125:BF125)</f>
        <v>-231905523.96772096</v>
      </c>
      <c r="BH125" s="371">
        <f>+BH108-(BH121*BH123)</f>
        <v>-354758637.08211339</v>
      </c>
      <c r="BI125" s="82"/>
      <c r="BJ125" s="356"/>
      <c r="BK125" s="82"/>
    </row>
    <row r="126" spans="1:63" outlineLevel="1" x14ac:dyDescent="0.25">
      <c r="A126" s="317">
        <f t="shared" si="18"/>
        <v>51</v>
      </c>
      <c r="B126" s="365" t="s">
        <v>153</v>
      </c>
      <c r="C126" s="402">
        <v>45291</v>
      </c>
      <c r="D126" s="1272">
        <f>-D125/D124</f>
        <v>163690004.32284215</v>
      </c>
      <c r="E126" s="392">
        <f t="shared" ref="E126:BF126" si="37">-E125/E124</f>
        <v>240596382.58753139</v>
      </c>
      <c r="F126" s="392">
        <f t="shared" si="37"/>
        <v>15039933.966465373</v>
      </c>
      <c r="G126" s="392">
        <f t="shared" si="37"/>
        <v>0</v>
      </c>
      <c r="H126" s="392">
        <f t="shared" si="37"/>
        <v>-5106229.6113010487</v>
      </c>
      <c r="I126" s="392">
        <f t="shared" si="37"/>
        <v>-3815468.0277074999</v>
      </c>
      <c r="J126" s="392">
        <f t="shared" si="37"/>
        <v>0</v>
      </c>
      <c r="K126" s="392">
        <f t="shared" si="37"/>
        <v>0</v>
      </c>
      <c r="L126" s="392">
        <f t="shared" si="37"/>
        <v>0</v>
      </c>
      <c r="M126" s="392">
        <f t="shared" si="37"/>
        <v>712977.76704827428</v>
      </c>
      <c r="N126" s="392">
        <f t="shared" si="37"/>
        <v>0</v>
      </c>
      <c r="O126" s="392">
        <f t="shared" si="37"/>
        <v>1005061.5308749945</v>
      </c>
      <c r="P126" s="392">
        <f t="shared" si="37"/>
        <v>0</v>
      </c>
      <c r="Q126" s="392">
        <f t="shared" si="37"/>
        <v>0</v>
      </c>
      <c r="R126" s="392">
        <f t="shared" si="37"/>
        <v>0</v>
      </c>
      <c r="S126" s="392">
        <f t="shared" si="37"/>
        <v>0</v>
      </c>
      <c r="T126" s="392">
        <f t="shared" si="37"/>
        <v>0</v>
      </c>
      <c r="U126" s="392">
        <f t="shared" si="37"/>
        <v>0</v>
      </c>
      <c r="V126" s="392">
        <f t="shared" si="37"/>
        <v>0</v>
      </c>
      <c r="W126" s="392">
        <f t="shared" si="37"/>
        <v>0</v>
      </c>
      <c r="X126" s="392">
        <f t="shared" si="37"/>
        <v>0</v>
      </c>
      <c r="Y126" s="392">
        <f t="shared" si="37"/>
        <v>0</v>
      </c>
      <c r="Z126" s="382">
        <f t="shared" si="37"/>
        <v>0</v>
      </c>
      <c r="AA126" s="392">
        <f t="shared" si="37"/>
        <v>-11162584.239983093</v>
      </c>
      <c r="AB126" s="392">
        <f t="shared" si="37"/>
        <v>12005633.877505759</v>
      </c>
      <c r="AC126" s="392">
        <f t="shared" si="37"/>
        <v>-2863.5233058697809</v>
      </c>
      <c r="AD126" s="382">
        <f t="shared" si="37"/>
        <v>0</v>
      </c>
      <c r="AE126" s="392">
        <f t="shared" si="37"/>
        <v>-20572969.894432619</v>
      </c>
      <c r="AF126" s="392">
        <f t="shared" si="37"/>
        <v>-166162.49791811843</v>
      </c>
      <c r="AG126" s="392">
        <f t="shared" si="37"/>
        <v>23412255.133545168</v>
      </c>
      <c r="AH126" s="392">
        <f t="shared" si="37"/>
        <v>5293313.8817597851</v>
      </c>
      <c r="AI126" s="392">
        <f t="shared" si="37"/>
        <v>26364507.449731719</v>
      </c>
      <c r="AJ126" s="392">
        <f t="shared" si="37"/>
        <v>15051616.193297712</v>
      </c>
      <c r="AK126" s="392">
        <f t="shared" si="37"/>
        <v>0</v>
      </c>
      <c r="AL126" s="392">
        <f t="shared" si="37"/>
        <v>0</v>
      </c>
      <c r="AM126" s="392">
        <f t="shared" si="37"/>
        <v>0</v>
      </c>
      <c r="AN126" s="392">
        <f t="shared" si="37"/>
        <v>294538.90738591622</v>
      </c>
      <c r="AO126" s="382"/>
      <c r="AP126" s="382"/>
      <c r="AQ126" s="382"/>
      <c r="AR126" s="382"/>
      <c r="AS126" s="382"/>
      <c r="AT126" s="382"/>
      <c r="AU126" s="382"/>
      <c r="AV126" s="392">
        <f t="shared" si="37"/>
        <v>0</v>
      </c>
      <c r="AW126" s="392">
        <f t="shared" si="37"/>
        <v>5458.252468611985</v>
      </c>
      <c r="AX126" s="392">
        <f t="shared" si="37"/>
        <v>0</v>
      </c>
      <c r="AY126" s="392">
        <f t="shared" si="37"/>
        <v>10260618.853420237</v>
      </c>
      <c r="AZ126" s="392">
        <f t="shared" si="37"/>
        <v>0</v>
      </c>
      <c r="BA126" s="392">
        <f t="shared" si="37"/>
        <v>0</v>
      </c>
      <c r="BB126" s="392">
        <f t="shared" si="37"/>
        <v>0</v>
      </c>
      <c r="BC126" s="392">
        <f t="shared" si="37"/>
        <v>-293631.39220250503</v>
      </c>
      <c r="BD126" s="392">
        <f t="shared" si="37"/>
        <v>0</v>
      </c>
      <c r="BE126" s="392">
        <f>-BE125/BE124</f>
        <v>69505.728037381923</v>
      </c>
      <c r="BF126" s="392">
        <f t="shared" si="37"/>
        <v>0</v>
      </c>
      <c r="BG126" s="371">
        <f>SUM(E126:BF126)</f>
        <v>308991894.94222158</v>
      </c>
      <c r="BH126" s="371">
        <f>-BH125/BH124</f>
        <v>472681899.26506364</v>
      </c>
      <c r="BI126" s="82"/>
      <c r="BJ126" s="356"/>
      <c r="BK126" s="82"/>
    </row>
    <row r="127" spans="1:63" outlineLevel="1" x14ac:dyDescent="0.25">
      <c r="A127" s="317">
        <f t="shared" si="18"/>
        <v>52</v>
      </c>
      <c r="B127" s="365" t="s">
        <v>128</v>
      </c>
      <c r="C127" s="402">
        <v>45291</v>
      </c>
      <c r="D127" s="1260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2"/>
      <c r="AE127" s="382"/>
      <c r="AF127" s="382"/>
      <c r="AG127" s="382"/>
      <c r="AH127" s="382"/>
      <c r="AI127" s="382"/>
      <c r="AJ127" s="382"/>
      <c r="AK127" s="382"/>
      <c r="AL127" s="382"/>
      <c r="AM127" s="382"/>
      <c r="AN127" s="382"/>
      <c r="AO127" s="382"/>
      <c r="AP127" s="382"/>
      <c r="AQ127" s="382"/>
      <c r="AR127" s="382"/>
      <c r="AS127" s="382"/>
      <c r="AT127" s="382"/>
      <c r="AU127" s="382"/>
      <c r="AV127" s="382"/>
      <c r="AW127" s="382"/>
      <c r="AX127" s="382"/>
      <c r="AY127" s="382"/>
      <c r="AZ127" s="382"/>
      <c r="BA127" s="382"/>
      <c r="BB127" s="382"/>
      <c r="BC127" s="382"/>
      <c r="BD127" s="382"/>
      <c r="BE127" s="382"/>
      <c r="BF127" s="382"/>
      <c r="BG127" s="357"/>
      <c r="BH127" s="371">
        <f>'SEF-29 pg 1-2'!C39+'SEF-29 pg 1-2'!C40</f>
        <v>-392046221.33914036</v>
      </c>
      <c r="BI127" s="82"/>
      <c r="BJ127" s="356"/>
      <c r="BK127" s="82"/>
    </row>
    <row r="128" spans="1:63" outlineLevel="1" x14ac:dyDescent="0.25">
      <c r="A128" s="317">
        <f t="shared" si="18"/>
        <v>53</v>
      </c>
      <c r="B128" s="365" t="s">
        <v>129</v>
      </c>
      <c r="C128" s="402">
        <v>45291</v>
      </c>
      <c r="D128" s="1260"/>
      <c r="E128" s="382"/>
      <c r="F128" s="382"/>
      <c r="G128" s="382"/>
      <c r="H128" s="382"/>
      <c r="I128" s="382"/>
      <c r="J128" s="382"/>
      <c r="K128" s="382"/>
      <c r="L128" s="382"/>
      <c r="M128" s="382"/>
      <c r="N128" s="382"/>
      <c r="O128" s="382"/>
      <c r="P128" s="382"/>
      <c r="Q128" s="382"/>
      <c r="R128" s="382"/>
      <c r="S128" s="382"/>
      <c r="T128" s="382"/>
      <c r="U128" s="382"/>
      <c r="V128" s="382"/>
      <c r="W128" s="382"/>
      <c r="X128" s="382"/>
      <c r="Y128" s="382"/>
      <c r="Z128" s="382"/>
      <c r="AA128" s="382"/>
      <c r="AB128" s="382"/>
      <c r="AC128" s="382"/>
      <c r="AD128" s="382"/>
      <c r="AE128" s="382"/>
      <c r="AF128" s="382"/>
      <c r="AG128" s="382"/>
      <c r="AH128" s="382"/>
      <c r="AI128" s="382"/>
      <c r="AJ128" s="382"/>
      <c r="AK128" s="382"/>
      <c r="AL128" s="382"/>
      <c r="AM128" s="382"/>
      <c r="AN128" s="382"/>
      <c r="AO128" s="382"/>
      <c r="AP128" s="382"/>
      <c r="AQ128" s="382"/>
      <c r="AR128" s="382"/>
      <c r="AS128" s="382"/>
      <c r="AT128" s="382"/>
      <c r="AU128" s="382"/>
      <c r="AV128" s="382"/>
      <c r="AW128" s="382"/>
      <c r="AX128" s="382"/>
      <c r="AY128" s="382"/>
      <c r="AZ128" s="382"/>
      <c r="BA128" s="382"/>
      <c r="BB128" s="382"/>
      <c r="BC128" s="382"/>
      <c r="BD128" s="382"/>
      <c r="BE128" s="382"/>
      <c r="BF128" s="382"/>
      <c r="BG128" s="357"/>
      <c r="BH128" s="371">
        <f>SUM(BH126:BH127)</f>
        <v>80635677.925923288</v>
      </c>
      <c r="BI128" s="82"/>
      <c r="BJ128" s="356"/>
      <c r="BK128" s="82"/>
    </row>
    <row r="129" spans="1:74" outlineLevel="1" x14ac:dyDescent="0.25">
      <c r="A129" s="65" t="s">
        <v>30</v>
      </c>
      <c r="B129" s="365"/>
      <c r="C129" s="402"/>
      <c r="D129" s="1273"/>
      <c r="E129" s="382"/>
      <c r="F129" s="382"/>
      <c r="G129" s="382"/>
      <c r="H129" s="382"/>
      <c r="I129" s="382"/>
      <c r="J129" s="382"/>
      <c r="K129" s="382"/>
      <c r="L129" s="382"/>
      <c r="M129" s="382"/>
      <c r="N129" s="382"/>
      <c r="O129" s="382"/>
      <c r="P129" s="382"/>
      <c r="Q129" s="382"/>
      <c r="R129" s="382"/>
      <c r="S129" s="382"/>
      <c r="T129" s="382"/>
      <c r="U129" s="382"/>
      <c r="V129" s="382"/>
      <c r="W129" s="382"/>
      <c r="X129" s="382"/>
      <c r="Y129" s="382"/>
      <c r="Z129" s="382"/>
      <c r="AA129" s="382"/>
      <c r="AB129" s="382"/>
      <c r="AC129" s="382"/>
      <c r="AD129" s="382"/>
      <c r="AE129" s="382"/>
      <c r="AF129" s="382"/>
      <c r="AG129" s="382"/>
      <c r="AH129" s="382"/>
      <c r="AI129" s="382"/>
      <c r="AJ129" s="382"/>
      <c r="AK129" s="382"/>
      <c r="AL129" s="382"/>
      <c r="AM129" s="382"/>
      <c r="AN129" s="382"/>
      <c r="AO129" s="382"/>
      <c r="AP129" s="382"/>
      <c r="AQ129" s="382"/>
      <c r="AR129" s="382"/>
      <c r="AS129" s="382"/>
      <c r="AT129" s="382"/>
      <c r="AU129" s="382"/>
      <c r="AV129" s="382"/>
      <c r="AW129" s="382"/>
      <c r="AX129" s="382"/>
      <c r="AY129" s="382"/>
      <c r="AZ129" s="382"/>
      <c r="BA129" s="382"/>
      <c r="BB129" s="382"/>
      <c r="BC129" s="382"/>
      <c r="BD129" s="382"/>
      <c r="BE129" s="382"/>
      <c r="BF129" s="382"/>
      <c r="BG129" s="393"/>
      <c r="BH129" s="393"/>
      <c r="BI129" s="82"/>
      <c r="BJ129" s="356"/>
      <c r="BK129" s="82"/>
    </row>
    <row r="130" spans="1:74" outlineLevel="1" x14ac:dyDescent="0.25">
      <c r="B130" s="365"/>
      <c r="C130" s="402"/>
      <c r="D130" s="1274"/>
      <c r="BG130" s="80">
        <f>+'SEF-29 pg 1-2'!$K$24</f>
        <v>7.6499999999999999E-2</v>
      </c>
      <c r="BH130" s="80">
        <f>+'SEF-29 pg 1-2'!$K$24</f>
        <v>7.6499999999999999E-2</v>
      </c>
      <c r="BI130" s="82"/>
      <c r="BJ130" s="356"/>
      <c r="BK130" s="82"/>
    </row>
    <row r="131" spans="1:74" outlineLevel="1" x14ac:dyDescent="0.25">
      <c r="B131" s="395" t="s">
        <v>154</v>
      </c>
      <c r="C131" s="402">
        <v>45291</v>
      </c>
      <c r="D131" s="1275"/>
      <c r="E131" s="397">
        <f>ROUND('SEF-32 pg 1-34, 46'!G82-E108,0)+E110</f>
        <v>0</v>
      </c>
      <c r="F131" s="397">
        <f>ROUND('SEF-32 pg 1-34, 46'!Y59-F108,0)+F110</f>
        <v>0</v>
      </c>
      <c r="G131" s="397">
        <f>ROUND('SEF-32 pg 1-34, 46'!AQ30-G108,0)+G110</f>
        <v>0</v>
      </c>
      <c r="H131" s="397">
        <f>ROUND('SEF-32 pg 1-34, 46'!BG24-H108,0)+ROUND('SEF-32 pg 1-34, 46'!BG29-H110,0)</f>
        <v>0</v>
      </c>
      <c r="I131" s="397">
        <f>ROUND('SEF-32 pg 1-34, 46'!BY24-I108,0)+I110</f>
        <v>0</v>
      </c>
      <c r="J131" s="397">
        <f>ROUND('SEF-32 pg 1-34, 46'!CQ21-J108,0)+J110</f>
        <v>0</v>
      </c>
      <c r="K131" s="397">
        <f>ROUND('SEF-32 pg 1-34, 46'!DI26-K108,0)+K110</f>
        <v>0</v>
      </c>
      <c r="L131" s="397">
        <f>ROUND('SEF-32 pg 1-34, 46'!EA22-L108,0)+L110</f>
        <v>0</v>
      </c>
      <c r="M131" s="397">
        <f>ROUND('SEF-32 pg 1-34, 46'!ES27-M108,0)+M110</f>
        <v>0</v>
      </c>
      <c r="N131" s="397">
        <f>ROUND('SEF-32 pg 1-34, 46'!FK23-N108,0)+N110</f>
        <v>0</v>
      </c>
      <c r="O131" s="397">
        <f>ROUND('SEF-32 pg 1-34, 46'!GC31-O108,0)+O110</f>
        <v>0</v>
      </c>
      <c r="P131" s="397">
        <f>ROUND('SEF-32 pg 1-34, 46'!GU37-P108,0)+P110</f>
        <v>0</v>
      </c>
      <c r="Q131" s="397">
        <f>ROUND('SEF-32 pg 1-34, 46'!HM18-Q108,0)+Q110</f>
        <v>0</v>
      </c>
      <c r="R131" s="397">
        <f>ROUND('SEF-32 pg 1-34, 46'!IE23-R108,0)+R110</f>
        <v>0</v>
      </c>
      <c r="S131" s="397">
        <f>ROUND('SEF-32 pg 1-34, 46'!IW22-S108,0)+S110</f>
        <v>0</v>
      </c>
      <c r="T131" s="397">
        <f>ROUND('SEF-32 pg 1-34, 46'!JO23-T108,0)+T110</f>
        <v>0</v>
      </c>
      <c r="U131" s="397">
        <f>ROUND('SEF-32 pg 1-34, 46'!KG20-U108,0)+U110</f>
        <v>0</v>
      </c>
      <c r="V131" s="397">
        <f>ROUND('SEF-32 pg 1-34, 46'!KY32-V108,0)+V110</f>
        <v>0</v>
      </c>
      <c r="W131" s="397">
        <f>ROUND('SEF-32 pg 1-34, 46'!LQ22-W108,0)+W110</f>
        <v>0</v>
      </c>
      <c r="X131" s="397">
        <f>ROUND('SEF-32 pg 1-34, 46'!MI31-X108,0)+ROUND('SEF-32 pg 1-34, 46'!MI36-X110,0)</f>
        <v>0</v>
      </c>
      <c r="Y131" s="397">
        <f>ROUND('SEF-32 pg 1-34, 46'!NA21-Y108,0)+Y110</f>
        <v>0</v>
      </c>
      <c r="Z131" s="397">
        <f>ROUND('SEF-32 pg 1-34, 46'!NS33-Z108,0)+Z110</f>
        <v>0</v>
      </c>
      <c r="AA131" s="397">
        <f>ROUND('SEF-32 pg 1-34, 46'!OK24-AA110+'SEF-32 pg 1-34, 46'!OK35-'SEF-30 pg 2 - 36 '!AA108,0)</f>
        <v>0</v>
      </c>
      <c r="AB131" s="397">
        <f>ROUND('SEF-32 pg 1-34, 46'!PC53-AB108,0)+ROUND('SEF-32 pg 1-34, 46'!PC35-AB110,0)</f>
        <v>0</v>
      </c>
      <c r="AC131" s="397">
        <f>ROUND('SEF-32 pg 1-34, 46'!PY21-AC108,0)+AC110</f>
        <v>0</v>
      </c>
      <c r="AD131" s="397">
        <f>+ROUND('SEF-32 pg 1-34, 46'!QQ21-AD110,0)+ROUND(-AD108,0)</f>
        <v>0</v>
      </c>
      <c r="AE131" s="397">
        <f>ROUND('SEF-32 pg 1-34, 46'!RI31-AE108,0)+ROUND('SEF-32 pg 1-34, 46'!RI36-AE110,0)</f>
        <v>0</v>
      </c>
      <c r="AF131" s="397">
        <f>ROUND('SEF-32 pg 1-34, 46'!SA30-AF108,0)+ROUND('SEF-32 pg 1-34, 46'!SA35-AF110,0)</f>
        <v>0</v>
      </c>
      <c r="AG131" s="397">
        <f>ROUND('SEF-32 pg 1-34, 46'!SS26-AG108,0)+ROUND('SEF-32 pg 1-34, 46'!SS31-AG110,0)</f>
        <v>0</v>
      </c>
      <c r="AH131" s="397">
        <f>ROUND('SEF-32 pg 1-34, 46'!SS44-AH108,0)+ROUND('SEF-32 pg 1-34, 46'!SS49-AH110,0)</f>
        <v>0</v>
      </c>
      <c r="AI131" s="397">
        <f>ROUND('SEF-32 pg 1-34, 46'!SS62-AI108,0)+ROUND('SEF-32 pg 1-34, 46'!SS67-AI110,0)</f>
        <v>0</v>
      </c>
      <c r="AJ131" s="397">
        <f>ROUND('SEF-32 pg 1-34, 46'!SS80-AJ108,0)+ROUND('SEF-32 pg 1-34, 46'!SS85-AJ110,0)</f>
        <v>0</v>
      </c>
      <c r="AK131" s="397">
        <f>ROUND('SEF-32 pg 1-34, 46'!TL35-AK108,0)+ROUND('SEF-32 pg 1-34, 46'!TL102-AK110,0)</f>
        <v>0</v>
      </c>
      <c r="AL131" s="397">
        <f>ROUND('SEF-32 pg 1-34, 46'!UA27-AL108,0)+ROUND('SEF-32 pg 1-34, 46'!UA19-AL110,0)</f>
        <v>0</v>
      </c>
      <c r="AM131" s="397">
        <f>ROUND('SEF-32 pg 1-34, 46'!UP25-AM108,0)</f>
        <v>0</v>
      </c>
      <c r="AN131" s="397">
        <f>ROUND('SEF-32 pg 1-34, 46'!VE31-AN108,0)+ROUND(AN110-'SEF-32 pg 1-34, 46'!VE23,0)</f>
        <v>0</v>
      </c>
      <c r="AO131" s="397">
        <f>ROUND('SEF-32 pg 1-34, 46'!UR25-AO108,0)</f>
        <v>0</v>
      </c>
      <c r="AP131" s="397"/>
      <c r="AQ131" s="397"/>
      <c r="AR131" s="397"/>
      <c r="AS131" s="397"/>
      <c r="AT131" s="397"/>
      <c r="AU131" s="397"/>
      <c r="AV131" s="397">
        <f>ROUND('SEF-32 pg 35-45'!G41-'SEF-30 pg 2 - 36 '!AV108,0)+AV110</f>
        <v>0</v>
      </c>
      <c r="AW131" s="397">
        <f>ROUND('SEF-32 pg 35-45'!AQ29-'SEF-30 pg 2 - 36 '!AW108,0)+ROUND('SEF-32 pg 35-45'!AQ21-'SEF-30 pg 2 - 36 '!AW110,0)</f>
        <v>0</v>
      </c>
      <c r="AX131" s="397">
        <f>ROUND('SEF-32 pg 35-45'!BI30-'SEF-30 pg 2 - 36 '!AX108,0)+AX110</f>
        <v>0</v>
      </c>
      <c r="AY131" s="397">
        <f>ROUND('SEF-32 pg 35-45'!CA32-AY110,0)+ROUND('SEF-32 pg 35-45'!CA66-AY108,0)</f>
        <v>0</v>
      </c>
      <c r="AZ131" s="397">
        <f>ROUND('SEF-32 pg 35-45'!CS29-'SEF-30 pg 2 - 36 '!AZ108,0)+ROUND('SEF-32 pg 35-45'!CS21-'SEF-30 pg 2 - 36 '!AZ110,0)</f>
        <v>0</v>
      </c>
      <c r="BA131" s="397">
        <f>ROUND('SEF-32 pg 35-45'!DK30-'SEF-30 pg 2 - 36 '!BA108,0)+BA110</f>
        <v>0</v>
      </c>
      <c r="BB131" s="397">
        <f>'SEF-32 pg 35-45'!EC55-BB121+'SEF-32 pg 35-45'!EC75-BB108</f>
        <v>0</v>
      </c>
      <c r="BC131" s="397">
        <f>ROUND('SEF-32 pg 35-45'!EU42-'SEF-30 pg 2 - 36 '!BC108,0)+ROUND('SEF-32 pg 35-45'!EU31-'SEF-30 pg 2 - 36 '!BC110,0)</f>
        <v>0</v>
      </c>
      <c r="BD131" s="397">
        <f>ROUND('SEF-32 pg 35-45'!FM24-'SEF-30 pg 2 - 36 '!BD108,0)+BD110</f>
        <v>0</v>
      </c>
      <c r="BE131" s="397">
        <f>ROUND('SEF-32 pg 35-45'!GE42-'SEF-30 pg 2 - 36 '!BE108,0)+ROUND('SEF-32 pg 35-45'!GE32-'SEF-30 pg 2 - 36 '!BE110,0)</f>
        <v>0</v>
      </c>
      <c r="BF131" s="397">
        <f>ROUND('SEF-32 pg 35-45'!GW37-'SEF-30 pg 2 - 36 '!BF108,0)</f>
        <v>0</v>
      </c>
      <c r="BG131" s="398"/>
      <c r="BH131" s="398"/>
      <c r="BI131" s="82"/>
      <c r="BK131" s="82"/>
    </row>
    <row r="132" spans="1:74" outlineLevel="1" x14ac:dyDescent="0.25">
      <c r="B132" s="395" t="s">
        <v>155</v>
      </c>
      <c r="C132" s="402">
        <v>45291</v>
      </c>
      <c r="D132" s="1276">
        <f>'SEF-30 pg 1'!E47-D108</f>
        <v>0</v>
      </c>
      <c r="BH132" s="397">
        <f>'SEF-30 pg 1'!G47-BH108</f>
        <v>0</v>
      </c>
      <c r="BI132" s="82"/>
      <c r="BK132" s="82"/>
    </row>
    <row r="133" spans="1:74" outlineLevel="1" x14ac:dyDescent="0.25">
      <c r="B133" s="395" t="s">
        <v>156</v>
      </c>
      <c r="C133" s="402">
        <v>45291</v>
      </c>
      <c r="D133" s="1276">
        <f>'SEF-30 pg 1'!E58-D121</f>
        <v>0</v>
      </c>
      <c r="BH133" s="397">
        <f>'SEF-30 pg 1'!G58-BH121</f>
        <v>0</v>
      </c>
      <c r="BI133" s="82"/>
      <c r="BK133" s="82"/>
    </row>
    <row r="134" spans="1:74" x14ac:dyDescent="0.25">
      <c r="B134" s="461"/>
      <c r="C134" s="350"/>
      <c r="D134" s="1257"/>
      <c r="BH134" s="1248"/>
      <c r="BI134" s="82"/>
      <c r="BK134" s="82"/>
      <c r="BO134" s="19"/>
      <c r="BP134" s="19"/>
      <c r="BQ134" s="19"/>
      <c r="BR134" s="19"/>
      <c r="BS134" s="19"/>
      <c r="BT134" s="19"/>
      <c r="BU134" s="19"/>
      <c r="BV134" s="19"/>
    </row>
    <row r="135" spans="1:74" outlineLevel="1" x14ac:dyDescent="0.25">
      <c r="B135" s="399"/>
      <c r="C135" s="1246" t="s">
        <v>158</v>
      </c>
      <c r="D135" s="1256"/>
      <c r="E135" s="326">
        <v>45627</v>
      </c>
      <c r="F135" s="326">
        <v>45627</v>
      </c>
      <c r="G135" s="326">
        <v>45627</v>
      </c>
      <c r="H135" s="326">
        <v>45627</v>
      </c>
      <c r="I135" s="326">
        <v>45627</v>
      </c>
      <c r="J135" s="326">
        <v>45627</v>
      </c>
      <c r="K135" s="326">
        <v>45627</v>
      </c>
      <c r="L135" s="326">
        <v>45627</v>
      </c>
      <c r="M135" s="326">
        <v>45627</v>
      </c>
      <c r="N135" s="326">
        <v>45627</v>
      </c>
      <c r="O135" s="326">
        <v>45627</v>
      </c>
      <c r="P135" s="326">
        <v>45627</v>
      </c>
      <c r="Q135" s="326">
        <v>45627</v>
      </c>
      <c r="R135" s="326">
        <v>45627</v>
      </c>
      <c r="S135" s="326">
        <v>45627</v>
      </c>
      <c r="T135" s="326">
        <v>45627</v>
      </c>
      <c r="U135" s="326">
        <v>45627</v>
      </c>
      <c r="V135" s="326">
        <v>45627</v>
      </c>
      <c r="W135" s="326">
        <v>45627</v>
      </c>
      <c r="X135" s="326">
        <v>45627</v>
      </c>
      <c r="Y135" s="326">
        <v>45627</v>
      </c>
      <c r="Z135" s="326">
        <v>45627</v>
      </c>
      <c r="AA135" s="326">
        <v>45627</v>
      </c>
      <c r="AB135" s="326">
        <v>45627</v>
      </c>
      <c r="AC135" s="326">
        <v>45627</v>
      </c>
      <c r="AD135" s="326">
        <v>45627</v>
      </c>
      <c r="AE135" s="326">
        <v>45627</v>
      </c>
      <c r="AF135" s="326">
        <v>45627</v>
      </c>
      <c r="AG135" s="326">
        <v>45627</v>
      </c>
      <c r="AH135" s="326">
        <v>45627</v>
      </c>
      <c r="AI135" s="326">
        <v>45627</v>
      </c>
      <c r="AJ135" s="326">
        <v>45627</v>
      </c>
      <c r="AK135" s="326">
        <v>45627</v>
      </c>
      <c r="AL135" s="326">
        <v>45627</v>
      </c>
      <c r="AM135" s="326">
        <v>45627</v>
      </c>
      <c r="AN135" s="326">
        <v>45627</v>
      </c>
      <c r="AO135" s="326">
        <v>45627</v>
      </c>
      <c r="AP135" s="326">
        <v>45627</v>
      </c>
      <c r="AQ135" s="326">
        <v>45627</v>
      </c>
      <c r="AR135" s="326">
        <v>45627</v>
      </c>
      <c r="AS135" s="326">
        <v>45627</v>
      </c>
      <c r="AT135" s="326">
        <v>45627</v>
      </c>
      <c r="AU135" s="326">
        <v>45627</v>
      </c>
      <c r="AV135" s="326">
        <v>45627</v>
      </c>
      <c r="AW135" s="326">
        <v>45627</v>
      </c>
      <c r="AX135" s="326">
        <v>45627</v>
      </c>
      <c r="AY135" s="326">
        <v>45627</v>
      </c>
      <c r="AZ135" s="326">
        <v>45627</v>
      </c>
      <c r="BA135" s="326">
        <v>45627</v>
      </c>
      <c r="BB135" s="326">
        <v>45627</v>
      </c>
      <c r="BC135" s="326">
        <v>45627</v>
      </c>
      <c r="BD135" s="326">
        <v>45627</v>
      </c>
      <c r="BE135" s="326">
        <v>45627</v>
      </c>
      <c r="BF135" s="326">
        <v>45627</v>
      </c>
      <c r="BH135" s="1248"/>
      <c r="BI135" s="82"/>
      <c r="BK135" s="82"/>
      <c r="BO135" s="19"/>
      <c r="BP135" s="19"/>
      <c r="BQ135" s="19"/>
      <c r="BR135" s="19"/>
      <c r="BS135" s="19"/>
      <c r="BT135" s="19"/>
      <c r="BU135" s="19"/>
      <c r="BV135" s="19"/>
    </row>
    <row r="136" spans="1:74" outlineLevel="1" x14ac:dyDescent="0.25">
      <c r="B136" s="399"/>
      <c r="C136" s="1289">
        <v>2024</v>
      </c>
      <c r="D136" s="1257"/>
      <c r="E136" s="1249"/>
      <c r="F136" s="1249"/>
      <c r="G136" s="1249"/>
      <c r="H136" s="1249"/>
      <c r="I136" s="1249"/>
      <c r="J136" s="1249"/>
      <c r="K136" s="1249"/>
      <c r="L136" s="1249"/>
      <c r="M136" s="1249"/>
      <c r="N136" s="1249"/>
      <c r="O136" s="1249"/>
      <c r="P136" s="1249"/>
      <c r="Q136" s="1249"/>
      <c r="R136" s="1249"/>
      <c r="S136" s="1249"/>
      <c r="T136" s="1249"/>
      <c r="U136" s="1249"/>
      <c r="V136" s="1249"/>
      <c r="W136" s="1249"/>
      <c r="X136" s="1249"/>
      <c r="Y136" s="1249"/>
      <c r="Z136" s="1249"/>
      <c r="AA136" s="1249"/>
      <c r="AB136" s="1249"/>
      <c r="AC136" s="1249"/>
      <c r="AD136" s="1249"/>
      <c r="AE136" s="1249"/>
      <c r="AF136" s="1249"/>
      <c r="AG136" s="1249"/>
      <c r="AH136" s="1249"/>
      <c r="AI136" s="1249"/>
      <c r="AJ136" s="1249"/>
      <c r="AK136" s="1249"/>
      <c r="AL136" s="1249"/>
      <c r="AM136" s="1249"/>
      <c r="AN136" s="1249"/>
      <c r="AO136" s="1249"/>
      <c r="AP136" s="1249"/>
      <c r="AQ136" s="1249"/>
      <c r="AR136" s="1249"/>
      <c r="AS136" s="1249"/>
      <c r="AT136" s="1249"/>
      <c r="AU136" s="1249"/>
      <c r="AV136" s="1249"/>
      <c r="AW136" s="1249"/>
      <c r="AX136" s="1249"/>
      <c r="AY136" s="1249"/>
      <c r="AZ136" s="1249"/>
      <c r="BA136" s="1249"/>
      <c r="BB136" s="1249"/>
      <c r="BC136" s="1249"/>
      <c r="BD136" s="1249"/>
      <c r="BE136" s="1249"/>
      <c r="BF136" s="1249"/>
      <c r="BH136" s="1248"/>
      <c r="BI136" s="82"/>
      <c r="BK136" s="82"/>
      <c r="BO136" s="19"/>
      <c r="BP136" s="19"/>
      <c r="BQ136" s="19"/>
      <c r="BR136" s="19"/>
      <c r="BS136" s="19"/>
      <c r="BT136" s="19"/>
      <c r="BU136" s="19"/>
      <c r="BV136" s="19"/>
    </row>
    <row r="137" spans="1:74" outlineLevel="1" x14ac:dyDescent="0.25">
      <c r="A137" s="317">
        <f t="shared" ref="A137:A189" si="38">A198</f>
        <v>1</v>
      </c>
      <c r="B137" s="349" t="s">
        <v>81</v>
      </c>
      <c r="C137" s="350" t="s">
        <v>159</v>
      </c>
      <c r="D137" s="1262"/>
      <c r="BG137" s="352"/>
      <c r="BH137" s="352"/>
      <c r="BI137" s="82"/>
      <c r="BK137" s="82"/>
    </row>
    <row r="138" spans="1:74" outlineLevel="1" x14ac:dyDescent="0.25">
      <c r="A138" s="317">
        <f t="shared" si="38"/>
        <v>2</v>
      </c>
      <c r="B138" s="349" t="s">
        <v>82</v>
      </c>
      <c r="C138" s="350" t="s">
        <v>159</v>
      </c>
      <c r="D138" s="1279">
        <f>+BH77</f>
        <v>2096314415.2326219</v>
      </c>
      <c r="E138" s="354">
        <f>'SEF-32 pg 1-34, 46'!I$46-E139</f>
        <v>12111248.292725325</v>
      </c>
      <c r="F138" s="353"/>
      <c r="G138" s="353"/>
      <c r="H138" s="353"/>
      <c r="I138" s="353"/>
      <c r="J138" s="353"/>
      <c r="K138" s="353"/>
      <c r="L138" s="353"/>
      <c r="M138" s="353"/>
      <c r="N138" s="353"/>
      <c r="O138" s="353"/>
      <c r="P138" s="353"/>
      <c r="Q138" s="353"/>
      <c r="R138" s="353"/>
      <c r="S138" s="353"/>
      <c r="T138" s="353"/>
      <c r="U138" s="353"/>
      <c r="V138" s="353"/>
      <c r="W138" s="353"/>
      <c r="X138" s="353"/>
      <c r="Y138" s="353"/>
      <c r="Z138" s="353"/>
      <c r="AA138" s="353"/>
      <c r="AB138" s="353"/>
      <c r="AC138" s="353"/>
      <c r="AD138" s="353"/>
      <c r="AE138" s="353"/>
      <c r="AF138" s="353"/>
      <c r="AG138" s="353"/>
      <c r="AH138" s="353"/>
      <c r="AI138" s="353"/>
      <c r="AJ138" s="353"/>
      <c r="AK138" s="353"/>
      <c r="AL138" s="353"/>
      <c r="AM138" s="353"/>
      <c r="AN138" s="353"/>
      <c r="AO138" s="353"/>
      <c r="AP138" s="353"/>
      <c r="AQ138" s="353"/>
      <c r="AR138" s="353"/>
      <c r="AS138" s="353"/>
      <c r="AT138" s="353"/>
      <c r="AU138" s="353"/>
      <c r="AV138" s="353"/>
      <c r="AW138" s="353"/>
      <c r="AX138" s="353"/>
      <c r="AY138" s="353"/>
      <c r="AZ138" s="353"/>
      <c r="BA138" s="353"/>
      <c r="BB138" s="353"/>
      <c r="BC138" s="353"/>
      <c r="BD138" s="353"/>
      <c r="BE138" s="353"/>
      <c r="BF138" s="353"/>
      <c r="BG138" s="355">
        <f>SUM(E138:BF138)</f>
        <v>12111248.292725325</v>
      </c>
      <c r="BH138" s="352">
        <f>+BG138+BH77</f>
        <v>2108425663.5253472</v>
      </c>
      <c r="BI138" s="82"/>
      <c r="BJ138" s="356"/>
      <c r="BK138" s="82"/>
    </row>
    <row r="139" spans="1:74" outlineLevel="1" x14ac:dyDescent="0.25">
      <c r="A139" s="317">
        <f t="shared" si="38"/>
        <v>3</v>
      </c>
      <c r="B139" s="349" t="s">
        <v>83</v>
      </c>
      <c r="C139" s="350" t="s">
        <v>159</v>
      </c>
      <c r="D139" s="1260">
        <f>+BH78</f>
        <v>434445.04000000004</v>
      </c>
      <c r="E139" s="358">
        <f>'SEF-32 pg 1-34, 46'!I$45</f>
        <v>0</v>
      </c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  <c r="AA139" s="358"/>
      <c r="AB139" s="358"/>
      <c r="AC139" s="358"/>
      <c r="AD139" s="358"/>
      <c r="AE139" s="358"/>
      <c r="AF139" s="358"/>
      <c r="AG139" s="358"/>
      <c r="AH139" s="358"/>
      <c r="AI139" s="358"/>
      <c r="AJ139" s="358"/>
      <c r="AK139" s="358"/>
      <c r="AL139" s="358"/>
      <c r="AM139" s="358"/>
      <c r="AN139" s="358"/>
      <c r="AO139" s="358"/>
      <c r="AP139" s="358"/>
      <c r="AQ139" s="358"/>
      <c r="AR139" s="358"/>
      <c r="AS139" s="358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7">
        <f>SUM(E139:BF139)</f>
        <v>0</v>
      </c>
      <c r="BH139" s="357">
        <f>+BG139+BH78</f>
        <v>434445.04000000004</v>
      </c>
      <c r="BI139" s="82"/>
      <c r="BJ139" s="356"/>
      <c r="BK139" s="82"/>
    </row>
    <row r="140" spans="1:74" outlineLevel="1" x14ac:dyDescent="0.25">
      <c r="A140" s="317">
        <f t="shared" si="38"/>
        <v>4</v>
      </c>
      <c r="B140" s="349" t="s">
        <v>84</v>
      </c>
      <c r="C140" s="350" t="s">
        <v>159</v>
      </c>
      <c r="D140" s="1260">
        <f>+BH79</f>
        <v>763721180.85000002</v>
      </c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  <c r="AA140" s="358"/>
      <c r="AB140" s="358"/>
      <c r="AC140" s="358"/>
      <c r="AD140" s="358"/>
      <c r="AE140" s="358"/>
      <c r="AF140" s="358"/>
      <c r="AG140" s="358"/>
      <c r="AH140" s="358"/>
      <c r="AI140" s="358"/>
      <c r="AJ140" s="358"/>
      <c r="AK140" s="358"/>
      <c r="AL140" s="358"/>
      <c r="AM140" s="358"/>
      <c r="AN140" s="358"/>
      <c r="AO140" s="358"/>
      <c r="AP140" s="358"/>
      <c r="AQ140" s="358"/>
      <c r="AR140" s="358"/>
      <c r="AS140" s="358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7">
        <f>SUM(E140:BF140)</f>
        <v>0</v>
      </c>
      <c r="BH140" s="357">
        <f>+BG140+BH79</f>
        <v>763721180.85000002</v>
      </c>
      <c r="BI140" s="82"/>
      <c r="BJ140" s="356"/>
      <c r="BK140" s="82"/>
    </row>
    <row r="141" spans="1:74" outlineLevel="1" x14ac:dyDescent="0.25">
      <c r="A141" s="317">
        <f t="shared" si="38"/>
        <v>5</v>
      </c>
      <c r="B141" s="349" t="s">
        <v>85</v>
      </c>
      <c r="C141" s="350" t="s">
        <v>159</v>
      </c>
      <c r="D141" s="1260">
        <f>+BH80</f>
        <v>182393306.25175518</v>
      </c>
      <c r="E141" s="358">
        <f>'SEF-32 pg 1-34, 46'!I$62</f>
        <v>0</v>
      </c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  <c r="AA141" s="358"/>
      <c r="AB141" s="358"/>
      <c r="AC141" s="358"/>
      <c r="AD141" s="358"/>
      <c r="AE141" s="358"/>
      <c r="AF141" s="358"/>
      <c r="AG141" s="358"/>
      <c r="AH141" s="358"/>
      <c r="AI141" s="358"/>
      <c r="AJ141" s="358"/>
      <c r="AK141" s="358"/>
      <c r="AL141" s="358"/>
      <c r="AM141" s="358"/>
      <c r="AN141" s="358"/>
      <c r="AO141" s="358"/>
      <c r="AP141" s="358"/>
      <c r="AQ141" s="358"/>
      <c r="AR141" s="358"/>
      <c r="AS141" s="358"/>
      <c r="AT141" s="358"/>
      <c r="AU141" s="358"/>
      <c r="AV141" s="358"/>
      <c r="AW141" s="358"/>
      <c r="AX141" s="358"/>
      <c r="AY141" s="358">
        <f>-'SEF-32 pg 35-45'!CC51</f>
        <v>-70072.744122406468</v>
      </c>
      <c r="AZ141" s="358"/>
      <c r="BA141" s="358"/>
      <c r="BB141" s="358"/>
      <c r="BC141" s="358"/>
      <c r="BD141" s="358"/>
      <c r="BE141" s="358"/>
      <c r="BF141" s="358"/>
      <c r="BG141" s="357">
        <f>SUM(E141:BF141)</f>
        <v>-70072.744122406468</v>
      </c>
      <c r="BH141" s="357">
        <f>+BG141+BH80</f>
        <v>182323233.50763276</v>
      </c>
      <c r="BI141" s="82"/>
      <c r="BJ141" s="356"/>
      <c r="BK141" s="82"/>
    </row>
    <row r="142" spans="1:74" outlineLevel="1" x14ac:dyDescent="0.25">
      <c r="A142" s="317">
        <f t="shared" si="38"/>
        <v>6</v>
      </c>
      <c r="B142" s="349" t="s">
        <v>86</v>
      </c>
      <c r="C142" s="350" t="s">
        <v>159</v>
      </c>
      <c r="D142" s="1280">
        <f>SUM(D138:D141)</f>
        <v>3042863347.3743773</v>
      </c>
      <c r="E142" s="361">
        <f>SUM(E138:E141)</f>
        <v>12111248.292725325</v>
      </c>
      <c r="F142" s="360">
        <f t="shared" ref="F142:BF142" si="39">SUM(F138:F141)</f>
        <v>0</v>
      </c>
      <c r="G142" s="361">
        <f t="shared" si="39"/>
        <v>0</v>
      </c>
      <c r="H142" s="360">
        <f t="shared" si="39"/>
        <v>0</v>
      </c>
      <c r="I142" s="360">
        <f t="shared" si="39"/>
        <v>0</v>
      </c>
      <c r="J142" s="360">
        <f t="shared" si="39"/>
        <v>0</v>
      </c>
      <c r="K142" s="360">
        <f t="shared" si="39"/>
        <v>0</v>
      </c>
      <c r="L142" s="360">
        <f t="shared" si="39"/>
        <v>0</v>
      </c>
      <c r="M142" s="360">
        <f t="shared" si="39"/>
        <v>0</v>
      </c>
      <c r="N142" s="360">
        <f t="shared" si="39"/>
        <v>0</v>
      </c>
      <c r="O142" s="360">
        <f t="shared" si="39"/>
        <v>0</v>
      </c>
      <c r="P142" s="360">
        <f t="shared" si="39"/>
        <v>0</v>
      </c>
      <c r="Q142" s="360">
        <f t="shared" si="39"/>
        <v>0</v>
      </c>
      <c r="R142" s="360">
        <f t="shared" si="39"/>
        <v>0</v>
      </c>
      <c r="S142" s="360">
        <f t="shared" si="39"/>
        <v>0</v>
      </c>
      <c r="T142" s="360">
        <f t="shared" si="39"/>
        <v>0</v>
      </c>
      <c r="U142" s="360">
        <f t="shared" si="39"/>
        <v>0</v>
      </c>
      <c r="V142" s="360">
        <f t="shared" si="39"/>
        <v>0</v>
      </c>
      <c r="W142" s="360">
        <f t="shared" si="39"/>
        <v>0</v>
      </c>
      <c r="X142" s="360">
        <f t="shared" si="39"/>
        <v>0</v>
      </c>
      <c r="Y142" s="360">
        <f t="shared" si="39"/>
        <v>0</v>
      </c>
      <c r="Z142" s="360">
        <f t="shared" si="39"/>
        <v>0</v>
      </c>
      <c r="AA142" s="360">
        <f t="shared" si="39"/>
        <v>0</v>
      </c>
      <c r="AB142" s="360">
        <f t="shared" si="39"/>
        <v>0</v>
      </c>
      <c r="AC142" s="360">
        <f t="shared" si="39"/>
        <v>0</v>
      </c>
      <c r="AD142" s="360">
        <f t="shared" si="39"/>
        <v>0</v>
      </c>
      <c r="AE142" s="360">
        <f t="shared" si="39"/>
        <v>0</v>
      </c>
      <c r="AF142" s="360">
        <f t="shared" si="39"/>
        <v>0</v>
      </c>
      <c r="AG142" s="360">
        <f t="shared" si="39"/>
        <v>0</v>
      </c>
      <c r="AH142" s="360">
        <f t="shared" si="39"/>
        <v>0</v>
      </c>
      <c r="AI142" s="360">
        <f t="shared" si="39"/>
        <v>0</v>
      </c>
      <c r="AJ142" s="360">
        <f t="shared" si="39"/>
        <v>0</v>
      </c>
      <c r="AK142" s="360">
        <f t="shared" si="39"/>
        <v>0</v>
      </c>
      <c r="AL142" s="360">
        <f t="shared" si="39"/>
        <v>0</v>
      </c>
      <c r="AM142" s="360">
        <f t="shared" si="39"/>
        <v>0</v>
      </c>
      <c r="AN142" s="360">
        <f t="shared" si="39"/>
        <v>0</v>
      </c>
      <c r="AO142" s="360">
        <f t="shared" si="39"/>
        <v>0</v>
      </c>
      <c r="AP142" s="360">
        <f t="shared" si="39"/>
        <v>0</v>
      </c>
      <c r="AQ142" s="360">
        <f t="shared" si="39"/>
        <v>0</v>
      </c>
      <c r="AR142" s="360">
        <f t="shared" si="39"/>
        <v>0</v>
      </c>
      <c r="AS142" s="360">
        <f t="shared" si="39"/>
        <v>0</v>
      </c>
      <c r="AT142" s="360">
        <f t="shared" si="39"/>
        <v>0</v>
      </c>
      <c r="AU142" s="360">
        <f t="shared" si="39"/>
        <v>0</v>
      </c>
      <c r="AV142" s="360">
        <f t="shared" si="39"/>
        <v>0</v>
      </c>
      <c r="AW142" s="360">
        <f t="shared" si="39"/>
        <v>0</v>
      </c>
      <c r="AX142" s="360">
        <f t="shared" si="39"/>
        <v>0</v>
      </c>
      <c r="AY142" s="360">
        <f t="shared" si="39"/>
        <v>-70072.744122406468</v>
      </c>
      <c r="AZ142" s="360">
        <f t="shared" si="39"/>
        <v>0</v>
      </c>
      <c r="BA142" s="360">
        <f t="shared" si="39"/>
        <v>0</v>
      </c>
      <c r="BB142" s="360">
        <f t="shared" si="39"/>
        <v>0</v>
      </c>
      <c r="BC142" s="360">
        <f t="shared" si="39"/>
        <v>0</v>
      </c>
      <c r="BD142" s="360">
        <f t="shared" si="39"/>
        <v>0</v>
      </c>
      <c r="BE142" s="360">
        <f>SUM(BE138:BE141)</f>
        <v>0</v>
      </c>
      <c r="BF142" s="360">
        <f t="shared" si="39"/>
        <v>0</v>
      </c>
      <c r="BG142" s="362">
        <f>SUM(BG138:BG141)</f>
        <v>12041175.548602918</v>
      </c>
      <c r="BH142" s="359">
        <f>SUM(BH138:BH141)</f>
        <v>3054904522.9229798</v>
      </c>
      <c r="BI142" s="82"/>
      <c r="BJ142" s="356"/>
      <c r="BK142" s="82"/>
    </row>
    <row r="143" spans="1:74" outlineLevel="1" x14ac:dyDescent="0.25">
      <c r="A143" s="317">
        <f t="shared" si="38"/>
        <v>7</v>
      </c>
      <c r="B143" s="363"/>
      <c r="C143" s="350" t="s">
        <v>159</v>
      </c>
      <c r="D143" s="1260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  <c r="AA143" s="358"/>
      <c r="AB143" s="358"/>
      <c r="AC143" s="358"/>
      <c r="AD143" s="358"/>
      <c r="AE143" s="358"/>
      <c r="AF143" s="358"/>
      <c r="AG143" s="358"/>
      <c r="AH143" s="358"/>
      <c r="AI143" s="358"/>
      <c r="AJ143" s="358"/>
      <c r="AK143" s="358"/>
      <c r="AL143" s="358"/>
      <c r="AM143" s="358"/>
      <c r="AN143" s="358"/>
      <c r="AO143" s="358"/>
      <c r="AP143" s="358"/>
      <c r="AQ143" s="358"/>
      <c r="AR143" s="358"/>
      <c r="AS143" s="358"/>
      <c r="AT143" s="358"/>
      <c r="AU143" s="358"/>
      <c r="AV143" s="358"/>
      <c r="AW143" s="358"/>
      <c r="AX143" s="358"/>
      <c r="AY143" s="358"/>
      <c r="AZ143" s="358"/>
      <c r="BA143" s="358"/>
      <c r="BB143" s="358"/>
      <c r="BC143" s="358"/>
      <c r="BD143" s="358"/>
      <c r="BE143" s="358"/>
      <c r="BF143" s="358"/>
      <c r="BG143" s="357"/>
      <c r="BH143" s="357"/>
      <c r="BI143" s="82"/>
      <c r="BJ143" s="356"/>
      <c r="BK143" s="82"/>
    </row>
    <row r="144" spans="1:74" outlineLevel="1" x14ac:dyDescent="0.25">
      <c r="A144" s="317">
        <f t="shared" si="38"/>
        <v>8</v>
      </c>
      <c r="B144" s="349" t="s">
        <v>87</v>
      </c>
      <c r="C144" s="350" t="s">
        <v>159</v>
      </c>
      <c r="D144" s="1258"/>
      <c r="BG144" s="351"/>
      <c r="BH144" s="351"/>
      <c r="BI144" s="82"/>
      <c r="BJ144" s="356"/>
      <c r="BK144" s="82"/>
    </row>
    <row r="145" spans="1:63" outlineLevel="1" x14ac:dyDescent="0.25">
      <c r="A145" s="317">
        <f t="shared" si="38"/>
        <v>9</v>
      </c>
      <c r="B145" s="365"/>
      <c r="C145" s="350" t="s">
        <v>159</v>
      </c>
      <c r="D145" s="1258"/>
      <c r="BG145" s="351"/>
      <c r="BH145" s="351"/>
      <c r="BI145" s="82"/>
      <c r="BJ145" s="356"/>
      <c r="BK145" s="82"/>
    </row>
    <row r="146" spans="1:63" outlineLevel="1" x14ac:dyDescent="0.25">
      <c r="A146" s="317">
        <f t="shared" si="38"/>
        <v>10</v>
      </c>
      <c r="B146" s="349" t="s">
        <v>88</v>
      </c>
      <c r="C146" s="350" t="s">
        <v>159</v>
      </c>
      <c r="D146" s="1258"/>
      <c r="BG146" s="351"/>
      <c r="BH146" s="351"/>
      <c r="BI146" s="82"/>
      <c r="BJ146" s="356"/>
      <c r="BK146" s="82"/>
    </row>
    <row r="147" spans="1:63" outlineLevel="1" x14ac:dyDescent="0.25">
      <c r="A147" s="317">
        <f t="shared" si="38"/>
        <v>11</v>
      </c>
      <c r="B147" s="349" t="s">
        <v>89</v>
      </c>
      <c r="C147" s="350" t="s">
        <v>159</v>
      </c>
      <c r="D147" s="1262">
        <f>+BH86</f>
        <v>455418278.81</v>
      </c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356"/>
      <c r="AJ147" s="356"/>
      <c r="AK147" s="356"/>
      <c r="AL147" s="356"/>
      <c r="AM147" s="356"/>
      <c r="AN147" s="356"/>
      <c r="AO147" s="356"/>
      <c r="AP147" s="356"/>
      <c r="AQ147" s="356"/>
      <c r="AR147" s="356"/>
      <c r="AS147" s="356"/>
      <c r="AT147" s="356"/>
      <c r="AU147" s="356"/>
      <c r="AV147" s="356"/>
      <c r="AW147" s="356"/>
      <c r="AX147" s="356"/>
      <c r="AY147" s="356"/>
      <c r="AZ147" s="356"/>
      <c r="BA147" s="356"/>
      <c r="BB147" s="356"/>
      <c r="BC147" s="356"/>
      <c r="BD147" s="356"/>
      <c r="BE147" s="356"/>
      <c r="BF147" s="356"/>
      <c r="BG147" s="366">
        <f>SUM(E147:BF147)</f>
        <v>0</v>
      </c>
      <c r="BH147" s="366">
        <f>+BG147+BH86</f>
        <v>455418278.81</v>
      </c>
      <c r="BI147" s="82"/>
      <c r="BJ147" s="356"/>
      <c r="BK147" s="82"/>
    </row>
    <row r="148" spans="1:63" outlineLevel="1" x14ac:dyDescent="0.25">
      <c r="A148" s="317">
        <f t="shared" si="38"/>
        <v>12</v>
      </c>
      <c r="B148" s="349" t="s">
        <v>90</v>
      </c>
      <c r="C148" s="350" t="s">
        <v>159</v>
      </c>
      <c r="D148" s="1260">
        <f>+BH87</f>
        <v>1301582975.0008442</v>
      </c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>
        <f>'SEF-32 pg 1-34, 46'!GE17</f>
        <v>22553.278082332166</v>
      </c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  <c r="AA148" s="358"/>
      <c r="AB148" s="358"/>
      <c r="AC148" s="358"/>
      <c r="AD148" s="358"/>
      <c r="AE148" s="358"/>
      <c r="AF148" s="358"/>
      <c r="AG148" s="358"/>
      <c r="AH148" s="358"/>
      <c r="AI148" s="358"/>
      <c r="AJ148" s="358"/>
      <c r="AK148" s="358"/>
      <c r="AL148" s="358"/>
      <c r="AM148" s="358"/>
      <c r="AN148" s="358"/>
      <c r="AO148" s="358"/>
      <c r="AP148" s="358"/>
      <c r="AQ148" s="358"/>
      <c r="AR148" s="358"/>
      <c r="AS148" s="358"/>
      <c r="AT148" s="358"/>
      <c r="AU148" s="358"/>
      <c r="AV148" s="358"/>
      <c r="AW148" s="358"/>
      <c r="AX148" s="358"/>
      <c r="AY148" s="358"/>
      <c r="AZ148" s="358"/>
      <c r="BA148" s="358"/>
      <c r="BB148" s="358"/>
      <c r="BC148" s="358"/>
      <c r="BD148" s="358"/>
      <c r="BE148" s="358"/>
      <c r="BF148" s="358"/>
      <c r="BG148" s="357">
        <f>SUM(E148:BF148)</f>
        <v>22553.278082332166</v>
      </c>
      <c r="BH148" s="357">
        <f>+BG148+BH87</f>
        <v>1301605528.2789266</v>
      </c>
      <c r="BI148" s="82"/>
      <c r="BJ148" s="356"/>
      <c r="BK148" s="82"/>
    </row>
    <row r="149" spans="1:63" outlineLevel="1" x14ac:dyDescent="0.25">
      <c r="A149" s="317">
        <f t="shared" si="38"/>
        <v>13</v>
      </c>
      <c r="B149" s="349" t="s">
        <v>91</v>
      </c>
      <c r="C149" s="350" t="s">
        <v>159</v>
      </c>
      <c r="D149" s="1260">
        <f>+BH88</f>
        <v>161536441.13999999</v>
      </c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  <c r="AA149" s="358"/>
      <c r="AB149" s="358"/>
      <c r="AC149" s="358"/>
      <c r="AD149" s="358"/>
      <c r="AE149" s="358"/>
      <c r="AF149" s="358"/>
      <c r="AG149" s="358"/>
      <c r="AH149" s="358"/>
      <c r="AI149" s="358"/>
      <c r="AJ149" s="358"/>
      <c r="AK149" s="358"/>
      <c r="AL149" s="358"/>
      <c r="AM149" s="358"/>
      <c r="AN149" s="358"/>
      <c r="AO149" s="358"/>
      <c r="AP149" s="358"/>
      <c r="AQ149" s="358"/>
      <c r="AR149" s="358"/>
      <c r="AS149" s="358"/>
      <c r="AT149" s="358"/>
      <c r="AU149" s="358"/>
      <c r="AV149" s="358"/>
      <c r="AW149" s="358"/>
      <c r="AX149" s="358"/>
      <c r="AY149" s="358"/>
      <c r="AZ149" s="358"/>
      <c r="BA149" s="358"/>
      <c r="BB149" s="358"/>
      <c r="BC149" s="358"/>
      <c r="BD149" s="358"/>
      <c r="BE149" s="358"/>
      <c r="BF149" s="358"/>
      <c r="BG149" s="357">
        <f>SUM(E149:BF149)</f>
        <v>0</v>
      </c>
      <c r="BH149" s="357">
        <f>+BG149+BH88</f>
        <v>161536441.13999999</v>
      </c>
      <c r="BI149" s="82"/>
      <c r="BJ149" s="356"/>
      <c r="BK149" s="82"/>
    </row>
    <row r="150" spans="1:63" outlineLevel="1" x14ac:dyDescent="0.25">
      <c r="A150" s="317">
        <f t="shared" si="38"/>
        <v>14</v>
      </c>
      <c r="B150" s="365" t="s">
        <v>92</v>
      </c>
      <c r="C150" s="350" t="s">
        <v>159</v>
      </c>
      <c r="D150" s="1260">
        <f>+BH89</f>
        <v>0</v>
      </c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  <c r="AA150" s="358"/>
      <c r="AB150" s="358"/>
      <c r="AC150" s="358"/>
      <c r="AD150" s="358"/>
      <c r="AE150" s="358"/>
      <c r="AF150" s="358"/>
      <c r="AG150" s="358"/>
      <c r="AH150" s="358"/>
      <c r="AI150" s="358"/>
      <c r="AJ150" s="358"/>
      <c r="AK150" s="358"/>
      <c r="AL150" s="358"/>
      <c r="AM150" s="358"/>
      <c r="AN150" s="358"/>
      <c r="AO150" s="358"/>
      <c r="AP150" s="358"/>
      <c r="AQ150" s="358"/>
      <c r="AR150" s="358"/>
      <c r="AS150" s="358"/>
      <c r="AT150" s="358"/>
      <c r="AU150" s="358"/>
      <c r="AV150" s="358"/>
      <c r="AW150" s="358"/>
      <c r="AX150" s="358"/>
      <c r="AY150" s="358"/>
      <c r="AZ150" s="358"/>
      <c r="BA150" s="358"/>
      <c r="BB150" s="358"/>
      <c r="BC150" s="358"/>
      <c r="BD150" s="358"/>
      <c r="BE150" s="358"/>
      <c r="BF150" s="358"/>
      <c r="BG150" s="357">
        <f>SUM(E150:BF150)</f>
        <v>0</v>
      </c>
      <c r="BH150" s="357">
        <f>+BG150+BH89</f>
        <v>0</v>
      </c>
      <c r="BI150" s="82"/>
      <c r="BJ150" s="356"/>
      <c r="BK150" s="82"/>
    </row>
    <row r="151" spans="1:63" outlineLevel="1" x14ac:dyDescent="0.25">
      <c r="A151" s="317">
        <f t="shared" si="38"/>
        <v>15</v>
      </c>
      <c r="B151" s="349" t="s">
        <v>93</v>
      </c>
      <c r="C151" s="350" t="s">
        <v>159</v>
      </c>
      <c r="D151" s="1263">
        <f>SUM(D146:D150)</f>
        <v>1918537694.9508443</v>
      </c>
      <c r="E151" s="368">
        <f>SUM(E146:E150)</f>
        <v>0</v>
      </c>
      <c r="F151" s="368">
        <f t="shared" ref="F151:BF151" si="40">SUM(F146:F150)</f>
        <v>0</v>
      </c>
      <c r="G151" s="368">
        <f t="shared" si="40"/>
        <v>0</v>
      </c>
      <c r="H151" s="368">
        <f t="shared" si="40"/>
        <v>0</v>
      </c>
      <c r="I151" s="368">
        <f t="shared" si="40"/>
        <v>0</v>
      </c>
      <c r="J151" s="368">
        <f t="shared" si="40"/>
        <v>0</v>
      </c>
      <c r="K151" s="368">
        <f t="shared" si="40"/>
        <v>0</v>
      </c>
      <c r="L151" s="368">
        <f t="shared" si="40"/>
        <v>0</v>
      </c>
      <c r="M151" s="368">
        <f t="shared" si="40"/>
        <v>0</v>
      </c>
      <c r="N151" s="368">
        <f t="shared" si="40"/>
        <v>0</v>
      </c>
      <c r="O151" s="368">
        <f t="shared" si="40"/>
        <v>22553.278082332166</v>
      </c>
      <c r="P151" s="368">
        <f t="shared" si="40"/>
        <v>0</v>
      </c>
      <c r="Q151" s="368">
        <f t="shared" si="40"/>
        <v>0</v>
      </c>
      <c r="R151" s="368">
        <f t="shared" si="40"/>
        <v>0</v>
      </c>
      <c r="S151" s="368">
        <f t="shared" si="40"/>
        <v>0</v>
      </c>
      <c r="T151" s="368">
        <f t="shared" si="40"/>
        <v>0</v>
      </c>
      <c r="U151" s="368">
        <f t="shared" si="40"/>
        <v>0</v>
      </c>
      <c r="V151" s="368">
        <f t="shared" si="40"/>
        <v>0</v>
      </c>
      <c r="W151" s="368">
        <f t="shared" si="40"/>
        <v>0</v>
      </c>
      <c r="X151" s="368">
        <f t="shared" si="40"/>
        <v>0</v>
      </c>
      <c r="Y151" s="368">
        <f t="shared" si="40"/>
        <v>0</v>
      </c>
      <c r="Z151" s="368">
        <f t="shared" si="40"/>
        <v>0</v>
      </c>
      <c r="AA151" s="368">
        <f t="shared" si="40"/>
        <v>0</v>
      </c>
      <c r="AB151" s="368">
        <f t="shared" si="40"/>
        <v>0</v>
      </c>
      <c r="AC151" s="368">
        <f t="shared" si="40"/>
        <v>0</v>
      </c>
      <c r="AD151" s="368">
        <f t="shared" si="40"/>
        <v>0</v>
      </c>
      <c r="AE151" s="368">
        <f t="shared" si="40"/>
        <v>0</v>
      </c>
      <c r="AF151" s="368">
        <f t="shared" si="40"/>
        <v>0</v>
      </c>
      <c r="AG151" s="368">
        <f t="shared" si="40"/>
        <v>0</v>
      </c>
      <c r="AH151" s="368">
        <f t="shared" si="40"/>
        <v>0</v>
      </c>
      <c r="AI151" s="368">
        <f t="shared" si="40"/>
        <v>0</v>
      </c>
      <c r="AJ151" s="368">
        <f t="shared" si="40"/>
        <v>0</v>
      </c>
      <c r="AK151" s="368">
        <f t="shared" si="40"/>
        <v>0</v>
      </c>
      <c r="AL151" s="368">
        <f t="shared" si="40"/>
        <v>0</v>
      </c>
      <c r="AM151" s="368">
        <f t="shared" si="40"/>
        <v>0</v>
      </c>
      <c r="AN151" s="368">
        <f t="shared" si="40"/>
        <v>0</v>
      </c>
      <c r="AO151" s="368">
        <f t="shared" si="40"/>
        <v>0</v>
      </c>
      <c r="AP151" s="368">
        <f t="shared" si="40"/>
        <v>0</v>
      </c>
      <c r="AQ151" s="368">
        <f t="shared" si="40"/>
        <v>0</v>
      </c>
      <c r="AR151" s="368">
        <f t="shared" si="40"/>
        <v>0</v>
      </c>
      <c r="AS151" s="368">
        <f t="shared" si="40"/>
        <v>0</v>
      </c>
      <c r="AT151" s="368">
        <f t="shared" si="40"/>
        <v>0</v>
      </c>
      <c r="AU151" s="368">
        <f t="shared" si="40"/>
        <v>0</v>
      </c>
      <c r="AV151" s="368">
        <f t="shared" si="40"/>
        <v>0</v>
      </c>
      <c r="AW151" s="368">
        <f t="shared" si="40"/>
        <v>0</v>
      </c>
      <c r="AX151" s="368">
        <f t="shared" si="40"/>
        <v>0</v>
      </c>
      <c r="AY151" s="368">
        <f t="shared" si="40"/>
        <v>0</v>
      </c>
      <c r="AZ151" s="368">
        <f t="shared" si="40"/>
        <v>0</v>
      </c>
      <c r="BA151" s="368">
        <f t="shared" si="40"/>
        <v>0</v>
      </c>
      <c r="BB151" s="368">
        <f t="shared" si="40"/>
        <v>0</v>
      </c>
      <c r="BC151" s="368">
        <f t="shared" si="40"/>
        <v>0</v>
      </c>
      <c r="BD151" s="368">
        <f t="shared" si="40"/>
        <v>0</v>
      </c>
      <c r="BE151" s="368">
        <f>SUM(BE146:BE150)</f>
        <v>0</v>
      </c>
      <c r="BF151" s="368">
        <f t="shared" si="40"/>
        <v>0</v>
      </c>
      <c r="BG151" s="367">
        <f>SUM(BG146:BG150)</f>
        <v>22553.278082332166</v>
      </c>
      <c r="BH151" s="367">
        <f>SUM(BH146:BH150)</f>
        <v>1918560248.2289267</v>
      </c>
      <c r="BI151" s="82"/>
      <c r="BJ151" s="356"/>
      <c r="BK151" s="82"/>
    </row>
    <row r="152" spans="1:63" outlineLevel="1" x14ac:dyDescent="0.25">
      <c r="A152" s="317">
        <f t="shared" si="38"/>
        <v>16</v>
      </c>
      <c r="B152" s="349"/>
      <c r="C152" s="350" t="s">
        <v>159</v>
      </c>
      <c r="D152" s="1262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  <c r="AA152" s="356"/>
      <c r="AB152" s="356"/>
      <c r="AC152" s="356"/>
      <c r="AD152" s="356"/>
      <c r="AE152" s="356"/>
      <c r="AF152" s="356"/>
      <c r="AG152" s="356"/>
      <c r="AH152" s="356"/>
      <c r="AI152" s="356"/>
      <c r="AJ152" s="356"/>
      <c r="AK152" s="356"/>
      <c r="AL152" s="356"/>
      <c r="AM152" s="356"/>
      <c r="AN152" s="356"/>
      <c r="AO152" s="356"/>
      <c r="AP152" s="356"/>
      <c r="AQ152" s="356"/>
      <c r="AR152" s="356"/>
      <c r="AS152" s="356"/>
      <c r="AT152" s="356"/>
      <c r="AU152" s="356"/>
      <c r="AV152" s="356"/>
      <c r="AW152" s="356"/>
      <c r="AX152" s="356"/>
      <c r="AY152" s="356"/>
      <c r="AZ152" s="356"/>
      <c r="BA152" s="356"/>
      <c r="BB152" s="356"/>
      <c r="BC152" s="356"/>
      <c r="BD152" s="356"/>
      <c r="BE152" s="356"/>
      <c r="BF152" s="356"/>
      <c r="BG152" s="366"/>
      <c r="BH152" s="366"/>
      <c r="BI152" s="82"/>
      <c r="BJ152" s="356"/>
      <c r="BK152" s="82"/>
    </row>
    <row r="153" spans="1:63" outlineLevel="1" x14ac:dyDescent="0.25">
      <c r="A153" s="317">
        <f t="shared" si="38"/>
        <v>17</v>
      </c>
      <c r="B153" s="369" t="s">
        <v>94</v>
      </c>
      <c r="C153" s="350" t="s">
        <v>159</v>
      </c>
      <c r="D153" s="1260">
        <f t="shared" ref="D153:D166" si="41">+BH92</f>
        <v>95572520.613919348</v>
      </c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>
        <f>'SEF-32 pg 1-34, 46'!GE18</f>
        <v>60700.645514372038</v>
      </c>
      <c r="P153" s="356"/>
      <c r="Q153" s="356"/>
      <c r="R153" s="356"/>
      <c r="S153" s="356"/>
      <c r="T153" s="356"/>
      <c r="U153" s="356"/>
      <c r="V153" s="356"/>
      <c r="W153" s="356"/>
      <c r="X153" s="356"/>
      <c r="Y153" s="356"/>
      <c r="Z153" s="356"/>
      <c r="AA153" s="356"/>
      <c r="AB153" s="356"/>
      <c r="AC153" s="356"/>
      <c r="AD153" s="356"/>
      <c r="AE153" s="356"/>
      <c r="AF153" s="356"/>
      <c r="AG153" s="356"/>
      <c r="AH153" s="356"/>
      <c r="AI153" s="356"/>
      <c r="AJ153" s="356"/>
      <c r="AK153" s="356"/>
      <c r="AL153" s="356"/>
      <c r="AM153" s="356"/>
      <c r="AN153" s="356"/>
      <c r="AO153" s="356"/>
      <c r="AP153" s="356"/>
      <c r="AQ153" s="356"/>
      <c r="AR153" s="356"/>
      <c r="AS153" s="356"/>
      <c r="AT153" s="356"/>
      <c r="AU153" s="356"/>
      <c r="AV153" s="356"/>
      <c r="AW153" s="356"/>
      <c r="AX153" s="356"/>
      <c r="AY153" s="356"/>
      <c r="AZ153" s="356"/>
      <c r="BA153" s="356"/>
      <c r="BB153" s="356">
        <f>'SEF-32 pg 35-45'!EE61</f>
        <v>0</v>
      </c>
      <c r="BC153" s="356"/>
      <c r="BD153" s="356"/>
      <c r="BE153" s="356"/>
      <c r="BF153" s="356"/>
      <c r="BG153" s="357">
        <f t="shared" ref="BG153:BG166" si="42">SUM(E153:BF153)</f>
        <v>60700.645514372038</v>
      </c>
      <c r="BH153" s="366">
        <f t="shared" ref="BH153:BH166" si="43">+BG153+BH92</f>
        <v>95633221.259433717</v>
      </c>
      <c r="BI153" s="82"/>
      <c r="BJ153" s="356"/>
      <c r="BK153" s="82"/>
    </row>
    <row r="154" spans="1:63" outlineLevel="1" x14ac:dyDescent="0.25">
      <c r="A154" s="317">
        <f t="shared" si="38"/>
        <v>18</v>
      </c>
      <c r="B154" s="349" t="s">
        <v>95</v>
      </c>
      <c r="C154" s="350" t="s">
        <v>159</v>
      </c>
      <c r="D154" s="1260">
        <f t="shared" si="41"/>
        <v>26098636.601421304</v>
      </c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>
        <f>'SEF-32 pg 1-34, 46'!GE19</f>
        <v>32443.593268770142</v>
      </c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  <c r="AA154" s="358"/>
      <c r="AB154" s="358"/>
      <c r="AC154" s="358"/>
      <c r="AD154" s="358"/>
      <c r="AE154" s="358"/>
      <c r="AF154" s="358"/>
      <c r="AG154" s="358"/>
      <c r="AH154" s="358"/>
      <c r="AI154" s="358"/>
      <c r="AJ154" s="358"/>
      <c r="AK154" s="358"/>
      <c r="AL154" s="358"/>
      <c r="AM154" s="358"/>
      <c r="AN154" s="358"/>
      <c r="AO154" s="358"/>
      <c r="AP154" s="358"/>
      <c r="AQ154" s="358"/>
      <c r="AR154" s="358"/>
      <c r="AS154" s="358"/>
      <c r="AT154" s="358"/>
      <c r="AU154" s="358"/>
      <c r="AV154" s="358"/>
      <c r="AW154" s="358"/>
      <c r="AX154" s="358"/>
      <c r="AY154" s="358"/>
      <c r="AZ154" s="358"/>
      <c r="BA154" s="358"/>
      <c r="BB154" s="358"/>
      <c r="BC154" s="358"/>
      <c r="BD154" s="358"/>
      <c r="BE154" s="358"/>
      <c r="BF154" s="358"/>
      <c r="BG154" s="357">
        <f t="shared" si="42"/>
        <v>32443.593268770142</v>
      </c>
      <c r="BH154" s="357">
        <f t="shared" si="43"/>
        <v>26131080.194690075</v>
      </c>
      <c r="BI154" s="82"/>
      <c r="BJ154" s="356"/>
      <c r="BK154" s="82"/>
    </row>
    <row r="155" spans="1:63" outlineLevel="1" x14ac:dyDescent="0.25">
      <c r="A155" s="317">
        <f t="shared" si="38"/>
        <v>19</v>
      </c>
      <c r="B155" s="349" t="s">
        <v>96</v>
      </c>
      <c r="C155" s="350" t="s">
        <v>159</v>
      </c>
      <c r="D155" s="1260">
        <f t="shared" si="41"/>
        <v>104636306.86117753</v>
      </c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>
        <f>'SEF-32 pg 1-34, 46'!GE20</f>
        <v>99071.124727062415</v>
      </c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  <c r="AA155" s="358"/>
      <c r="AB155" s="358"/>
      <c r="AC155" s="358"/>
      <c r="AD155" s="358"/>
      <c r="AE155" s="358"/>
      <c r="AF155" s="358"/>
      <c r="AG155" s="358"/>
      <c r="AH155" s="358"/>
      <c r="AI155" s="358"/>
      <c r="AJ155" s="358"/>
      <c r="AK155" s="358"/>
      <c r="AL155" s="358"/>
      <c r="AM155" s="358"/>
      <c r="AN155" s="358"/>
      <c r="AO155" s="358"/>
      <c r="AP155" s="358"/>
      <c r="AQ155" s="358"/>
      <c r="AR155" s="358"/>
      <c r="AS155" s="358"/>
      <c r="AT155" s="358"/>
      <c r="AU155" s="358"/>
      <c r="AV155" s="358"/>
      <c r="AW155" s="358"/>
      <c r="AX155" s="358"/>
      <c r="AY155" s="358"/>
      <c r="AZ155" s="358"/>
      <c r="BA155" s="358"/>
      <c r="BB155" s="358"/>
      <c r="BC155" s="358"/>
      <c r="BD155" s="358"/>
      <c r="BE155" s="358"/>
      <c r="BF155" s="358"/>
      <c r="BG155" s="357">
        <f t="shared" si="42"/>
        <v>99071.124727062415</v>
      </c>
      <c r="BH155" s="357">
        <f t="shared" si="43"/>
        <v>104735377.98590459</v>
      </c>
      <c r="BI155" s="82"/>
      <c r="BJ155" s="356"/>
      <c r="BK155" s="82"/>
    </row>
    <row r="156" spans="1:63" outlineLevel="1" x14ac:dyDescent="0.25">
      <c r="A156" s="317">
        <f t="shared" si="38"/>
        <v>20</v>
      </c>
      <c r="B156" s="349" t="s">
        <v>97</v>
      </c>
      <c r="C156" s="350" t="s">
        <v>159</v>
      </c>
      <c r="D156" s="1272">
        <f t="shared" si="41"/>
        <v>52716079.203132026</v>
      </c>
      <c r="E156" s="370">
        <f>'SEF-32 pg 1-34, 46'!I$74</f>
        <v>78577.778923201899</v>
      </c>
      <c r="F156" s="358"/>
      <c r="G156" s="370"/>
      <c r="H156" s="358"/>
      <c r="I156" s="358"/>
      <c r="J156" s="358"/>
      <c r="K156" s="358"/>
      <c r="L156" s="358"/>
      <c r="M156" s="358"/>
      <c r="N156" s="358"/>
      <c r="O156" s="358">
        <f>'SEF-32 pg 1-34, 46'!GE21</f>
        <v>23928.464605947665</v>
      </c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  <c r="AA156" s="358"/>
      <c r="AB156" s="358"/>
      <c r="AC156" s="358"/>
      <c r="AD156" s="358"/>
      <c r="AE156" s="358"/>
      <c r="AF156" s="358"/>
      <c r="AG156" s="358"/>
      <c r="AH156" s="358"/>
      <c r="AI156" s="358"/>
      <c r="AJ156" s="358"/>
      <c r="AK156" s="358"/>
      <c r="AL156" s="358"/>
      <c r="AM156" s="358"/>
      <c r="AN156" s="358"/>
      <c r="AO156" s="358"/>
      <c r="AP156" s="358"/>
      <c r="AQ156" s="358"/>
      <c r="AR156" s="358"/>
      <c r="AS156" s="358"/>
      <c r="AT156" s="358"/>
      <c r="AU156" s="358"/>
      <c r="AV156" s="358"/>
      <c r="AW156" s="358"/>
      <c r="AX156" s="358"/>
      <c r="AY156" s="358"/>
      <c r="AZ156" s="358"/>
      <c r="BA156" s="358"/>
      <c r="BB156" s="358"/>
      <c r="BC156" s="358"/>
      <c r="BD156" s="358"/>
      <c r="BE156" s="358"/>
      <c r="BF156" s="358"/>
      <c r="BG156" s="371">
        <f t="shared" si="42"/>
        <v>102506.24352914956</v>
      </c>
      <c r="BH156" s="357">
        <f t="shared" si="43"/>
        <v>52818585.446661174</v>
      </c>
      <c r="BI156" s="82"/>
      <c r="BJ156" s="356"/>
      <c r="BK156" s="82"/>
    </row>
    <row r="157" spans="1:63" outlineLevel="1" x14ac:dyDescent="0.25">
      <c r="A157" s="317">
        <f t="shared" si="38"/>
        <v>21</v>
      </c>
      <c r="B157" s="349" t="s">
        <v>98</v>
      </c>
      <c r="C157" s="350" t="s">
        <v>159</v>
      </c>
      <c r="D157" s="1260">
        <f t="shared" si="41"/>
        <v>4284272.9864863027</v>
      </c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>
        <f>'SEF-32 pg 1-34, 46'!GE22+'SEF-32 pg 1-34, 46'!GE23</f>
        <v>8673.8770903853947</v>
      </c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  <c r="AA157" s="358"/>
      <c r="AB157" s="358"/>
      <c r="AC157" s="358"/>
      <c r="AD157" s="358"/>
      <c r="AE157" s="358"/>
      <c r="AF157" s="358"/>
      <c r="AG157" s="358"/>
      <c r="AH157" s="358"/>
      <c r="AI157" s="358"/>
      <c r="AJ157" s="358"/>
      <c r="AK157" s="358"/>
      <c r="AL157" s="358"/>
      <c r="AM157" s="358"/>
      <c r="AN157" s="358"/>
      <c r="AO157" s="358"/>
      <c r="AP157" s="358"/>
      <c r="AQ157" s="358"/>
      <c r="AR157" s="358"/>
      <c r="AS157" s="358"/>
      <c r="AT157" s="358"/>
      <c r="AU157" s="358"/>
      <c r="AV157" s="358"/>
      <c r="AW157" s="358"/>
      <c r="AX157" s="358"/>
      <c r="AY157" s="358"/>
      <c r="AZ157" s="358"/>
      <c r="BA157" s="358"/>
      <c r="BB157" s="358"/>
      <c r="BC157" s="358"/>
      <c r="BD157" s="358"/>
      <c r="BE157" s="358"/>
      <c r="BF157" s="358"/>
      <c r="BG157" s="357">
        <f t="shared" si="42"/>
        <v>8673.8770903853947</v>
      </c>
      <c r="BH157" s="357">
        <f t="shared" si="43"/>
        <v>4292946.8635766879</v>
      </c>
      <c r="BI157" s="82"/>
      <c r="BJ157" s="356"/>
      <c r="BK157" s="82"/>
    </row>
    <row r="158" spans="1:63" outlineLevel="1" x14ac:dyDescent="0.25">
      <c r="A158" s="317">
        <f t="shared" si="38"/>
        <v>22</v>
      </c>
      <c r="B158" s="349" t="s">
        <v>99</v>
      </c>
      <c r="C158" s="350" t="s">
        <v>159</v>
      </c>
      <c r="D158" s="1260">
        <f t="shared" si="41"/>
        <v>0</v>
      </c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  <c r="AA158" s="358"/>
      <c r="AB158" s="358"/>
      <c r="AC158" s="358"/>
      <c r="AD158" s="358"/>
      <c r="AE158" s="358"/>
      <c r="AF158" s="358"/>
      <c r="AG158" s="358"/>
      <c r="AH158" s="358"/>
      <c r="AI158" s="358"/>
      <c r="AJ158" s="358"/>
      <c r="AK158" s="358"/>
      <c r="AL158" s="358"/>
      <c r="AM158" s="358"/>
      <c r="AN158" s="358"/>
      <c r="AO158" s="358"/>
      <c r="AP158" s="358"/>
      <c r="AQ158" s="358"/>
      <c r="AR158" s="358"/>
      <c r="AS158" s="358"/>
      <c r="AT158" s="358"/>
      <c r="AU158" s="358"/>
      <c r="AV158" s="358"/>
      <c r="AW158" s="358"/>
      <c r="AX158" s="358"/>
      <c r="AY158" s="358"/>
      <c r="AZ158" s="358"/>
      <c r="BA158" s="358"/>
      <c r="BB158" s="358"/>
      <c r="BC158" s="358"/>
      <c r="BD158" s="358"/>
      <c r="BE158" s="358"/>
      <c r="BF158" s="358"/>
      <c r="BG158" s="357">
        <f t="shared" si="42"/>
        <v>0</v>
      </c>
      <c r="BH158" s="357">
        <f t="shared" si="43"/>
        <v>0</v>
      </c>
      <c r="BI158" s="82"/>
      <c r="BJ158" s="356"/>
      <c r="BK158" s="82"/>
    </row>
    <row r="159" spans="1:63" outlineLevel="1" x14ac:dyDescent="0.25">
      <c r="A159" s="317">
        <f t="shared" si="38"/>
        <v>23</v>
      </c>
      <c r="B159" s="349" t="s">
        <v>100</v>
      </c>
      <c r="C159" s="350" t="s">
        <v>159</v>
      </c>
      <c r="D159" s="1272">
        <f t="shared" si="41"/>
        <v>174198652.61537677</v>
      </c>
      <c r="E159" s="370">
        <f>'SEF-32 pg 1-34, 46'!I$75</f>
        <v>60556.241463626626</v>
      </c>
      <c r="F159" s="370"/>
      <c r="G159" s="370"/>
      <c r="H159" s="358"/>
      <c r="I159" s="358"/>
      <c r="J159" s="358"/>
      <c r="K159" s="358"/>
      <c r="L159" s="358"/>
      <c r="M159" s="358"/>
      <c r="N159" s="358"/>
      <c r="O159" s="358">
        <f>'SEF-32 pg 1-34, 46'!GE24</f>
        <v>117788.04868907994</v>
      </c>
      <c r="P159" s="358"/>
      <c r="Q159" s="358"/>
      <c r="R159" s="358"/>
      <c r="S159" s="358"/>
      <c r="T159" s="358"/>
      <c r="U159" s="358"/>
      <c r="V159" s="358"/>
      <c r="W159" s="358"/>
      <c r="X159" s="358"/>
      <c r="Y159" s="370"/>
      <c r="Z159" s="358"/>
      <c r="AA159" s="358"/>
      <c r="AB159" s="370"/>
      <c r="AC159" s="358"/>
      <c r="AD159" s="358"/>
      <c r="AE159" s="358"/>
      <c r="AF159" s="358"/>
      <c r="AG159" s="358"/>
      <c r="AH159" s="358"/>
      <c r="AI159" s="358"/>
      <c r="AJ159" s="358"/>
      <c r="AK159" s="370"/>
      <c r="AL159" s="358"/>
      <c r="AM159" s="358"/>
      <c r="AN159" s="358"/>
      <c r="AO159" s="358"/>
      <c r="AP159" s="358"/>
      <c r="AQ159" s="358"/>
      <c r="AR159" s="358"/>
      <c r="AS159" s="358"/>
      <c r="AT159" s="358"/>
      <c r="AU159" s="358"/>
      <c r="AV159" s="358"/>
      <c r="AW159" s="358"/>
      <c r="AX159" s="358"/>
      <c r="AY159" s="358"/>
      <c r="AZ159" s="358">
        <f>+'SEF-32 pg 35-45'!CU25</f>
        <v>0</v>
      </c>
      <c r="BA159" s="358"/>
      <c r="BB159" s="370">
        <f>'SEF-32 pg 35-45'!EE66</f>
        <v>0</v>
      </c>
      <c r="BC159" s="358"/>
      <c r="BD159" s="370"/>
      <c r="BE159" s="358"/>
      <c r="BF159" s="370"/>
      <c r="BG159" s="371">
        <f t="shared" si="42"/>
        <v>178344.29015270656</v>
      </c>
      <c r="BH159" s="371">
        <f t="shared" si="43"/>
        <v>174376996.90552947</v>
      </c>
      <c r="BI159" s="82"/>
      <c r="BJ159" s="356"/>
      <c r="BK159" s="82"/>
    </row>
    <row r="160" spans="1:63" outlineLevel="1" x14ac:dyDescent="0.25">
      <c r="A160" s="317">
        <f t="shared" si="38"/>
        <v>24</v>
      </c>
      <c r="B160" s="349" t="s">
        <v>101</v>
      </c>
      <c r="C160" s="350" t="s">
        <v>159</v>
      </c>
      <c r="D160" s="1260">
        <f t="shared" si="41"/>
        <v>367026891.26705974</v>
      </c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  <c r="AA160" s="358"/>
      <c r="AB160" s="358"/>
      <c r="AC160" s="358"/>
      <c r="AD160" s="358"/>
      <c r="AE160" s="358">
        <f>'SEF-32 pg 1-34, 46'!$RK$17+'SEF-32 pg 1-34, 46'!$RK$18+'SEF-32 pg 1-34, 46'!RK22+'SEF-32 pg 1-34, 46'!RK23</f>
        <v>-1613.9095500707626</v>
      </c>
      <c r="AF160" s="358">
        <f>'SEF-32 pg 1-34, 46'!$SC$16+'SEF-32 pg 1-34, 46'!$SC$17</f>
        <v>-1552531.0100000002</v>
      </c>
      <c r="AG160" s="358">
        <f>'SEF-32 pg 1-34, 46'!$SU$16+'SEF-32 pg 1-34, 46'!$SU$17</f>
        <v>13244868.642904997</v>
      </c>
      <c r="AH160" s="358">
        <f>'SEF-32 pg 1-34, 46'!$SU$34+'SEF-32 pg 1-34, 46'!$SU$35</f>
        <v>2874771.1399999997</v>
      </c>
      <c r="AI160" s="358">
        <f>'SEF-32 pg 1-34, 46'!$SU$52+'SEF-32 pg 1-34, 46'!$SU$53</f>
        <v>5436371.7800000012</v>
      </c>
      <c r="AJ160" s="358">
        <f>'SEF-32 pg 1-34, 46'!$SU$70+'SEF-32 pg 1-34, 46'!$SU$71</f>
        <v>4153965.7593199997</v>
      </c>
      <c r="AK160" s="358"/>
      <c r="AL160" s="358"/>
      <c r="AM160" s="358"/>
      <c r="AN160" s="358"/>
      <c r="AO160" s="358"/>
      <c r="AP160" s="358"/>
      <c r="AQ160" s="358"/>
      <c r="AR160" s="358"/>
      <c r="AS160" s="358"/>
      <c r="AT160" s="358"/>
      <c r="AU160" s="358"/>
      <c r="AV160" s="358"/>
      <c r="AW160" s="358"/>
      <c r="AX160" s="358"/>
      <c r="AY160" s="358"/>
      <c r="AZ160" s="358"/>
      <c r="BA160" s="358"/>
      <c r="BB160" s="358">
        <f>'SEF-32 pg 35-45'!EE62</f>
        <v>0</v>
      </c>
      <c r="BC160" s="358"/>
      <c r="BD160" s="358"/>
      <c r="BE160" s="358"/>
      <c r="BF160" s="358"/>
      <c r="BG160" s="357">
        <f t="shared" si="42"/>
        <v>24155832.402674925</v>
      </c>
      <c r="BH160" s="357">
        <f t="shared" si="43"/>
        <v>391182723.66973466</v>
      </c>
      <c r="BI160" s="82"/>
      <c r="BJ160" s="356"/>
      <c r="BK160" s="82"/>
    </row>
    <row r="161" spans="1:63" outlineLevel="1" x14ac:dyDescent="0.25">
      <c r="A161" s="317">
        <f t="shared" si="38"/>
        <v>25</v>
      </c>
      <c r="B161" s="349" t="s">
        <v>102</v>
      </c>
      <c r="C161" s="350" t="s">
        <v>159</v>
      </c>
      <c r="D161" s="1260">
        <f t="shared" si="41"/>
        <v>63010619.953792728</v>
      </c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  <c r="AA161" s="358"/>
      <c r="AB161" s="358"/>
      <c r="AC161" s="358"/>
      <c r="AD161" s="358"/>
      <c r="AE161" s="358">
        <f>'SEF-32 pg 1-34, 46'!$RK$19+'SEF-32 pg 1-34, 46'!$RK$20</f>
        <v>-4040918.7522380129</v>
      </c>
      <c r="AF161" s="358">
        <f>'SEF-32 pg 1-34, 46'!$SC$18+'SEF-32 pg 1-34, 46'!$SC$19</f>
        <v>0</v>
      </c>
      <c r="AG161" s="358">
        <f>'SEF-32 pg 1-34, 46'!$SU$18+'SEF-32 pg 1-34, 46'!$SU$19</f>
        <v>6356910.9449399989</v>
      </c>
      <c r="AH161" s="358">
        <f>'SEF-32 pg 1-34, 46'!$SU$36+'SEF-32 pg 1-34, 46'!$SU$37</f>
        <v>55344.950000000004</v>
      </c>
      <c r="AI161" s="358">
        <f>'SEF-32 pg 1-34, 46'!$SU$54+'SEF-32 pg 1-34, 46'!$SU$55</f>
        <v>0</v>
      </c>
      <c r="AJ161" s="358">
        <f>'SEF-32 pg 1-34, 46'!$SU$72+'SEF-32 pg 1-34, 46'!$SU$73</f>
        <v>13203890.627915002</v>
      </c>
      <c r="AK161" s="358"/>
      <c r="AL161" s="358"/>
      <c r="AM161" s="358"/>
      <c r="AN161" s="358"/>
      <c r="AO161" s="358"/>
      <c r="AP161" s="358"/>
      <c r="AQ161" s="358"/>
      <c r="AR161" s="358"/>
      <c r="AS161" s="358"/>
      <c r="AT161" s="358"/>
      <c r="AU161" s="358"/>
      <c r="AV161" s="358"/>
      <c r="AW161" s="358"/>
      <c r="AX161" s="358"/>
      <c r="AY161" s="358"/>
      <c r="AZ161" s="358">
        <f>+'SEF-32 pg 35-45'!CU24</f>
        <v>0</v>
      </c>
      <c r="BA161" s="358"/>
      <c r="BB161" s="358"/>
      <c r="BC161" s="358">
        <f>'SEF-32 pg 35-45'!EW37</f>
        <v>0</v>
      </c>
      <c r="BD161" s="358"/>
      <c r="BE161" s="358"/>
      <c r="BF161" s="358"/>
      <c r="BG161" s="357">
        <f t="shared" si="42"/>
        <v>15575227.77061699</v>
      </c>
      <c r="BH161" s="357">
        <f t="shared" si="43"/>
        <v>78585847.724409714</v>
      </c>
      <c r="BI161" s="82"/>
      <c r="BJ161" s="356"/>
      <c r="BK161" s="82"/>
    </row>
    <row r="162" spans="1:63" outlineLevel="1" x14ac:dyDescent="0.25">
      <c r="A162" s="317">
        <f t="shared" si="38"/>
        <v>26</v>
      </c>
      <c r="B162" s="369" t="s">
        <v>103</v>
      </c>
      <c r="C162" s="350" t="s">
        <v>159</v>
      </c>
      <c r="D162" s="1260">
        <f t="shared" si="41"/>
        <v>34245088.449854851</v>
      </c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  <c r="AA162" s="358"/>
      <c r="AB162" s="358"/>
      <c r="AC162" s="358"/>
      <c r="AD162" s="358"/>
      <c r="AE162" s="358"/>
      <c r="AF162" s="358"/>
      <c r="AG162" s="358"/>
      <c r="AH162" s="358"/>
      <c r="AI162" s="358"/>
      <c r="AJ162" s="358"/>
      <c r="AK162" s="358"/>
      <c r="AL162" s="358"/>
      <c r="AM162" s="358"/>
      <c r="AN162" s="358"/>
      <c r="AO162" s="358"/>
      <c r="AP162" s="358"/>
      <c r="AQ162" s="358"/>
      <c r="AR162" s="358"/>
      <c r="AS162" s="358"/>
      <c r="AT162" s="358"/>
      <c r="AU162" s="358"/>
      <c r="AV162" s="358"/>
      <c r="AW162" s="358"/>
      <c r="AX162" s="358"/>
      <c r="AY162" s="358"/>
      <c r="AZ162" s="358"/>
      <c r="BA162" s="358">
        <f>'SEF-32 pg 35-45'!DM$26</f>
        <v>0</v>
      </c>
      <c r="BB162" s="358"/>
      <c r="BC162" s="358"/>
      <c r="BD162" s="358"/>
      <c r="BE162" s="358"/>
      <c r="BF162" s="358"/>
      <c r="BG162" s="357">
        <f t="shared" si="42"/>
        <v>0</v>
      </c>
      <c r="BH162" s="357">
        <f t="shared" si="43"/>
        <v>34245088.449854851</v>
      </c>
      <c r="BI162" s="82"/>
      <c r="BJ162" s="356"/>
      <c r="BK162" s="82"/>
    </row>
    <row r="163" spans="1:63" outlineLevel="1" x14ac:dyDescent="0.25">
      <c r="A163" s="317">
        <f t="shared" si="38"/>
        <v>27</v>
      </c>
      <c r="B163" s="349" t="s">
        <v>104</v>
      </c>
      <c r="C163" s="350" t="s">
        <v>159</v>
      </c>
      <c r="D163" s="1260">
        <f t="shared" si="41"/>
        <v>24864305.276791573</v>
      </c>
      <c r="E163" s="358">
        <f>'SEF-32 pg 1-34, 46'!I$72</f>
        <v>0</v>
      </c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>
        <f>'SEF-32 pg 1-34, 46'!IY19</f>
        <v>0</v>
      </c>
      <c r="T163" s="358"/>
      <c r="U163" s="358"/>
      <c r="V163" s="358"/>
      <c r="W163" s="358"/>
      <c r="X163" s="358"/>
      <c r="Y163" s="358"/>
      <c r="Z163" s="358"/>
      <c r="AA163" s="358"/>
      <c r="AB163" s="358"/>
      <c r="AC163" s="358">
        <f>'SEF-32 pg 1-34, 46'!QA17</f>
        <v>2723.7321666665375</v>
      </c>
      <c r="AD163" s="358"/>
      <c r="AE163" s="358"/>
      <c r="AF163" s="358"/>
      <c r="AG163" s="358"/>
      <c r="AH163" s="358"/>
      <c r="AI163" s="358"/>
      <c r="AJ163" s="358"/>
      <c r="AK163" s="358"/>
      <c r="AL163" s="358">
        <f>'SEF-32 pg 1-34, 46'!UC24</f>
        <v>0</v>
      </c>
      <c r="AM163" s="358"/>
      <c r="AN163" s="358"/>
      <c r="AO163" s="358"/>
      <c r="AP163" s="358"/>
      <c r="AQ163" s="358"/>
      <c r="AR163" s="358"/>
      <c r="AS163" s="358"/>
      <c r="AT163" s="358"/>
      <c r="AU163" s="358"/>
      <c r="AV163" s="358"/>
      <c r="AW163" s="358"/>
      <c r="AX163" s="358"/>
      <c r="AY163" s="358">
        <f>'SEF-32 pg 35-45'!CC62-'SEF-32 pg 35-45'!CC51</f>
        <v>-6063574.4873452531</v>
      </c>
      <c r="AZ163" s="358"/>
      <c r="BA163" s="358"/>
      <c r="BB163" s="358"/>
      <c r="BC163" s="358"/>
      <c r="BD163" s="358"/>
      <c r="BE163" s="358"/>
      <c r="BF163" s="358"/>
      <c r="BG163" s="357">
        <f t="shared" si="42"/>
        <v>-6060850.7551785866</v>
      </c>
      <c r="BH163" s="357">
        <f t="shared" si="43"/>
        <v>18803454.521612987</v>
      </c>
      <c r="BI163" s="82"/>
      <c r="BJ163" s="356"/>
      <c r="BK163" s="82"/>
    </row>
    <row r="164" spans="1:63" outlineLevel="1" x14ac:dyDescent="0.25">
      <c r="A164" s="317">
        <f t="shared" si="38"/>
        <v>28</v>
      </c>
      <c r="B164" s="349" t="s">
        <v>105</v>
      </c>
      <c r="C164" s="350" t="s">
        <v>159</v>
      </c>
      <c r="D164" s="1272">
        <f t="shared" si="41"/>
        <v>97322425.782978192</v>
      </c>
      <c r="E164" s="370">
        <f>'SEF-32 pg 1-34, 46'!I$76</f>
        <v>466077.16804894869</v>
      </c>
      <c r="F164" s="358"/>
      <c r="G164" s="370"/>
      <c r="H164" s="358"/>
      <c r="I164" s="358"/>
      <c r="J164" s="358"/>
      <c r="K164" s="358"/>
      <c r="L164" s="358"/>
      <c r="M164" s="358"/>
      <c r="N164" s="358"/>
      <c r="O164" s="358">
        <f>'SEF-32 pg 1-34, 46'!GE27</f>
        <v>32097.644340648854</v>
      </c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  <c r="AA164" s="358"/>
      <c r="AB164" s="358"/>
      <c r="AC164" s="358"/>
      <c r="AD164" s="358"/>
      <c r="AE164" s="358"/>
      <c r="AF164" s="358"/>
      <c r="AG164" s="358"/>
      <c r="AH164" s="358"/>
      <c r="AI164" s="358"/>
      <c r="AJ164" s="358"/>
      <c r="AK164" s="358"/>
      <c r="AL164" s="358"/>
      <c r="AM164" s="358"/>
      <c r="AN164" s="358"/>
      <c r="AO164" s="358"/>
      <c r="AP164" s="358"/>
      <c r="AQ164" s="358"/>
      <c r="AR164" s="358"/>
      <c r="AS164" s="358"/>
      <c r="AT164" s="358"/>
      <c r="AU164" s="358"/>
      <c r="AV164" s="358"/>
      <c r="AW164" s="358"/>
      <c r="AX164" s="358"/>
      <c r="AY164" s="358"/>
      <c r="AZ164" s="358"/>
      <c r="BA164" s="358"/>
      <c r="BB164" s="358">
        <f>'SEF-32 pg 35-45'!EE69</f>
        <v>0</v>
      </c>
      <c r="BC164" s="358"/>
      <c r="BD164" s="358"/>
      <c r="BE164" s="358"/>
      <c r="BF164" s="358"/>
      <c r="BG164" s="371">
        <f t="shared" si="42"/>
        <v>498174.81238959753</v>
      </c>
      <c r="BH164" s="357">
        <f t="shared" si="43"/>
        <v>97820600.595367789</v>
      </c>
      <c r="BI164" s="82"/>
      <c r="BJ164" s="356"/>
      <c r="BK164" s="82"/>
    </row>
    <row r="165" spans="1:63" outlineLevel="1" x14ac:dyDescent="0.25">
      <c r="A165" s="317">
        <f t="shared" si="38"/>
        <v>29</v>
      </c>
      <c r="B165" s="349" t="s">
        <v>106</v>
      </c>
      <c r="C165" s="350" t="s">
        <v>159</v>
      </c>
      <c r="D165" s="1272">
        <f t="shared" si="41"/>
        <v>14943064.75097511</v>
      </c>
      <c r="E165" s="370">
        <f>'SEF-32 pg 1-34, 46'!I$81</f>
        <v>2416267.7919008047</v>
      </c>
      <c r="F165" s="370"/>
      <c r="G165" s="370"/>
      <c r="H165" s="358">
        <f>+'SEF-32 pg 1-34, 46'!BI16</f>
        <v>0</v>
      </c>
      <c r="I165" s="358">
        <f>+'SEF-32 pg 1-34, 46'!CA23</f>
        <v>-2460753.2996581821</v>
      </c>
      <c r="J165" s="358"/>
      <c r="K165" s="358"/>
      <c r="L165" s="358"/>
      <c r="M165" s="358"/>
      <c r="N165" s="358"/>
      <c r="O165" s="358">
        <f>'SEF-32 pg 1-34, 46'!GE30</f>
        <v>-83423.902026905707</v>
      </c>
      <c r="P165" s="358"/>
      <c r="Q165" s="358"/>
      <c r="R165" s="358"/>
      <c r="S165" s="358">
        <f>'SEF-32 pg 1-34, 46'!IY21</f>
        <v>0</v>
      </c>
      <c r="T165" s="358"/>
      <c r="U165" s="358"/>
      <c r="V165" s="358"/>
      <c r="W165" s="358"/>
      <c r="X165" s="358"/>
      <c r="Y165" s="370"/>
      <c r="Z165" s="358"/>
      <c r="AA165" s="358"/>
      <c r="AB165" s="370"/>
      <c r="AC165" s="358">
        <f>'SEF-32 pg 1-34, 46'!QA20</f>
        <v>-571.9837549999728</v>
      </c>
      <c r="AD165" s="358"/>
      <c r="AE165" s="358">
        <f>'SEF-32 pg 1-34, 46'!$RK$29</f>
        <v>848931.85897549754</v>
      </c>
      <c r="AF165" s="358">
        <f>'SEF-32 pg 1-34, 46'!$SC$28</f>
        <v>326031.51210000005</v>
      </c>
      <c r="AG165" s="358">
        <f>'SEF-32 pg 1-34, 46'!$SU$24</f>
        <v>-4116373.7134474493</v>
      </c>
      <c r="AH165" s="358">
        <f>'SEF-32 pg 1-34, 46'!$SU$42</f>
        <v>-615324.37889999989</v>
      </c>
      <c r="AI165" s="358">
        <f>'SEF-32 pg 1-34, 46'!$SU$60</f>
        <v>-1141638.0738000001</v>
      </c>
      <c r="AJ165" s="358">
        <f>'SEF-32 pg 1-34, 46'!$SU$78</f>
        <v>-3645149.8413193501</v>
      </c>
      <c r="AK165" s="370"/>
      <c r="AL165" s="358">
        <f>'SEF-32 pg 1-34, 46'!UC26</f>
        <v>0</v>
      </c>
      <c r="AM165" s="358"/>
      <c r="AN165" s="358"/>
      <c r="AO165" s="358"/>
      <c r="AP165" s="358"/>
      <c r="AQ165" s="358"/>
      <c r="AR165" s="358"/>
      <c r="AS165" s="358"/>
      <c r="AT165" s="358"/>
      <c r="AU165" s="358"/>
      <c r="AV165" s="358"/>
      <c r="AW165" s="358"/>
      <c r="AX165" s="358"/>
      <c r="AY165" s="358">
        <f>'SEF-32 pg 35-45'!CC64</f>
        <v>1258635.3660767977</v>
      </c>
      <c r="AZ165" s="358">
        <f>+'SEF-32 pg 35-45'!CU28</f>
        <v>0</v>
      </c>
      <c r="BA165" s="358">
        <f>'SEF-32 pg 35-45'!DM$28</f>
        <v>0</v>
      </c>
      <c r="BB165" s="370">
        <f>'SEF-32 pg 35-45'!EE70+'SEF-32 pg 35-45'!EE73+'SEF-32 pg 35-45'!EE75</f>
        <v>0</v>
      </c>
      <c r="BC165" s="358">
        <f>'SEF-32 pg 35-45'!EW41</f>
        <v>0</v>
      </c>
      <c r="BD165" s="370"/>
      <c r="BE165" s="358"/>
      <c r="BF165" s="370"/>
      <c r="BG165" s="371">
        <f t="shared" si="42"/>
        <v>-7213368.6638537869</v>
      </c>
      <c r="BH165" s="371">
        <f t="shared" si="43"/>
        <v>7729696.0871213228</v>
      </c>
      <c r="BI165" s="82"/>
      <c r="BJ165" s="356"/>
      <c r="BK165" s="82"/>
    </row>
    <row r="166" spans="1:63" outlineLevel="1" x14ac:dyDescent="0.25">
      <c r="A166" s="317">
        <f t="shared" si="38"/>
        <v>30</v>
      </c>
      <c r="B166" s="365" t="s">
        <v>107</v>
      </c>
      <c r="C166" s="350" t="s">
        <v>159</v>
      </c>
      <c r="D166" s="1260">
        <f t="shared" si="41"/>
        <v>-47249302.056862503</v>
      </c>
      <c r="E166" s="358"/>
      <c r="F166" s="358"/>
      <c r="G166" s="358"/>
      <c r="H166" s="358">
        <f>SUM('SEF-32 pg 1-34, 46'!BI17:BI21)</f>
        <v>1299233.3888071019</v>
      </c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  <c r="AA166" s="358"/>
      <c r="AB166" s="358"/>
      <c r="AC166" s="358"/>
      <c r="AD166" s="358"/>
      <c r="AE166" s="358"/>
      <c r="AF166" s="358"/>
      <c r="AG166" s="358"/>
      <c r="AH166" s="358"/>
      <c r="AI166" s="358"/>
      <c r="AJ166" s="358"/>
      <c r="AK166" s="358"/>
      <c r="AL166" s="358"/>
      <c r="AM166" s="358"/>
      <c r="AN166" s="358"/>
      <c r="AO166" s="358"/>
      <c r="AP166" s="358"/>
      <c r="AQ166" s="358"/>
      <c r="AR166" s="358"/>
      <c r="AS166" s="358"/>
      <c r="AT166" s="358"/>
      <c r="AU166" s="358"/>
      <c r="AV166" s="358"/>
      <c r="AW166" s="358"/>
      <c r="AX166" s="358"/>
      <c r="AY166" s="358"/>
      <c r="AZ166" s="358"/>
      <c r="BA166" s="358"/>
      <c r="BB166" s="358"/>
      <c r="BC166" s="358"/>
      <c r="BD166" s="358"/>
      <c r="BE166" s="358"/>
      <c r="BF166" s="358"/>
      <c r="BG166" s="357">
        <f t="shared" si="42"/>
        <v>1299233.3888071019</v>
      </c>
      <c r="BH166" s="357">
        <f t="shared" si="43"/>
        <v>-45950068.6680554</v>
      </c>
      <c r="BI166" s="82"/>
      <c r="BJ166" s="356"/>
      <c r="BK166" s="82"/>
    </row>
    <row r="167" spans="1:63" outlineLevel="1" x14ac:dyDescent="0.25">
      <c r="A167" s="317">
        <f t="shared" si="38"/>
        <v>31</v>
      </c>
      <c r="B167" s="349" t="s">
        <v>109</v>
      </c>
      <c r="C167" s="350" t="s">
        <v>159</v>
      </c>
      <c r="D167" s="1281">
        <f>SUM(D151:D166)</f>
        <v>2930207257.2569475</v>
      </c>
      <c r="E167" s="372">
        <f t="shared" ref="E167:BF167" si="44">SUM(E151:E166)</f>
        <v>3021478.9803365818</v>
      </c>
      <c r="F167" s="372">
        <f t="shared" si="44"/>
        <v>0</v>
      </c>
      <c r="G167" s="372">
        <f t="shared" si="44"/>
        <v>0</v>
      </c>
      <c r="H167" s="368">
        <f t="shared" si="44"/>
        <v>1299233.3888071019</v>
      </c>
      <c r="I167" s="368">
        <f t="shared" si="44"/>
        <v>-2460753.2996581821</v>
      </c>
      <c r="J167" s="368">
        <f t="shared" si="44"/>
        <v>0</v>
      </c>
      <c r="K167" s="368">
        <f t="shared" si="44"/>
        <v>0</v>
      </c>
      <c r="L167" s="368">
        <f t="shared" si="44"/>
        <v>0</v>
      </c>
      <c r="M167" s="368">
        <f t="shared" si="44"/>
        <v>0</v>
      </c>
      <c r="N167" s="368">
        <f t="shared" si="44"/>
        <v>0</v>
      </c>
      <c r="O167" s="368">
        <f t="shared" si="44"/>
        <v>313832.77429169288</v>
      </c>
      <c r="P167" s="368">
        <f t="shared" si="44"/>
        <v>0</v>
      </c>
      <c r="Q167" s="368">
        <f t="shared" si="44"/>
        <v>0</v>
      </c>
      <c r="R167" s="368">
        <f t="shared" si="44"/>
        <v>0</v>
      </c>
      <c r="S167" s="368">
        <f t="shared" si="44"/>
        <v>0</v>
      </c>
      <c r="T167" s="368">
        <f t="shared" si="44"/>
        <v>0</v>
      </c>
      <c r="U167" s="368">
        <f t="shared" si="44"/>
        <v>0</v>
      </c>
      <c r="V167" s="368">
        <f t="shared" si="44"/>
        <v>0</v>
      </c>
      <c r="W167" s="368">
        <f t="shared" si="44"/>
        <v>0</v>
      </c>
      <c r="X167" s="368">
        <f t="shared" si="44"/>
        <v>0</v>
      </c>
      <c r="Y167" s="368">
        <f t="shared" si="44"/>
        <v>0</v>
      </c>
      <c r="Z167" s="368">
        <f t="shared" si="44"/>
        <v>0</v>
      </c>
      <c r="AA167" s="368">
        <f t="shared" si="44"/>
        <v>0</v>
      </c>
      <c r="AB167" s="368">
        <f t="shared" si="44"/>
        <v>0</v>
      </c>
      <c r="AC167" s="368">
        <f t="shared" si="44"/>
        <v>2151.7484116665646</v>
      </c>
      <c r="AD167" s="368">
        <f t="shared" si="44"/>
        <v>0</v>
      </c>
      <c r="AE167" s="368">
        <f t="shared" si="44"/>
        <v>-3193600.8028125861</v>
      </c>
      <c r="AF167" s="368">
        <f t="shared" si="44"/>
        <v>-1226499.4979000003</v>
      </c>
      <c r="AG167" s="368">
        <f t="shared" si="44"/>
        <v>15485405.874397548</v>
      </c>
      <c r="AH167" s="368">
        <f t="shared" si="44"/>
        <v>2314791.7111</v>
      </c>
      <c r="AI167" s="368">
        <f t="shared" si="44"/>
        <v>4294733.7062000008</v>
      </c>
      <c r="AJ167" s="368">
        <f t="shared" si="44"/>
        <v>13712706.54591565</v>
      </c>
      <c r="AK167" s="368">
        <f t="shared" si="44"/>
        <v>0</v>
      </c>
      <c r="AL167" s="368">
        <f t="shared" si="44"/>
        <v>0</v>
      </c>
      <c r="AM167" s="368">
        <f t="shared" si="44"/>
        <v>0</v>
      </c>
      <c r="AN167" s="368">
        <f t="shared" si="44"/>
        <v>0</v>
      </c>
      <c r="AO167" s="368">
        <f t="shared" si="44"/>
        <v>0</v>
      </c>
      <c r="AP167" s="368">
        <f t="shared" si="44"/>
        <v>0</v>
      </c>
      <c r="AQ167" s="368">
        <f t="shared" si="44"/>
        <v>0</v>
      </c>
      <c r="AR167" s="368">
        <f t="shared" si="44"/>
        <v>0</v>
      </c>
      <c r="AS167" s="368">
        <f t="shared" si="44"/>
        <v>0</v>
      </c>
      <c r="AT167" s="368">
        <f t="shared" si="44"/>
        <v>0</v>
      </c>
      <c r="AU167" s="368">
        <f t="shared" si="44"/>
        <v>0</v>
      </c>
      <c r="AV167" s="368">
        <f t="shared" si="44"/>
        <v>0</v>
      </c>
      <c r="AW167" s="368">
        <f t="shared" si="44"/>
        <v>0</v>
      </c>
      <c r="AX167" s="368">
        <f t="shared" si="44"/>
        <v>0</v>
      </c>
      <c r="AY167" s="368">
        <f t="shared" si="44"/>
        <v>-4804939.1212684549</v>
      </c>
      <c r="AZ167" s="368">
        <f t="shared" si="44"/>
        <v>0</v>
      </c>
      <c r="BA167" s="368">
        <f t="shared" si="44"/>
        <v>0</v>
      </c>
      <c r="BB167" s="368">
        <f t="shared" si="44"/>
        <v>0</v>
      </c>
      <c r="BC167" s="368">
        <f t="shared" si="44"/>
        <v>0</v>
      </c>
      <c r="BD167" s="368">
        <f t="shared" si="44"/>
        <v>0</v>
      </c>
      <c r="BE167" s="368">
        <f>SUM(BE151:BE166)</f>
        <v>0</v>
      </c>
      <c r="BF167" s="368">
        <f t="shared" si="44"/>
        <v>0</v>
      </c>
      <c r="BG167" s="373">
        <f>SUM(BG151:BG166)</f>
        <v>28758542.007821016</v>
      </c>
      <c r="BH167" s="373">
        <f>SUM(BH151:BH166)</f>
        <v>2958965799.2647686</v>
      </c>
      <c r="BI167" s="82"/>
      <c r="BJ167" s="356"/>
      <c r="BK167" s="82"/>
    </row>
    <row r="168" spans="1:63" outlineLevel="1" x14ac:dyDescent="0.25">
      <c r="A168" s="317">
        <f t="shared" si="38"/>
        <v>32</v>
      </c>
      <c r="B168" s="365"/>
      <c r="C168" s="350" t="s">
        <v>159</v>
      </c>
      <c r="D168" s="1264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75"/>
      <c r="AI168" s="375"/>
      <c r="AJ168" s="375"/>
      <c r="AK168" s="375"/>
      <c r="AL168" s="375"/>
      <c r="AM168" s="375"/>
      <c r="AN168" s="375"/>
      <c r="AO168" s="375"/>
      <c r="AP168" s="375"/>
      <c r="AQ168" s="375"/>
      <c r="AR168" s="375"/>
      <c r="AS168" s="375"/>
      <c r="AT168" s="375"/>
      <c r="AU168" s="375"/>
      <c r="AV168" s="375"/>
      <c r="AW168" s="375"/>
      <c r="AX168" s="375"/>
      <c r="AY168" s="375"/>
      <c r="AZ168" s="375"/>
      <c r="BA168" s="375"/>
      <c r="BB168" s="375"/>
      <c r="BC168" s="375"/>
      <c r="BD168" s="375"/>
      <c r="BE168" s="375"/>
      <c r="BF168" s="375"/>
      <c r="BG168" s="374"/>
      <c r="BH168" s="374"/>
      <c r="BI168" s="82"/>
      <c r="BJ168" s="356"/>
      <c r="BK168" s="82"/>
    </row>
    <row r="169" spans="1:63" ht="15.75" outlineLevel="1" thickBot="1" x14ac:dyDescent="0.3">
      <c r="A169" s="317">
        <f t="shared" si="38"/>
        <v>33</v>
      </c>
      <c r="B169" s="365" t="s">
        <v>110</v>
      </c>
      <c r="C169" s="350" t="s">
        <v>159</v>
      </c>
      <c r="D169" s="1282">
        <f>+D142-D167</f>
        <v>112656090.11742973</v>
      </c>
      <c r="E169" s="377">
        <f t="shared" ref="E169:BF169" si="45">+E142-E167</f>
        <v>9089769.3123887423</v>
      </c>
      <c r="F169" s="377">
        <f t="shared" si="45"/>
        <v>0</v>
      </c>
      <c r="G169" s="377">
        <f t="shared" si="45"/>
        <v>0</v>
      </c>
      <c r="H169" s="378">
        <f t="shared" si="45"/>
        <v>-1299233.3888071019</v>
      </c>
      <c r="I169" s="378">
        <f t="shared" si="45"/>
        <v>2460753.2996581821</v>
      </c>
      <c r="J169" s="378">
        <f t="shared" si="45"/>
        <v>0</v>
      </c>
      <c r="K169" s="378">
        <f t="shared" si="45"/>
        <v>0</v>
      </c>
      <c r="L169" s="378">
        <f t="shared" si="45"/>
        <v>0</v>
      </c>
      <c r="M169" s="378">
        <f t="shared" si="45"/>
        <v>0</v>
      </c>
      <c r="N169" s="378">
        <f t="shared" si="45"/>
        <v>0</v>
      </c>
      <c r="O169" s="378">
        <f t="shared" si="45"/>
        <v>-313832.77429169288</v>
      </c>
      <c r="P169" s="378">
        <f t="shared" si="45"/>
        <v>0</v>
      </c>
      <c r="Q169" s="378">
        <f t="shared" si="45"/>
        <v>0</v>
      </c>
      <c r="R169" s="378">
        <f t="shared" si="45"/>
        <v>0</v>
      </c>
      <c r="S169" s="378">
        <f t="shared" si="45"/>
        <v>0</v>
      </c>
      <c r="T169" s="378">
        <f t="shared" si="45"/>
        <v>0</v>
      </c>
      <c r="U169" s="378">
        <f t="shared" si="45"/>
        <v>0</v>
      </c>
      <c r="V169" s="378">
        <f t="shared" si="45"/>
        <v>0</v>
      </c>
      <c r="W169" s="378">
        <f t="shared" si="45"/>
        <v>0</v>
      </c>
      <c r="X169" s="378">
        <f t="shared" si="45"/>
        <v>0</v>
      </c>
      <c r="Y169" s="378">
        <f t="shared" si="45"/>
        <v>0</v>
      </c>
      <c r="Z169" s="378">
        <f t="shared" si="45"/>
        <v>0</v>
      </c>
      <c r="AA169" s="378">
        <f t="shared" si="45"/>
        <v>0</v>
      </c>
      <c r="AB169" s="378">
        <f t="shared" si="45"/>
        <v>0</v>
      </c>
      <c r="AC169" s="378">
        <f t="shared" si="45"/>
        <v>-2151.7484116665646</v>
      </c>
      <c r="AD169" s="378">
        <f t="shared" si="45"/>
        <v>0</v>
      </c>
      <c r="AE169" s="378">
        <f t="shared" si="45"/>
        <v>3193600.8028125861</v>
      </c>
      <c r="AF169" s="378">
        <f t="shared" si="45"/>
        <v>1226499.4979000003</v>
      </c>
      <c r="AG169" s="378">
        <f t="shared" si="45"/>
        <v>-15485405.874397548</v>
      </c>
      <c r="AH169" s="378">
        <f t="shared" si="45"/>
        <v>-2314791.7111</v>
      </c>
      <c r="AI169" s="378">
        <f t="shared" si="45"/>
        <v>-4294733.7062000008</v>
      </c>
      <c r="AJ169" s="378">
        <f t="shared" si="45"/>
        <v>-13712706.54591565</v>
      </c>
      <c r="AK169" s="378">
        <f t="shared" si="45"/>
        <v>0</v>
      </c>
      <c r="AL169" s="378">
        <f t="shared" si="45"/>
        <v>0</v>
      </c>
      <c r="AM169" s="378">
        <f t="shared" si="45"/>
        <v>0</v>
      </c>
      <c r="AN169" s="378">
        <f t="shared" si="45"/>
        <v>0</v>
      </c>
      <c r="AO169" s="378">
        <f t="shared" si="45"/>
        <v>0</v>
      </c>
      <c r="AP169" s="378">
        <f t="shared" si="45"/>
        <v>0</v>
      </c>
      <c r="AQ169" s="378">
        <f t="shared" si="45"/>
        <v>0</v>
      </c>
      <c r="AR169" s="378">
        <f t="shared" si="45"/>
        <v>0</v>
      </c>
      <c r="AS169" s="378">
        <f t="shared" si="45"/>
        <v>0</v>
      </c>
      <c r="AT169" s="378">
        <f t="shared" si="45"/>
        <v>0</v>
      </c>
      <c r="AU169" s="378">
        <f t="shared" si="45"/>
        <v>0</v>
      </c>
      <c r="AV169" s="378">
        <f t="shared" si="45"/>
        <v>0</v>
      </c>
      <c r="AW169" s="378">
        <f t="shared" si="45"/>
        <v>0</v>
      </c>
      <c r="AX169" s="378">
        <f t="shared" si="45"/>
        <v>0</v>
      </c>
      <c r="AY169" s="378">
        <f t="shared" si="45"/>
        <v>4734866.3771460485</v>
      </c>
      <c r="AZ169" s="378">
        <f t="shared" si="45"/>
        <v>0</v>
      </c>
      <c r="BA169" s="378">
        <f t="shared" si="45"/>
        <v>0</v>
      </c>
      <c r="BB169" s="378">
        <f t="shared" si="45"/>
        <v>0</v>
      </c>
      <c r="BC169" s="378">
        <f t="shared" si="45"/>
        <v>0</v>
      </c>
      <c r="BD169" s="378">
        <f t="shared" si="45"/>
        <v>0</v>
      </c>
      <c r="BE169" s="378">
        <f>+BE142-BE167</f>
        <v>0</v>
      </c>
      <c r="BF169" s="378">
        <f t="shared" si="45"/>
        <v>0</v>
      </c>
      <c r="BG169" s="379">
        <f>+BG142-BG167</f>
        <v>-16717366.459218098</v>
      </c>
      <c r="BH169" s="379">
        <f>+BH142-BH167</f>
        <v>95938723.658211231</v>
      </c>
      <c r="BI169" s="82"/>
      <c r="BJ169" s="356"/>
      <c r="BK169" s="82"/>
    </row>
    <row r="170" spans="1:63" ht="12" customHeight="1" outlineLevel="1" thickTop="1" x14ac:dyDescent="0.25">
      <c r="A170" s="317">
        <f t="shared" si="38"/>
        <v>34</v>
      </c>
      <c r="B170" s="18"/>
      <c r="C170" s="350" t="s">
        <v>159</v>
      </c>
      <c r="D170" s="1266"/>
      <c r="E170" s="381"/>
      <c r="F170" s="381"/>
      <c r="G170" s="381"/>
      <c r="H170" s="381"/>
      <c r="I170" s="381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1"/>
      <c r="Z170" s="381"/>
      <c r="AA170" s="381" t="s">
        <v>160</v>
      </c>
      <c r="AB170" s="381"/>
      <c r="AC170" s="381"/>
      <c r="AD170" s="381"/>
      <c r="AE170" s="381"/>
      <c r="AF170" s="381"/>
      <c r="AG170" s="381"/>
      <c r="AH170" s="381"/>
      <c r="AI170" s="381"/>
      <c r="AJ170" s="381"/>
      <c r="AK170" s="381"/>
      <c r="AL170" s="381"/>
      <c r="AM170" s="381"/>
      <c r="AN170" s="381"/>
      <c r="AO170" s="381"/>
      <c r="AP170" s="381"/>
      <c r="AQ170" s="381"/>
      <c r="AR170" s="381"/>
      <c r="AS170" s="381"/>
      <c r="AT170" s="381"/>
      <c r="AU170" s="381"/>
      <c r="AV170" s="381"/>
      <c r="AW170" s="381"/>
      <c r="AX170" s="381"/>
      <c r="AY170" s="381"/>
      <c r="AZ170" s="381"/>
      <c r="BA170" s="381"/>
      <c r="BB170" s="381"/>
      <c r="BC170" s="381"/>
      <c r="BD170" s="381"/>
      <c r="BE170" s="381"/>
      <c r="BF170" s="381"/>
      <c r="BG170" s="380"/>
      <c r="BH170" s="380"/>
      <c r="BI170" s="82"/>
      <c r="BJ170" s="356"/>
      <c r="BK170" s="82"/>
    </row>
    <row r="171" spans="1:63" outlineLevel="1" x14ac:dyDescent="0.25">
      <c r="A171" s="317">
        <f t="shared" si="38"/>
        <v>35</v>
      </c>
      <c r="B171" s="349" t="s">
        <v>145</v>
      </c>
      <c r="C171" s="350" t="s">
        <v>159</v>
      </c>
      <c r="D171" s="1262">
        <f>D182</f>
        <v>6109996433.9809561</v>
      </c>
      <c r="E171" s="356">
        <f>E182</f>
        <v>0</v>
      </c>
      <c r="F171" s="356">
        <f t="shared" ref="F171:BF171" si="46">F182</f>
        <v>0</v>
      </c>
      <c r="G171" s="356">
        <f t="shared" si="46"/>
        <v>0</v>
      </c>
      <c r="H171" s="356">
        <f t="shared" si="46"/>
        <v>0</v>
      </c>
      <c r="I171" s="356">
        <f t="shared" si="46"/>
        <v>0</v>
      </c>
      <c r="J171" s="356">
        <f t="shared" si="46"/>
        <v>0</v>
      </c>
      <c r="K171" s="356">
        <f t="shared" si="46"/>
        <v>0</v>
      </c>
      <c r="L171" s="356">
        <f t="shared" si="46"/>
        <v>0</v>
      </c>
      <c r="M171" s="356">
        <f t="shared" si="46"/>
        <v>0</v>
      </c>
      <c r="N171" s="356">
        <f t="shared" si="46"/>
        <v>0</v>
      </c>
      <c r="O171" s="356">
        <f t="shared" si="46"/>
        <v>0</v>
      </c>
      <c r="P171" s="356">
        <f t="shared" si="46"/>
        <v>0</v>
      </c>
      <c r="Q171" s="356">
        <f t="shared" si="46"/>
        <v>0</v>
      </c>
      <c r="R171" s="356">
        <f t="shared" si="46"/>
        <v>0</v>
      </c>
      <c r="S171" s="356">
        <f t="shared" si="46"/>
        <v>0</v>
      </c>
      <c r="T171" s="356">
        <f t="shared" si="46"/>
        <v>0</v>
      </c>
      <c r="U171" s="356">
        <f t="shared" si="46"/>
        <v>0</v>
      </c>
      <c r="V171" s="356">
        <f t="shared" si="46"/>
        <v>0</v>
      </c>
      <c r="W171" s="356">
        <f t="shared" si="46"/>
        <v>0</v>
      </c>
      <c r="X171" s="356">
        <f t="shared" si="46"/>
        <v>0</v>
      </c>
      <c r="Y171" s="356">
        <f t="shared" si="46"/>
        <v>0</v>
      </c>
      <c r="Z171" s="356">
        <f t="shared" si="46"/>
        <v>0</v>
      </c>
      <c r="AA171" s="356">
        <f t="shared" si="46"/>
        <v>0</v>
      </c>
      <c r="AB171" s="356">
        <f t="shared" si="46"/>
        <v>0</v>
      </c>
      <c r="AC171" s="356">
        <f t="shared" si="46"/>
        <v>0</v>
      </c>
      <c r="AD171" s="356">
        <f t="shared" si="46"/>
        <v>0</v>
      </c>
      <c r="AE171" s="356">
        <f t="shared" si="46"/>
        <v>-382029793.38882923</v>
      </c>
      <c r="AF171" s="356">
        <f t="shared" si="46"/>
        <v>1727315.5599999998</v>
      </c>
      <c r="AG171" s="356">
        <f t="shared" si="46"/>
        <v>372227780.35451001</v>
      </c>
      <c r="AH171" s="356">
        <f t="shared" si="46"/>
        <v>117993802.39000002</v>
      </c>
      <c r="AI171" s="356">
        <f t="shared" si="46"/>
        <v>194852408.71000016</v>
      </c>
      <c r="AJ171" s="356">
        <f t="shared" si="46"/>
        <v>167403102.08484992</v>
      </c>
      <c r="AK171" s="356"/>
      <c r="AL171" s="356">
        <f t="shared" si="46"/>
        <v>0</v>
      </c>
      <c r="AM171" s="356"/>
      <c r="AN171" s="356">
        <f t="shared" si="46"/>
        <v>8960350.0079999194</v>
      </c>
      <c r="AO171" s="356"/>
      <c r="AP171" s="356"/>
      <c r="AQ171" s="356"/>
      <c r="AR171" s="356"/>
      <c r="AS171" s="356"/>
      <c r="AT171" s="356"/>
      <c r="AU171" s="356"/>
      <c r="AV171" s="356"/>
      <c r="AW171" s="356">
        <f t="shared" si="46"/>
        <v>85798.285000001895</v>
      </c>
      <c r="AX171" s="356">
        <f t="shared" si="46"/>
        <v>0</v>
      </c>
      <c r="AY171" s="356">
        <f t="shared" si="46"/>
        <v>-29912774.436111048</v>
      </c>
      <c r="AZ171" s="356">
        <f t="shared" si="46"/>
        <v>0</v>
      </c>
      <c r="BA171" s="356">
        <f t="shared" si="46"/>
        <v>0</v>
      </c>
      <c r="BB171" s="356">
        <f t="shared" si="46"/>
        <v>0</v>
      </c>
      <c r="BC171" s="356">
        <f t="shared" si="46"/>
        <v>-5761493.1600000188</v>
      </c>
      <c r="BD171" s="356">
        <f t="shared" si="46"/>
        <v>0</v>
      </c>
      <c r="BE171" s="356">
        <f>BE182</f>
        <v>0</v>
      </c>
      <c r="BF171" s="356">
        <f t="shared" si="46"/>
        <v>0</v>
      </c>
      <c r="BG171" s="366">
        <f>BG182</f>
        <v>445546496.40741968</v>
      </c>
      <c r="BH171" s="366">
        <f>BH182</f>
        <v>6555542930.3883753</v>
      </c>
      <c r="BI171" s="82"/>
      <c r="BJ171" s="356"/>
      <c r="BK171" s="82"/>
    </row>
    <row r="172" spans="1:63" outlineLevel="1" x14ac:dyDescent="0.25">
      <c r="A172" s="317">
        <f t="shared" si="38"/>
        <v>36</v>
      </c>
      <c r="B172" s="365"/>
      <c r="C172" s="350" t="s">
        <v>159</v>
      </c>
      <c r="D172" s="1258"/>
      <c r="BG172" s="351"/>
      <c r="BH172" s="351"/>
      <c r="BI172" s="82"/>
      <c r="BJ172" s="356"/>
      <c r="BK172" s="82"/>
    </row>
    <row r="173" spans="1:63" outlineLevel="1" x14ac:dyDescent="0.25">
      <c r="A173" s="317">
        <f t="shared" si="38"/>
        <v>37</v>
      </c>
      <c r="B173" s="349" t="s">
        <v>18</v>
      </c>
      <c r="C173" s="350" t="s">
        <v>159</v>
      </c>
      <c r="D173" s="1283">
        <f>+D169/D171</f>
        <v>1.8437996050355936E-2</v>
      </c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  <c r="AS173" s="358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7"/>
      <c r="BH173" s="403">
        <f>+BH169/BH171</f>
        <v>1.4634748742699098E-2</v>
      </c>
      <c r="BI173" s="82"/>
      <c r="BJ173" s="356"/>
      <c r="BK173" s="82"/>
    </row>
    <row r="174" spans="1:63" outlineLevel="1" x14ac:dyDescent="0.25">
      <c r="A174" s="317">
        <f t="shared" si="38"/>
        <v>38</v>
      </c>
      <c r="B174" s="365"/>
      <c r="C174" s="350" t="s">
        <v>159</v>
      </c>
      <c r="D174" s="1260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L174" s="358"/>
      <c r="AM174" s="358"/>
      <c r="AN174" s="358"/>
      <c r="AO174" s="358"/>
      <c r="AP174" s="358"/>
      <c r="AQ174" s="358"/>
      <c r="AR174" s="358"/>
      <c r="AS174" s="358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7"/>
      <c r="BH174" s="357"/>
      <c r="BI174" s="82"/>
      <c r="BJ174" s="356"/>
      <c r="BK174" s="82"/>
    </row>
    <row r="175" spans="1:63" outlineLevel="1" x14ac:dyDescent="0.25">
      <c r="A175" s="317">
        <f t="shared" si="38"/>
        <v>39</v>
      </c>
      <c r="B175" s="365" t="s">
        <v>146</v>
      </c>
      <c r="C175" s="350" t="s">
        <v>159</v>
      </c>
      <c r="D175" s="1260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  <c r="AN175" s="358"/>
      <c r="AO175" s="358"/>
      <c r="AP175" s="358"/>
      <c r="AQ175" s="358"/>
      <c r="AR175" s="358"/>
      <c r="AS175" s="358"/>
      <c r="AT175" s="358"/>
      <c r="AU175" s="358"/>
      <c r="AV175" s="358"/>
      <c r="AW175" s="358"/>
      <c r="AX175" s="358"/>
      <c r="AY175" s="358"/>
      <c r="AZ175" s="358"/>
      <c r="BA175" s="358"/>
      <c r="BB175" s="358"/>
      <c r="BC175" s="358"/>
      <c r="BD175" s="358"/>
      <c r="BE175" s="358"/>
      <c r="BF175" s="358"/>
      <c r="BG175" s="357"/>
      <c r="BH175" s="357"/>
      <c r="BI175" s="82"/>
      <c r="BJ175" s="356"/>
      <c r="BK175" s="82"/>
    </row>
    <row r="176" spans="1:63" outlineLevel="1" x14ac:dyDescent="0.25">
      <c r="A176" s="317">
        <f t="shared" si="38"/>
        <v>40</v>
      </c>
      <c r="B176" s="384" t="s">
        <v>112</v>
      </c>
      <c r="C176" s="350" t="s">
        <v>159</v>
      </c>
      <c r="D176" s="1262">
        <f t="shared" ref="D176:D181" si="47">+BH115</f>
        <v>11940345543.16799</v>
      </c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  <c r="Q176" s="356"/>
      <c r="R176" s="356"/>
      <c r="S176" s="356"/>
      <c r="T176" s="356"/>
      <c r="U176" s="356"/>
      <c r="V176" s="356"/>
      <c r="W176" s="356"/>
      <c r="X176" s="356"/>
      <c r="Y176" s="356"/>
      <c r="Z176" s="356"/>
      <c r="AA176" s="356"/>
      <c r="AB176" s="356">
        <f>'SEF-32 pg 1-34, 46'!PE21</f>
        <v>0</v>
      </c>
      <c r="AC176" s="356"/>
      <c r="AD176" s="356">
        <f>'SEF-32 pg 1-34, 46'!QS19</f>
        <v>-97245889.008528307</v>
      </c>
      <c r="AE176" s="356"/>
      <c r="AF176" s="356"/>
      <c r="AG176" s="356">
        <f>'SEF-32 pg 1-34, 46'!$SU$28</f>
        <v>400416901.48585498</v>
      </c>
      <c r="AH176" s="356">
        <f>'SEF-32 pg 1-34, 46'!$SU$46</f>
        <v>112269525.96000001</v>
      </c>
      <c r="AI176" s="356">
        <f>'SEF-32 pg 1-34, 46'!$SU$64</f>
        <v>207087159.31000015</v>
      </c>
      <c r="AJ176" s="356">
        <f>+'SEF-32 pg 1-34, 46'!$SU$82</f>
        <v>189917492.65936494</v>
      </c>
      <c r="AK176" s="356"/>
      <c r="AL176" s="356"/>
      <c r="AM176" s="356"/>
      <c r="AN176" s="356">
        <f>'SEF-32 pg 1-34, 46'!VG19</f>
        <v>11342215.199999901</v>
      </c>
      <c r="AO176" s="356"/>
      <c r="AP176" s="356"/>
      <c r="AQ176" s="356"/>
      <c r="AR176" s="356"/>
      <c r="AS176" s="356"/>
      <c r="AT176" s="356"/>
      <c r="AU176" s="356"/>
      <c r="AV176" s="356"/>
      <c r="AW176" s="356"/>
      <c r="AX176" s="356"/>
      <c r="AY176" s="356"/>
      <c r="AZ176" s="356">
        <f>+'SEF-32 pg 35-45'!CU18</f>
        <v>0</v>
      </c>
      <c r="BA176" s="356"/>
      <c r="BB176" s="356">
        <f>'SEF-32 pg 35-45'!EE48</f>
        <v>0</v>
      </c>
      <c r="BC176" s="356">
        <f>'SEF-32 pg 35-45'!EW23</f>
        <v>0</v>
      </c>
      <c r="BD176" s="356"/>
      <c r="BE176" s="356"/>
      <c r="BF176" s="356"/>
      <c r="BG176" s="366">
        <f t="shared" ref="BG176:BG181" si="48">SUM(E176:BF176)</f>
        <v>823787405.60669172</v>
      </c>
      <c r="BH176" s="366">
        <f t="shared" ref="BH176:BH181" si="49">+BG176+BH115</f>
        <v>12764132948.774681</v>
      </c>
      <c r="BI176" s="82"/>
      <c r="BJ176" s="356"/>
      <c r="BK176" s="82"/>
    </row>
    <row r="177" spans="1:65" outlineLevel="1" x14ac:dyDescent="0.25">
      <c r="A177" s="317">
        <f t="shared" si="38"/>
        <v>41</v>
      </c>
      <c r="B177" s="384" t="s">
        <v>113</v>
      </c>
      <c r="C177" s="350" t="s">
        <v>159</v>
      </c>
      <c r="D177" s="1260">
        <f t="shared" si="47"/>
        <v>-5381353909.8015194</v>
      </c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5"/>
      <c r="P177" s="385"/>
      <c r="Q177" s="385"/>
      <c r="R177" s="385"/>
      <c r="S177" s="385"/>
      <c r="T177" s="385"/>
      <c r="U177" s="385"/>
      <c r="V177" s="385"/>
      <c r="W177" s="385"/>
      <c r="X177" s="385"/>
      <c r="Y177" s="385"/>
      <c r="Z177" s="385"/>
      <c r="AA177" s="385"/>
      <c r="AB177" s="385">
        <f>'SEF-32 pg 1-34, 46'!PE27</f>
        <v>0</v>
      </c>
      <c r="AC177" s="385"/>
      <c r="AD177" s="385">
        <f>'SEF-32 pg 1-34, 46'!QS20</f>
        <v>97245889.008528307</v>
      </c>
      <c r="AE177" s="385">
        <f>'SEF-32 pg 1-34, 46'!$RK$34</f>
        <v>-411293836.18553448</v>
      </c>
      <c r="AF177" s="385">
        <f>'SEF-32 pg 1-34, 46'!$SC$33</f>
        <v>1727315.5599999998</v>
      </c>
      <c r="AG177" s="385">
        <f>'SEF-32 pg 1-34, 46'!$SU$29</f>
        <v>-23093220.441034999</v>
      </c>
      <c r="AH177" s="385">
        <f>'SEF-32 pg 1-34, 46'!$SU$47</f>
        <v>-3233908.580000001</v>
      </c>
      <c r="AI177" s="385">
        <f>'SEF-32 pg 1-34, 46'!$SU$65</f>
        <v>-6723302.9100000001</v>
      </c>
      <c r="AJ177" s="385">
        <f>+'SEF-32 pg 1-34, 46'!$SU$83</f>
        <v>-18694451.007465005</v>
      </c>
      <c r="AK177" s="385"/>
      <c r="AL177" s="385"/>
      <c r="AM177" s="385"/>
      <c r="AN177" s="385">
        <f>'SEF-32 pg 1-34, 46'!VG20</f>
        <v>0</v>
      </c>
      <c r="AO177" s="385"/>
      <c r="AP177" s="385"/>
      <c r="AQ177" s="385"/>
      <c r="AR177" s="385"/>
      <c r="AS177" s="385"/>
      <c r="AT177" s="385"/>
      <c r="AU177" s="385"/>
      <c r="AV177" s="385"/>
      <c r="AW177" s="385">
        <f>'SEF-32 pg 35-45'!AS19</f>
        <v>219566.00000000186</v>
      </c>
      <c r="AX177" s="385"/>
      <c r="AY177" s="385"/>
      <c r="AZ177" s="385">
        <f>+'SEF-32 pg 35-45'!CU19</f>
        <v>0</v>
      </c>
      <c r="BA177" s="385"/>
      <c r="BB177" s="385">
        <f>'SEF-32 pg 35-45'!EE54</f>
        <v>0</v>
      </c>
      <c r="BC177" s="385">
        <f>'SEF-32 pg 35-45'!EW29</f>
        <v>-5761493.1600000188</v>
      </c>
      <c r="BD177" s="385"/>
      <c r="BE177" s="385"/>
      <c r="BF177" s="385"/>
      <c r="BG177" s="357">
        <f t="shared" si="48"/>
        <v>-369607441.7155062</v>
      </c>
      <c r="BH177" s="357">
        <f t="shared" si="49"/>
        <v>-5750961351.5170259</v>
      </c>
      <c r="BI177" s="82"/>
      <c r="BJ177" s="356"/>
      <c r="BK177" s="82"/>
    </row>
    <row r="178" spans="1:65" outlineLevel="1" x14ac:dyDescent="0.25">
      <c r="A178" s="317">
        <f t="shared" si="38"/>
        <v>42</v>
      </c>
      <c r="B178" s="365" t="s">
        <v>147</v>
      </c>
      <c r="C178" s="350" t="s">
        <v>159</v>
      </c>
      <c r="D178" s="1260">
        <f t="shared" si="47"/>
        <v>670411441.72699261</v>
      </c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5"/>
      <c r="P178" s="385"/>
      <c r="Q178" s="385"/>
      <c r="R178" s="385"/>
      <c r="S178" s="385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  <c r="AE178" s="385"/>
      <c r="AF178" s="385"/>
      <c r="AG178" s="385"/>
      <c r="AH178" s="385"/>
      <c r="AI178" s="385"/>
      <c r="AJ178" s="385"/>
      <c r="AK178" s="385"/>
      <c r="AL178" s="385">
        <f>'SEF-32 pg 1-34, 46'!UC17</f>
        <v>0</v>
      </c>
      <c r="AM178" s="385"/>
      <c r="AN178" s="385"/>
      <c r="AO178" s="385"/>
      <c r="AP178" s="385"/>
      <c r="AQ178" s="385"/>
      <c r="AR178" s="385"/>
      <c r="AS178" s="385"/>
      <c r="AT178" s="385"/>
      <c r="AU178" s="385"/>
      <c r="AV178" s="385"/>
      <c r="AW178" s="385"/>
      <c r="AX178" s="385"/>
      <c r="AY178" s="385">
        <f>'SEF-32 pg 35-45'!CC36</f>
        <v>-34141796.805555552</v>
      </c>
      <c r="AZ178" s="385"/>
      <c r="BA178" s="385"/>
      <c r="BB178" s="385">
        <f>'SEF-32 pg 35-45'!EE55</f>
        <v>0</v>
      </c>
      <c r="BC178" s="385"/>
      <c r="BD178" s="385">
        <f>'SEF-32 pg 35-45'!FO18+'SEF-32 pg 35-45'!FO19</f>
        <v>0</v>
      </c>
      <c r="BE178" s="385">
        <f>'SEF-32 pg 35-45'!GG22</f>
        <v>0</v>
      </c>
      <c r="BF178" s="385"/>
      <c r="BG178" s="357">
        <f t="shared" si="48"/>
        <v>-34141796.805555552</v>
      </c>
      <c r="BH178" s="357">
        <f t="shared" si="49"/>
        <v>636269644.92143703</v>
      </c>
      <c r="BI178" s="82"/>
      <c r="BJ178" s="356"/>
      <c r="BK178" s="82"/>
    </row>
    <row r="179" spans="1:65" outlineLevel="1" x14ac:dyDescent="0.25">
      <c r="A179" s="317">
        <f t="shared" si="38"/>
        <v>43</v>
      </c>
      <c r="B179" s="365" t="s">
        <v>148</v>
      </c>
      <c r="C179" s="350" t="s">
        <v>159</v>
      </c>
      <c r="D179" s="1260">
        <f t="shared" si="47"/>
        <v>-1199931917.1698647</v>
      </c>
      <c r="E179" s="385"/>
      <c r="F179" s="385"/>
      <c r="G179" s="385"/>
      <c r="H179" s="385">
        <f>+'SEF-32 pg 1-34, 46'!BI29</f>
        <v>0</v>
      </c>
      <c r="I179" s="385"/>
      <c r="J179" s="385"/>
      <c r="K179" s="385"/>
      <c r="L179" s="385"/>
      <c r="M179" s="385"/>
      <c r="N179" s="385"/>
      <c r="O179" s="385"/>
      <c r="P179" s="385"/>
      <c r="Q179" s="385"/>
      <c r="R179" s="385"/>
      <c r="S179" s="385"/>
      <c r="T179" s="385"/>
      <c r="U179" s="385"/>
      <c r="V179" s="385"/>
      <c r="W179" s="385"/>
      <c r="X179" s="385"/>
      <c r="Y179" s="385"/>
      <c r="Z179" s="385"/>
      <c r="AA179" s="385"/>
      <c r="AB179" s="385">
        <f>'SEF-32 pg 1-34, 46'!PE33</f>
        <v>0</v>
      </c>
      <c r="AC179" s="385"/>
      <c r="AD179" s="385"/>
      <c r="AE179" s="385">
        <f>'SEF-32 pg 1-34, 46'!$RK$35</f>
        <v>29264042.796705246</v>
      </c>
      <c r="AF179" s="385">
        <f>'SEF-32 pg 1-34, 46'!$SC$34</f>
        <v>0</v>
      </c>
      <c r="AG179" s="385">
        <f>'SEF-32 pg 1-34, 46'!$SU$30</f>
        <v>-5095900.6903099995</v>
      </c>
      <c r="AH179" s="385">
        <f>'SEF-32 pg 1-34, 46'!$SU$48</f>
        <v>8958185.0099999998</v>
      </c>
      <c r="AI179" s="385">
        <f>'SEF-32 pg 1-34, 46'!$SU$66</f>
        <v>-5511447.6900000013</v>
      </c>
      <c r="AJ179" s="385">
        <f>+'SEF-32 pg 1-34, 46'!$SU$84</f>
        <v>-3819939.5670499993</v>
      </c>
      <c r="AK179" s="385"/>
      <c r="AL179" s="385">
        <f>'SEF-32 pg 1-34, 46'!UC18</f>
        <v>0</v>
      </c>
      <c r="AM179" s="385"/>
      <c r="AN179" s="385">
        <f>'SEF-32 pg 1-34, 46'!VG21</f>
        <v>-2381865.1919999802</v>
      </c>
      <c r="AO179" s="385"/>
      <c r="AP179" s="385"/>
      <c r="AQ179" s="385"/>
      <c r="AR179" s="385"/>
      <c r="AS179" s="385"/>
      <c r="AT179" s="385"/>
      <c r="AU179" s="385"/>
      <c r="AV179" s="385"/>
      <c r="AW179" s="385">
        <f>'SEF-32 pg 35-45'!AS20</f>
        <v>-133767.71499999997</v>
      </c>
      <c r="AX179" s="385"/>
      <c r="AY179" s="385">
        <f>'SEF-32 pg 35-45'!CC37</f>
        <v>4229022.3694445044</v>
      </c>
      <c r="AZ179" s="385">
        <f>+'SEF-32 pg 35-45'!CU20</f>
        <v>0</v>
      </c>
      <c r="BA179" s="385"/>
      <c r="BB179" s="385">
        <f>'SEF-32 pg 35-45'!EE56</f>
        <v>0</v>
      </c>
      <c r="BC179" s="385">
        <f>'SEF-32 pg 35-45'!EW21</f>
        <v>0</v>
      </c>
      <c r="BD179" s="385">
        <f>'SEF-32 pg 35-45'!FO21</f>
        <v>0</v>
      </c>
      <c r="BE179" s="385">
        <f>'SEF-32 pg 35-45'!GG30</f>
        <v>0</v>
      </c>
      <c r="BF179" s="385"/>
      <c r="BG179" s="357">
        <f t="shared" si="48"/>
        <v>25508329.321789768</v>
      </c>
      <c r="BH179" s="357">
        <f t="shared" si="49"/>
        <v>-1174423587.8480749</v>
      </c>
      <c r="BI179" s="82"/>
      <c r="BJ179" s="356"/>
      <c r="BK179" s="82"/>
    </row>
    <row r="180" spans="1:65" outlineLevel="1" x14ac:dyDescent="0.25">
      <c r="A180" s="317">
        <f t="shared" si="38"/>
        <v>44</v>
      </c>
      <c r="B180" s="365" t="s">
        <v>149</v>
      </c>
      <c r="C180" s="350" t="s">
        <v>159</v>
      </c>
      <c r="D180" s="1268">
        <f t="shared" si="47"/>
        <v>222518805.82795244</v>
      </c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5"/>
      <c r="P180" s="385"/>
      <c r="Q180" s="385"/>
      <c r="R180" s="385"/>
      <c r="S180" s="385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  <c r="AE180" s="385"/>
      <c r="AF180" s="385"/>
      <c r="AG180" s="385"/>
      <c r="AH180" s="385"/>
      <c r="AI180" s="385"/>
      <c r="AJ180" s="385"/>
      <c r="AK180" s="385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5"/>
      <c r="AV180" s="385"/>
      <c r="AW180" s="385"/>
      <c r="AX180" s="385"/>
      <c r="AY180" s="385"/>
      <c r="AZ180" s="385"/>
      <c r="BA180" s="385"/>
      <c r="BB180" s="385"/>
      <c r="BC180" s="385"/>
      <c r="BD180" s="385"/>
      <c r="BE180" s="385"/>
      <c r="BF180" s="385"/>
      <c r="BG180" s="357">
        <f t="shared" si="48"/>
        <v>0</v>
      </c>
      <c r="BH180" s="357">
        <f t="shared" si="49"/>
        <v>222518805.82795244</v>
      </c>
      <c r="BI180" s="82"/>
      <c r="BJ180" s="356"/>
      <c r="BK180" s="82"/>
      <c r="BM180" s="317">
        <f>175+61</f>
        <v>236</v>
      </c>
    </row>
    <row r="181" spans="1:65" outlineLevel="1" x14ac:dyDescent="0.25">
      <c r="A181" s="317">
        <f t="shared" si="38"/>
        <v>45</v>
      </c>
      <c r="B181" s="365" t="s">
        <v>150</v>
      </c>
      <c r="C181" s="350" t="s">
        <v>159</v>
      </c>
      <c r="D181" s="1260">
        <f t="shared" si="47"/>
        <v>-141993529.77059498</v>
      </c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5"/>
      <c r="P181" s="385"/>
      <c r="Q181" s="385"/>
      <c r="R181" s="385"/>
      <c r="S181" s="385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  <c r="AE181" s="385"/>
      <c r="AF181" s="385"/>
      <c r="AG181" s="385"/>
      <c r="AH181" s="385"/>
      <c r="AI181" s="385"/>
      <c r="AJ181" s="385"/>
      <c r="AK181" s="385"/>
      <c r="AL181" s="385"/>
      <c r="AM181" s="385"/>
      <c r="AN181" s="385"/>
      <c r="AO181" s="385"/>
      <c r="AP181" s="385"/>
      <c r="AQ181" s="385"/>
      <c r="AR181" s="385"/>
      <c r="AS181" s="385"/>
      <c r="AT181" s="385"/>
      <c r="AU181" s="385"/>
      <c r="AV181" s="385"/>
      <c r="AW181" s="385"/>
      <c r="AX181" s="385"/>
      <c r="AY181" s="385"/>
      <c r="AZ181" s="385"/>
      <c r="BA181" s="385"/>
      <c r="BB181" s="385"/>
      <c r="BC181" s="385"/>
      <c r="BD181" s="385"/>
      <c r="BE181" s="385"/>
      <c r="BF181" s="385"/>
      <c r="BG181" s="357">
        <f t="shared" si="48"/>
        <v>0</v>
      </c>
      <c r="BH181" s="357">
        <f t="shared" si="49"/>
        <v>-141993529.77059498</v>
      </c>
      <c r="BI181" s="82"/>
      <c r="BJ181" s="356"/>
      <c r="BK181" s="82"/>
    </row>
    <row r="182" spans="1:65" ht="15.75" outlineLevel="1" thickBot="1" x14ac:dyDescent="0.3">
      <c r="A182" s="317">
        <f t="shared" si="38"/>
        <v>46</v>
      </c>
      <c r="B182" s="365" t="s">
        <v>118</v>
      </c>
      <c r="C182" s="350" t="s">
        <v>159</v>
      </c>
      <c r="D182" s="1269">
        <f>SUM(D176:D181)</f>
        <v>6109996433.9809561</v>
      </c>
      <c r="E182" s="389">
        <f>SUM(E176:E181)</f>
        <v>0</v>
      </c>
      <c r="F182" s="389">
        <f t="shared" ref="F182:BF182" si="50">SUM(F176:F181)</f>
        <v>0</v>
      </c>
      <c r="G182" s="389">
        <f t="shared" si="50"/>
        <v>0</v>
      </c>
      <c r="H182" s="389">
        <f t="shared" si="50"/>
        <v>0</v>
      </c>
      <c r="I182" s="389">
        <f t="shared" si="50"/>
        <v>0</v>
      </c>
      <c r="J182" s="389">
        <f t="shared" si="50"/>
        <v>0</v>
      </c>
      <c r="K182" s="389">
        <f t="shared" si="50"/>
        <v>0</v>
      </c>
      <c r="L182" s="389">
        <f t="shared" si="50"/>
        <v>0</v>
      </c>
      <c r="M182" s="389">
        <f t="shared" si="50"/>
        <v>0</v>
      </c>
      <c r="N182" s="389">
        <f t="shared" si="50"/>
        <v>0</v>
      </c>
      <c r="O182" s="389">
        <f t="shared" si="50"/>
        <v>0</v>
      </c>
      <c r="P182" s="389">
        <f t="shared" si="50"/>
        <v>0</v>
      </c>
      <c r="Q182" s="389">
        <f t="shared" si="50"/>
        <v>0</v>
      </c>
      <c r="R182" s="389">
        <f t="shared" si="50"/>
        <v>0</v>
      </c>
      <c r="S182" s="389">
        <f t="shared" si="50"/>
        <v>0</v>
      </c>
      <c r="T182" s="389">
        <f t="shared" si="50"/>
        <v>0</v>
      </c>
      <c r="U182" s="389">
        <f t="shared" si="50"/>
        <v>0</v>
      </c>
      <c r="V182" s="389">
        <f t="shared" si="50"/>
        <v>0</v>
      </c>
      <c r="W182" s="389">
        <f t="shared" si="50"/>
        <v>0</v>
      </c>
      <c r="X182" s="389">
        <f t="shared" si="50"/>
        <v>0</v>
      </c>
      <c r="Y182" s="389">
        <f t="shared" si="50"/>
        <v>0</v>
      </c>
      <c r="Z182" s="389">
        <f t="shared" si="50"/>
        <v>0</v>
      </c>
      <c r="AA182" s="389">
        <f t="shared" si="50"/>
        <v>0</v>
      </c>
      <c r="AB182" s="389">
        <f t="shared" si="50"/>
        <v>0</v>
      </c>
      <c r="AC182" s="389">
        <f t="shared" si="50"/>
        <v>0</v>
      </c>
      <c r="AD182" s="389">
        <f t="shared" si="50"/>
        <v>0</v>
      </c>
      <c r="AE182" s="389">
        <f t="shared" si="50"/>
        <v>-382029793.38882923</v>
      </c>
      <c r="AF182" s="389">
        <f t="shared" si="50"/>
        <v>1727315.5599999998</v>
      </c>
      <c r="AG182" s="389">
        <f t="shared" si="50"/>
        <v>372227780.35451001</v>
      </c>
      <c r="AH182" s="389">
        <f t="shared" si="50"/>
        <v>117993802.39000002</v>
      </c>
      <c r="AI182" s="389">
        <f t="shared" si="50"/>
        <v>194852408.71000016</v>
      </c>
      <c r="AJ182" s="389">
        <f>SUM(AJ176:AJ181)</f>
        <v>167403102.08484992</v>
      </c>
      <c r="AK182" s="389">
        <f t="shared" si="50"/>
        <v>0</v>
      </c>
      <c r="AL182" s="389">
        <f t="shared" si="50"/>
        <v>0</v>
      </c>
      <c r="AM182" s="389">
        <f t="shared" si="50"/>
        <v>0</v>
      </c>
      <c r="AN182" s="389">
        <f t="shared" si="50"/>
        <v>8960350.0079999194</v>
      </c>
      <c r="AO182" s="389">
        <f t="shared" si="50"/>
        <v>0</v>
      </c>
      <c r="AP182" s="389">
        <f t="shared" si="50"/>
        <v>0</v>
      </c>
      <c r="AQ182" s="389">
        <f t="shared" si="50"/>
        <v>0</v>
      </c>
      <c r="AR182" s="389">
        <f t="shared" si="50"/>
        <v>0</v>
      </c>
      <c r="AS182" s="389">
        <f t="shared" si="50"/>
        <v>0</v>
      </c>
      <c r="AT182" s="389">
        <f t="shared" si="50"/>
        <v>0</v>
      </c>
      <c r="AU182" s="389">
        <f t="shared" si="50"/>
        <v>0</v>
      </c>
      <c r="AV182" s="389">
        <f t="shared" si="50"/>
        <v>0</v>
      </c>
      <c r="AW182" s="389">
        <f>SUM(AW177:AW181)</f>
        <v>85798.285000001895</v>
      </c>
      <c r="AX182" s="389">
        <f t="shared" si="50"/>
        <v>0</v>
      </c>
      <c r="AY182" s="389">
        <f t="shared" si="50"/>
        <v>-29912774.436111048</v>
      </c>
      <c r="AZ182" s="389">
        <f t="shared" si="50"/>
        <v>0</v>
      </c>
      <c r="BA182" s="389">
        <f t="shared" si="50"/>
        <v>0</v>
      </c>
      <c r="BB182" s="389">
        <f t="shared" si="50"/>
        <v>0</v>
      </c>
      <c r="BC182" s="389">
        <f t="shared" si="50"/>
        <v>-5761493.1600000188</v>
      </c>
      <c r="BD182" s="389">
        <f t="shared" si="50"/>
        <v>0</v>
      </c>
      <c r="BE182" s="389">
        <f>SUM(BE176:BE181)</f>
        <v>0</v>
      </c>
      <c r="BF182" s="389">
        <f t="shared" si="50"/>
        <v>0</v>
      </c>
      <c r="BG182" s="388">
        <f>SUM(BG176:BG181)</f>
        <v>445546496.40741968</v>
      </c>
      <c r="BH182" s="388">
        <f>SUM(BH176:BH181)</f>
        <v>6555542930.3883753</v>
      </c>
      <c r="BI182" s="82"/>
      <c r="BJ182" s="356"/>
      <c r="BK182" s="82"/>
    </row>
    <row r="183" spans="1:65" ht="15.75" outlineLevel="1" thickTop="1" x14ac:dyDescent="0.25">
      <c r="A183" s="317">
        <f t="shared" si="38"/>
        <v>47</v>
      </c>
      <c r="C183" s="350" t="s">
        <v>159</v>
      </c>
      <c r="D183" s="1258"/>
      <c r="BG183" s="351"/>
      <c r="BH183" s="351"/>
      <c r="BI183" s="82"/>
      <c r="BJ183" s="356"/>
      <c r="BK183" s="82"/>
    </row>
    <row r="184" spans="1:65" outlineLevel="1" x14ac:dyDescent="0.25">
      <c r="A184" s="317">
        <f t="shared" si="38"/>
        <v>48</v>
      </c>
      <c r="B184" s="365" t="s">
        <v>119</v>
      </c>
      <c r="C184" s="350" t="s">
        <v>159</v>
      </c>
      <c r="D184" s="1270">
        <f>+'SEF-29 pg 1-2'!$C$13</f>
        <v>7.6499999999999999E-2</v>
      </c>
      <c r="E184" s="80">
        <f>+'SEF-29 pg 1-2'!$C$13</f>
        <v>7.6499999999999999E-2</v>
      </c>
      <c r="F184" s="80">
        <f>+'SEF-29 pg 1-2'!$C$13</f>
        <v>7.6499999999999999E-2</v>
      </c>
      <c r="G184" s="80">
        <f>+'SEF-29 pg 1-2'!$C$13</f>
        <v>7.6499999999999999E-2</v>
      </c>
      <c r="H184" s="80">
        <f>+'SEF-29 pg 1-2'!$C$13</f>
        <v>7.6499999999999999E-2</v>
      </c>
      <c r="I184" s="80">
        <f>+'SEF-29 pg 1-2'!$C$13</f>
        <v>7.6499999999999999E-2</v>
      </c>
      <c r="J184" s="80">
        <f>+'SEF-29 pg 1-2'!$C$13</f>
        <v>7.6499999999999999E-2</v>
      </c>
      <c r="K184" s="80">
        <f>+'SEF-29 pg 1-2'!$C$13</f>
        <v>7.6499999999999999E-2</v>
      </c>
      <c r="L184" s="80">
        <f>+'SEF-29 pg 1-2'!$C$13</f>
        <v>7.6499999999999999E-2</v>
      </c>
      <c r="M184" s="80">
        <f>+'SEF-29 pg 1-2'!$C$13</f>
        <v>7.6499999999999999E-2</v>
      </c>
      <c r="N184" s="80">
        <f>+'SEF-29 pg 1-2'!$C$13</f>
        <v>7.6499999999999999E-2</v>
      </c>
      <c r="O184" s="80">
        <f>+'SEF-29 pg 1-2'!$C$13</f>
        <v>7.6499999999999999E-2</v>
      </c>
      <c r="P184" s="80">
        <f>+'SEF-29 pg 1-2'!$C$13</f>
        <v>7.6499999999999999E-2</v>
      </c>
      <c r="Q184" s="80">
        <f>+'SEF-29 pg 1-2'!$C$13</f>
        <v>7.6499999999999999E-2</v>
      </c>
      <c r="R184" s="80">
        <f>+'SEF-29 pg 1-2'!$C$13</f>
        <v>7.6499999999999999E-2</v>
      </c>
      <c r="S184" s="80">
        <f>+'SEF-29 pg 1-2'!$C$13</f>
        <v>7.6499999999999999E-2</v>
      </c>
      <c r="T184" s="80">
        <f>+'SEF-29 pg 1-2'!$C$13</f>
        <v>7.6499999999999999E-2</v>
      </c>
      <c r="U184" s="80">
        <f>+'SEF-29 pg 1-2'!$C$13</f>
        <v>7.6499999999999999E-2</v>
      </c>
      <c r="V184" s="80">
        <f>+'SEF-29 pg 1-2'!$C$13</f>
        <v>7.6499999999999999E-2</v>
      </c>
      <c r="W184" s="80">
        <f>+'SEF-29 pg 1-2'!$C$13</f>
        <v>7.6499999999999999E-2</v>
      </c>
      <c r="X184" s="80">
        <f>+'SEF-29 pg 1-2'!$C$13</f>
        <v>7.6499999999999999E-2</v>
      </c>
      <c r="Y184" s="80">
        <f>+'SEF-29 pg 1-2'!$C$13</f>
        <v>7.6499999999999999E-2</v>
      </c>
      <c r="Z184" s="80">
        <f>+'SEF-29 pg 1-2'!$C$13</f>
        <v>7.6499999999999999E-2</v>
      </c>
      <c r="AA184" s="80">
        <f>+'SEF-29 pg 1-2'!$C$13</f>
        <v>7.6499999999999999E-2</v>
      </c>
      <c r="AB184" s="80">
        <f>+'SEF-29 pg 1-2'!$C$13</f>
        <v>7.6499999999999999E-2</v>
      </c>
      <c r="AC184" s="80">
        <f>+'SEF-29 pg 1-2'!$C$13</f>
        <v>7.6499999999999999E-2</v>
      </c>
      <c r="AD184" s="80">
        <f>+'SEF-29 pg 1-2'!$C$13</f>
        <v>7.6499999999999999E-2</v>
      </c>
      <c r="AE184" s="80">
        <f>+'SEF-29 pg 1-2'!$C$13</f>
        <v>7.6499999999999999E-2</v>
      </c>
      <c r="AF184" s="80">
        <f>+'SEF-29 pg 1-2'!$C$13</f>
        <v>7.6499999999999999E-2</v>
      </c>
      <c r="AG184" s="80">
        <f>+'SEF-29 pg 1-2'!$C$13</f>
        <v>7.6499999999999999E-2</v>
      </c>
      <c r="AH184" s="80">
        <f>+'SEF-29 pg 1-2'!$C$13</f>
        <v>7.6499999999999999E-2</v>
      </c>
      <c r="AI184" s="80">
        <f>+'SEF-29 pg 1-2'!$C$13</f>
        <v>7.6499999999999999E-2</v>
      </c>
      <c r="AJ184" s="80">
        <f>+'SEF-29 pg 1-2'!$C$13</f>
        <v>7.6499999999999999E-2</v>
      </c>
      <c r="AK184" s="80">
        <f>+'SEF-29 pg 1-2'!$C$13</f>
        <v>7.6499999999999999E-2</v>
      </c>
      <c r="AL184" s="80">
        <f>+'SEF-29 pg 1-2'!$C$13</f>
        <v>7.6499999999999999E-2</v>
      </c>
      <c r="AM184" s="80">
        <f>+'SEF-29 pg 1-2'!$C$13</f>
        <v>7.6499999999999999E-2</v>
      </c>
      <c r="AN184" s="80">
        <f>+'SEF-29 pg 1-2'!$C$13</f>
        <v>7.6499999999999999E-2</v>
      </c>
      <c r="AO184" s="80">
        <f>+'SEF-29 pg 1-2'!$C$13</f>
        <v>7.6499999999999999E-2</v>
      </c>
      <c r="AP184" s="80">
        <f>+'SEF-29 pg 1-2'!$C$13</f>
        <v>7.6499999999999999E-2</v>
      </c>
      <c r="AQ184" s="80">
        <f>+'SEF-29 pg 1-2'!$C$13</f>
        <v>7.6499999999999999E-2</v>
      </c>
      <c r="AR184" s="80">
        <f>+'SEF-29 pg 1-2'!$C$13</f>
        <v>7.6499999999999999E-2</v>
      </c>
      <c r="AS184" s="80">
        <f>+'SEF-29 pg 1-2'!$C$13</f>
        <v>7.6499999999999999E-2</v>
      </c>
      <c r="AT184" s="80">
        <f>+'SEF-29 pg 1-2'!$C$13</f>
        <v>7.6499999999999999E-2</v>
      </c>
      <c r="AU184" s="80">
        <f>+'SEF-29 pg 1-2'!$C$13</f>
        <v>7.6499999999999999E-2</v>
      </c>
      <c r="AV184" s="80">
        <f>+'SEF-29 pg 1-2'!$C$13</f>
        <v>7.6499999999999999E-2</v>
      </c>
      <c r="AW184" s="80">
        <f>+'SEF-29 pg 1-2'!$C$13</f>
        <v>7.6499999999999999E-2</v>
      </c>
      <c r="AX184" s="80">
        <f>+'SEF-29 pg 1-2'!$C$13</f>
        <v>7.6499999999999999E-2</v>
      </c>
      <c r="AY184" s="80">
        <f>+'SEF-29 pg 1-2'!$C$13</f>
        <v>7.6499999999999999E-2</v>
      </c>
      <c r="AZ184" s="80">
        <f>+'SEF-29 pg 1-2'!$C$13</f>
        <v>7.6499999999999999E-2</v>
      </c>
      <c r="BA184" s="80">
        <f>+'SEF-29 pg 1-2'!$C$13</f>
        <v>7.6499999999999999E-2</v>
      </c>
      <c r="BB184" s="80">
        <f>+'SEF-29 pg 1-2'!$C$13</f>
        <v>7.6499999999999999E-2</v>
      </c>
      <c r="BC184" s="80">
        <f>+'SEF-29 pg 1-2'!$C$13</f>
        <v>7.6499999999999999E-2</v>
      </c>
      <c r="BD184" s="80">
        <f>+'SEF-29 pg 1-2'!$C$13</f>
        <v>7.6499999999999999E-2</v>
      </c>
      <c r="BE184" s="80">
        <f>+'SEF-29 pg 1-2'!$C$13</f>
        <v>7.6499999999999999E-2</v>
      </c>
      <c r="BF184" s="80">
        <f>+'SEF-29 pg 1-2'!$C$13</f>
        <v>7.6499999999999999E-2</v>
      </c>
      <c r="BG184" s="81">
        <f>+'SEF-29 pg 1-2'!$C$13</f>
        <v>7.6499999999999999E-2</v>
      </c>
      <c r="BH184" s="81">
        <f>+'SEF-29 pg 1-2'!$C$13</f>
        <v>7.6499999999999999E-2</v>
      </c>
      <c r="BI184" s="82"/>
      <c r="BJ184" s="356"/>
      <c r="BK184" s="82"/>
    </row>
    <row r="185" spans="1:65" outlineLevel="1" x14ac:dyDescent="0.25">
      <c r="A185" s="317">
        <f t="shared" si="38"/>
        <v>49</v>
      </c>
      <c r="B185" s="365" t="s">
        <v>3</v>
      </c>
      <c r="C185" s="350" t="s">
        <v>159</v>
      </c>
      <c r="D185" s="1271">
        <f>+'SEF-31'!$E$20</f>
        <v>0.75052300000000005</v>
      </c>
      <c r="E185" s="391">
        <f>+'SEF-31'!$E$20</f>
        <v>0.75052300000000005</v>
      </c>
      <c r="F185" s="391">
        <f>+'SEF-31'!$E$20</f>
        <v>0.75052300000000005</v>
      </c>
      <c r="G185" s="391">
        <f>+'SEF-31'!$E$20</f>
        <v>0.75052300000000005</v>
      </c>
      <c r="H185" s="391">
        <f>+'SEF-31'!$E$20</f>
        <v>0.75052300000000005</v>
      </c>
      <c r="I185" s="391">
        <f>+'SEF-31'!$E$20</f>
        <v>0.75052300000000005</v>
      </c>
      <c r="J185" s="391">
        <f>+'SEF-31'!$E$20</f>
        <v>0.75052300000000005</v>
      </c>
      <c r="K185" s="391">
        <f>+'SEF-31'!$E$20</f>
        <v>0.75052300000000005</v>
      </c>
      <c r="L185" s="391">
        <f>+'SEF-31'!$E$20</f>
        <v>0.75052300000000005</v>
      </c>
      <c r="M185" s="391">
        <f>+'SEF-31'!$E$20</f>
        <v>0.75052300000000005</v>
      </c>
      <c r="N185" s="391">
        <f>+'SEF-31'!$E$20</f>
        <v>0.75052300000000005</v>
      </c>
      <c r="O185" s="391">
        <f>+'SEF-31'!$E$20</f>
        <v>0.75052300000000005</v>
      </c>
      <c r="P185" s="391">
        <f>+'SEF-31'!$E$20</f>
        <v>0.75052300000000005</v>
      </c>
      <c r="Q185" s="391">
        <f>+'SEF-31'!$E$20</f>
        <v>0.75052300000000005</v>
      </c>
      <c r="R185" s="391">
        <f>+'SEF-31'!$E$20</f>
        <v>0.75052300000000005</v>
      </c>
      <c r="S185" s="391">
        <f>+'SEF-31'!$E$20</f>
        <v>0.75052300000000005</v>
      </c>
      <c r="T185" s="391">
        <f>+'SEF-31'!$E$20</f>
        <v>0.75052300000000005</v>
      </c>
      <c r="U185" s="391">
        <f>+'SEF-31'!$E$20</f>
        <v>0.75052300000000005</v>
      </c>
      <c r="V185" s="391">
        <f>+'SEF-31'!$E$20</f>
        <v>0.75052300000000005</v>
      </c>
      <c r="W185" s="391">
        <f>+'SEF-31'!$E$20</f>
        <v>0.75052300000000005</v>
      </c>
      <c r="X185" s="391">
        <f>+'SEF-31'!$E$20</f>
        <v>0.75052300000000005</v>
      </c>
      <c r="Y185" s="391">
        <f>+'SEF-31'!$E$20</f>
        <v>0.75052300000000005</v>
      </c>
      <c r="Z185" s="391">
        <f>+'SEF-31'!$E$20</f>
        <v>0.75052300000000005</v>
      </c>
      <c r="AA185" s="391">
        <f>+'SEF-31'!$E$20</f>
        <v>0.75052300000000005</v>
      </c>
      <c r="AB185" s="391">
        <f>+'SEF-31'!$E$20</f>
        <v>0.75052300000000005</v>
      </c>
      <c r="AC185" s="391">
        <f>+'SEF-31'!$E$20</f>
        <v>0.75052300000000005</v>
      </c>
      <c r="AD185" s="391">
        <f>+'SEF-31'!$E$20</f>
        <v>0.75052300000000005</v>
      </c>
      <c r="AE185" s="391">
        <f>+'SEF-31'!$E$20</f>
        <v>0.75052300000000005</v>
      </c>
      <c r="AF185" s="391">
        <f>+'SEF-31'!$E$20</f>
        <v>0.75052300000000005</v>
      </c>
      <c r="AG185" s="391">
        <f>+'SEF-31'!$E$20</f>
        <v>0.75052300000000005</v>
      </c>
      <c r="AH185" s="391">
        <f>+'SEF-31'!$E$20</f>
        <v>0.75052300000000005</v>
      </c>
      <c r="AI185" s="391">
        <f>+'SEF-31'!$E$20</f>
        <v>0.75052300000000005</v>
      </c>
      <c r="AJ185" s="391">
        <f>+'SEF-31'!$E$20</f>
        <v>0.75052300000000005</v>
      </c>
      <c r="AK185" s="391">
        <f>+'SEF-31'!$E$20</f>
        <v>0.75052300000000005</v>
      </c>
      <c r="AL185" s="391">
        <f>+'SEF-31'!$E$20</f>
        <v>0.75052300000000005</v>
      </c>
      <c r="AM185" s="391">
        <f>+'SEF-31'!$E$20</f>
        <v>0.75052300000000005</v>
      </c>
      <c r="AN185" s="391">
        <f>+'SEF-31'!$E$20</f>
        <v>0.75052300000000005</v>
      </c>
      <c r="AO185" s="391">
        <f>+'SEF-31'!$E$20</f>
        <v>0.75052300000000005</v>
      </c>
      <c r="AP185" s="391">
        <f>+'SEF-31'!$E$20</f>
        <v>0.75052300000000005</v>
      </c>
      <c r="AQ185" s="391">
        <f>+'SEF-31'!$E$20</f>
        <v>0.75052300000000005</v>
      </c>
      <c r="AR185" s="391">
        <f>+'SEF-31'!$E$20</f>
        <v>0.75052300000000005</v>
      </c>
      <c r="AS185" s="391">
        <f>+'SEF-31'!$E$20</f>
        <v>0.75052300000000005</v>
      </c>
      <c r="AT185" s="391">
        <f>+'SEF-31'!$E$20</f>
        <v>0.75052300000000005</v>
      </c>
      <c r="AU185" s="391">
        <f>+'SEF-31'!$E$20</f>
        <v>0.75052300000000005</v>
      </c>
      <c r="AV185" s="391">
        <f>+'SEF-31'!$E$20</f>
        <v>0.75052300000000005</v>
      </c>
      <c r="AW185" s="391">
        <f>+'SEF-31'!$E$20</f>
        <v>0.75052300000000005</v>
      </c>
      <c r="AX185" s="391">
        <f>+'SEF-31'!$E$20</f>
        <v>0.75052300000000005</v>
      </c>
      <c r="AY185" s="391">
        <f>+'SEF-31'!$E$20</f>
        <v>0.75052300000000005</v>
      </c>
      <c r="AZ185" s="391">
        <f>+'SEF-31'!$E$20</f>
        <v>0.75052300000000005</v>
      </c>
      <c r="BA185" s="391">
        <f>+'SEF-31'!$E$20</f>
        <v>0.75052300000000005</v>
      </c>
      <c r="BB185" s="391">
        <f>+'SEF-31'!$E$20</f>
        <v>0.75052300000000005</v>
      </c>
      <c r="BC185" s="391">
        <f>+'SEF-31'!$E$20</f>
        <v>0.75052300000000005</v>
      </c>
      <c r="BD185" s="391">
        <f>+'SEF-31'!$E$20</f>
        <v>0.75052300000000005</v>
      </c>
      <c r="BE185" s="391">
        <f>+'SEF-31'!$E$20</f>
        <v>0.75052300000000005</v>
      </c>
      <c r="BF185" s="391">
        <f>+'SEF-31'!$E$20</f>
        <v>0.75052300000000005</v>
      </c>
      <c r="BG185" s="390">
        <f>+'SEF-31'!$E$20</f>
        <v>0.75052300000000005</v>
      </c>
      <c r="BH185" s="390">
        <f>+'SEF-31'!$E$20</f>
        <v>0.75052300000000005</v>
      </c>
      <c r="BI185" s="82"/>
      <c r="BJ185" s="356"/>
      <c r="BK185" s="82"/>
    </row>
    <row r="186" spans="1:65" outlineLevel="1" x14ac:dyDescent="0.25">
      <c r="A186" s="317">
        <f t="shared" si="38"/>
        <v>50</v>
      </c>
      <c r="B186" s="365" t="s">
        <v>152</v>
      </c>
      <c r="C186" s="350" t="s">
        <v>159</v>
      </c>
      <c r="D186" s="1272">
        <f>+D169-(D182*D184)</f>
        <v>-354758637.08211339</v>
      </c>
      <c r="E186" s="392">
        <f t="shared" ref="E186:BF186" si="51">+E169-(E182*E184)</f>
        <v>9089769.3123887423</v>
      </c>
      <c r="F186" s="392">
        <f t="shared" si="51"/>
        <v>0</v>
      </c>
      <c r="G186" s="392">
        <f t="shared" si="51"/>
        <v>0</v>
      </c>
      <c r="H186" s="382">
        <f t="shared" si="51"/>
        <v>-1299233.3888071019</v>
      </c>
      <c r="I186" s="382">
        <f t="shared" si="51"/>
        <v>2460753.2996581821</v>
      </c>
      <c r="J186" s="382">
        <f t="shared" si="51"/>
        <v>0</v>
      </c>
      <c r="K186" s="382">
        <f t="shared" si="51"/>
        <v>0</v>
      </c>
      <c r="L186" s="382">
        <f t="shared" si="51"/>
        <v>0</v>
      </c>
      <c r="M186" s="382">
        <f t="shared" si="51"/>
        <v>0</v>
      </c>
      <c r="N186" s="382">
        <f t="shared" si="51"/>
        <v>0</v>
      </c>
      <c r="O186" s="382">
        <f t="shared" si="51"/>
        <v>-313832.77429169288</v>
      </c>
      <c r="P186" s="382">
        <f t="shared" si="51"/>
        <v>0</v>
      </c>
      <c r="Q186" s="382">
        <f t="shared" si="51"/>
        <v>0</v>
      </c>
      <c r="R186" s="382">
        <f t="shared" si="51"/>
        <v>0</v>
      </c>
      <c r="S186" s="382">
        <f t="shared" si="51"/>
        <v>0</v>
      </c>
      <c r="T186" s="382">
        <f t="shared" si="51"/>
        <v>0</v>
      </c>
      <c r="U186" s="382">
        <f t="shared" si="51"/>
        <v>0</v>
      </c>
      <c r="V186" s="382">
        <f t="shared" si="51"/>
        <v>0</v>
      </c>
      <c r="W186" s="382">
        <f t="shared" si="51"/>
        <v>0</v>
      </c>
      <c r="X186" s="382">
        <f t="shared" si="51"/>
        <v>0</v>
      </c>
      <c r="Y186" s="392">
        <f t="shared" si="51"/>
        <v>0</v>
      </c>
      <c r="Z186" s="382">
        <f t="shared" si="51"/>
        <v>0</v>
      </c>
      <c r="AA186" s="382">
        <f t="shared" si="51"/>
        <v>0</v>
      </c>
      <c r="AB186" s="392">
        <f t="shared" si="51"/>
        <v>0</v>
      </c>
      <c r="AC186" s="382">
        <f t="shared" si="51"/>
        <v>-2151.7484116665646</v>
      </c>
      <c r="AD186" s="382">
        <f t="shared" si="51"/>
        <v>0</v>
      </c>
      <c r="AE186" s="382">
        <f t="shared" si="51"/>
        <v>32418879.997058023</v>
      </c>
      <c r="AF186" s="382">
        <f t="shared" si="51"/>
        <v>1094359.8575600004</v>
      </c>
      <c r="AG186" s="382">
        <f t="shared" si="51"/>
        <v>-43960831.071517564</v>
      </c>
      <c r="AH186" s="382">
        <f t="shared" si="51"/>
        <v>-11341317.593935002</v>
      </c>
      <c r="AI186" s="382">
        <f t="shared" si="51"/>
        <v>-19200942.972515013</v>
      </c>
      <c r="AJ186" s="382">
        <f t="shared" si="51"/>
        <v>-26519043.855406672</v>
      </c>
      <c r="AK186" s="392">
        <f t="shared" si="51"/>
        <v>0</v>
      </c>
      <c r="AL186" s="382">
        <f t="shared" si="51"/>
        <v>0</v>
      </c>
      <c r="AM186" s="382">
        <f t="shared" si="51"/>
        <v>0</v>
      </c>
      <c r="AN186" s="382">
        <f t="shared" si="51"/>
        <v>-685466.77561199386</v>
      </c>
      <c r="AO186" s="382">
        <f t="shared" si="51"/>
        <v>0</v>
      </c>
      <c r="AP186" s="382">
        <f t="shared" si="51"/>
        <v>0</v>
      </c>
      <c r="AQ186" s="382">
        <f t="shared" si="51"/>
        <v>0</v>
      </c>
      <c r="AR186" s="382">
        <f t="shared" si="51"/>
        <v>0</v>
      </c>
      <c r="AS186" s="382">
        <f t="shared" si="51"/>
        <v>0</v>
      </c>
      <c r="AT186" s="382">
        <f t="shared" si="51"/>
        <v>0</v>
      </c>
      <c r="AU186" s="382">
        <f t="shared" si="51"/>
        <v>0</v>
      </c>
      <c r="AV186" s="382">
        <f t="shared" si="51"/>
        <v>0</v>
      </c>
      <c r="AW186" s="382">
        <f t="shared" si="51"/>
        <v>-6563.5688025001446</v>
      </c>
      <c r="AX186" s="382">
        <f t="shared" si="51"/>
        <v>0</v>
      </c>
      <c r="AY186" s="382">
        <f t="shared" si="51"/>
        <v>7023193.6215085434</v>
      </c>
      <c r="AZ186" s="382">
        <f t="shared" si="51"/>
        <v>0</v>
      </c>
      <c r="BA186" s="382">
        <f t="shared" si="51"/>
        <v>0</v>
      </c>
      <c r="BB186" s="392">
        <f t="shared" si="51"/>
        <v>0</v>
      </c>
      <c r="BC186" s="382">
        <f t="shared" si="51"/>
        <v>440754.22674000141</v>
      </c>
      <c r="BD186" s="392">
        <f t="shared" si="51"/>
        <v>0</v>
      </c>
      <c r="BE186" s="382">
        <f>+BE169-(BE182*BE184)</f>
        <v>0</v>
      </c>
      <c r="BF186" s="392">
        <f t="shared" si="51"/>
        <v>0</v>
      </c>
      <c r="BG186" s="371">
        <f>SUM(E186:BF186)</f>
        <v>-50801673.434385709</v>
      </c>
      <c r="BH186" s="371">
        <f>+BH169-(BH182*BH184)</f>
        <v>-405560310.51649946</v>
      </c>
      <c r="BI186" s="82"/>
      <c r="BJ186" s="356"/>
      <c r="BK186" s="82"/>
    </row>
    <row r="187" spans="1:65" outlineLevel="1" x14ac:dyDescent="0.25">
      <c r="A187" s="317">
        <f t="shared" si="38"/>
        <v>51</v>
      </c>
      <c r="B187" s="365" t="s">
        <v>153</v>
      </c>
      <c r="C187" s="350" t="s">
        <v>159</v>
      </c>
      <c r="D187" s="1272">
        <f>-D186/D185</f>
        <v>472681899.26506364</v>
      </c>
      <c r="E187" s="392">
        <f t="shared" ref="E187:BF187" si="52">-E186/E185</f>
        <v>-12111246.840388292</v>
      </c>
      <c r="F187" s="392">
        <f t="shared" si="52"/>
        <v>0</v>
      </c>
      <c r="G187" s="392">
        <f t="shared" si="52"/>
        <v>0</v>
      </c>
      <c r="H187" s="392">
        <f t="shared" si="52"/>
        <v>1731104.0285335716</v>
      </c>
      <c r="I187" s="392">
        <f t="shared" si="52"/>
        <v>-3278718.0401642346</v>
      </c>
      <c r="J187" s="392">
        <f t="shared" si="52"/>
        <v>0</v>
      </c>
      <c r="K187" s="392">
        <f t="shared" si="52"/>
        <v>0</v>
      </c>
      <c r="L187" s="392">
        <f t="shared" si="52"/>
        <v>0</v>
      </c>
      <c r="M187" s="392">
        <f t="shared" si="52"/>
        <v>0</v>
      </c>
      <c r="N187" s="392">
        <f t="shared" si="52"/>
        <v>0</v>
      </c>
      <c r="O187" s="392">
        <f t="shared" si="52"/>
        <v>418152.10765252082</v>
      </c>
      <c r="P187" s="392">
        <f t="shared" si="52"/>
        <v>0</v>
      </c>
      <c r="Q187" s="392">
        <f t="shared" si="52"/>
        <v>0</v>
      </c>
      <c r="R187" s="392">
        <f t="shared" si="52"/>
        <v>0</v>
      </c>
      <c r="S187" s="392">
        <f t="shared" si="52"/>
        <v>0</v>
      </c>
      <c r="T187" s="392">
        <f t="shared" si="52"/>
        <v>0</v>
      </c>
      <c r="U187" s="392">
        <f t="shared" si="52"/>
        <v>0</v>
      </c>
      <c r="V187" s="392">
        <f t="shared" si="52"/>
        <v>0</v>
      </c>
      <c r="W187" s="392">
        <f t="shared" si="52"/>
        <v>0</v>
      </c>
      <c r="X187" s="392">
        <f t="shared" si="52"/>
        <v>0</v>
      </c>
      <c r="Y187" s="392">
        <f t="shared" si="52"/>
        <v>0</v>
      </c>
      <c r="Z187" s="382">
        <f t="shared" si="52"/>
        <v>0</v>
      </c>
      <c r="AA187" s="392">
        <f t="shared" si="52"/>
        <v>0</v>
      </c>
      <c r="AB187" s="392">
        <f t="shared" si="52"/>
        <v>0</v>
      </c>
      <c r="AC187" s="392">
        <f t="shared" si="52"/>
        <v>2866.9986285118039</v>
      </c>
      <c r="AD187" s="382">
        <f t="shared" si="52"/>
        <v>0</v>
      </c>
      <c r="AE187" s="392">
        <f t="shared" si="52"/>
        <v>-43195051.979830094</v>
      </c>
      <c r="AF187" s="392">
        <f t="shared" si="52"/>
        <v>-1458129.674320441</v>
      </c>
      <c r="AG187" s="392">
        <f t="shared" si="52"/>
        <v>58573596.107671</v>
      </c>
      <c r="AH187" s="392">
        <f t="shared" si="52"/>
        <v>15111219.235033438</v>
      </c>
      <c r="AI187" s="392">
        <f t="shared" si="52"/>
        <v>25583417.127143353</v>
      </c>
      <c r="AJ187" s="392">
        <f t="shared" si="52"/>
        <v>35334085.504916795</v>
      </c>
      <c r="AK187" s="392">
        <f t="shared" si="52"/>
        <v>0</v>
      </c>
      <c r="AL187" s="392">
        <f t="shared" si="52"/>
        <v>0</v>
      </c>
      <c r="AM187" s="392">
        <f t="shared" si="52"/>
        <v>0</v>
      </c>
      <c r="AN187" s="392">
        <f t="shared" si="52"/>
        <v>913318.81316361227</v>
      </c>
      <c r="AO187" s="382">
        <f t="shared" si="52"/>
        <v>0</v>
      </c>
      <c r="AP187" s="382">
        <f t="shared" si="52"/>
        <v>0</v>
      </c>
      <c r="AQ187" s="382">
        <f t="shared" si="52"/>
        <v>0</v>
      </c>
      <c r="AR187" s="382">
        <f t="shared" si="52"/>
        <v>0</v>
      </c>
      <c r="AS187" s="382">
        <f t="shared" si="52"/>
        <v>0</v>
      </c>
      <c r="AT187" s="382">
        <f t="shared" si="52"/>
        <v>0</v>
      </c>
      <c r="AU187" s="382">
        <f t="shared" si="52"/>
        <v>0</v>
      </c>
      <c r="AV187" s="392">
        <f t="shared" si="52"/>
        <v>0</v>
      </c>
      <c r="AW187" s="392">
        <f t="shared" si="52"/>
        <v>8745.3266622077463</v>
      </c>
      <c r="AX187" s="392">
        <f t="shared" si="52"/>
        <v>0</v>
      </c>
      <c r="AY187" s="392">
        <f t="shared" si="52"/>
        <v>-9357732.7030731142</v>
      </c>
      <c r="AZ187" s="392">
        <f t="shared" si="52"/>
        <v>0</v>
      </c>
      <c r="BA187" s="392">
        <f t="shared" si="52"/>
        <v>0</v>
      </c>
      <c r="BB187" s="392">
        <f t="shared" si="52"/>
        <v>0</v>
      </c>
      <c r="BC187" s="392">
        <f t="shared" si="52"/>
        <v>-587262.78440501005</v>
      </c>
      <c r="BD187" s="392">
        <f t="shared" si="52"/>
        <v>0</v>
      </c>
      <c r="BE187" s="392">
        <f>-BE186/BE185</f>
        <v>0</v>
      </c>
      <c r="BF187" s="392">
        <f t="shared" si="52"/>
        <v>0</v>
      </c>
      <c r="BG187" s="371">
        <f>SUM(E187:BF187)</f>
        <v>67688363.227223828</v>
      </c>
      <c r="BH187" s="371">
        <f>-BH186/BH185</f>
        <v>540370262.49228799</v>
      </c>
      <c r="BI187" s="82"/>
      <c r="BJ187" s="356"/>
      <c r="BK187" s="82"/>
    </row>
    <row r="188" spans="1:65" outlineLevel="1" x14ac:dyDescent="0.25">
      <c r="A188" s="317">
        <f t="shared" si="38"/>
        <v>52</v>
      </c>
      <c r="B188" s="365" t="s">
        <v>128</v>
      </c>
      <c r="C188" s="350" t="s">
        <v>159</v>
      </c>
      <c r="D188" s="1260"/>
      <c r="E188" s="382"/>
      <c r="F188" s="382"/>
      <c r="G188" s="382"/>
      <c r="H188" s="382"/>
      <c r="I188" s="382"/>
      <c r="J188" s="382"/>
      <c r="K188" s="382"/>
      <c r="L188" s="382"/>
      <c r="M188" s="382"/>
      <c r="N188" s="382"/>
      <c r="O188" s="382"/>
      <c r="P188" s="382"/>
      <c r="Q188" s="382"/>
      <c r="R188" s="382"/>
      <c r="S188" s="382"/>
      <c r="T188" s="382"/>
      <c r="U188" s="382"/>
      <c r="V188" s="382"/>
      <c r="W188" s="382"/>
      <c r="X188" s="382"/>
      <c r="Y188" s="382"/>
      <c r="Z188" s="382"/>
      <c r="AA188" s="382"/>
      <c r="AB188" s="382"/>
      <c r="AC188" s="382"/>
      <c r="AD188" s="382"/>
      <c r="AE188" s="382"/>
      <c r="AF188" s="382"/>
      <c r="AG188" s="382"/>
      <c r="AH188" s="382"/>
      <c r="AI188" s="382"/>
      <c r="AJ188" s="382"/>
      <c r="AK188" s="382"/>
      <c r="AL188" s="382"/>
      <c r="AM188" s="382"/>
      <c r="AN188" s="382"/>
      <c r="AO188" s="382"/>
      <c r="AP188" s="382"/>
      <c r="AQ188" s="382"/>
      <c r="AR188" s="382"/>
      <c r="AS188" s="382"/>
      <c r="AT188" s="382"/>
      <c r="AU188" s="382"/>
      <c r="AV188" s="382"/>
      <c r="AW188" s="382"/>
      <c r="AX188" s="382"/>
      <c r="AY188" s="382"/>
      <c r="AZ188" s="382"/>
      <c r="BA188" s="382"/>
      <c r="BB188" s="382"/>
      <c r="BC188" s="382"/>
      <c r="BD188" s="382"/>
      <c r="BE188" s="382"/>
      <c r="BF188" s="382"/>
      <c r="BG188" s="357"/>
      <c r="BH188" s="371">
        <f>BH127</f>
        <v>-392046221.33914036</v>
      </c>
      <c r="BI188" s="82"/>
      <c r="BJ188" s="356"/>
      <c r="BK188" s="82"/>
    </row>
    <row r="189" spans="1:65" outlineLevel="1" x14ac:dyDescent="0.25">
      <c r="A189" s="317">
        <f t="shared" si="38"/>
        <v>53</v>
      </c>
      <c r="B189" s="365" t="s">
        <v>129</v>
      </c>
      <c r="C189" s="350" t="s">
        <v>159</v>
      </c>
      <c r="D189" s="1260"/>
      <c r="E189" s="382"/>
      <c r="F189" s="382"/>
      <c r="G189" s="382"/>
      <c r="H189" s="382"/>
      <c r="I189" s="382"/>
      <c r="J189" s="382"/>
      <c r="K189" s="382"/>
      <c r="L189" s="382"/>
      <c r="M189" s="382"/>
      <c r="N189" s="382"/>
      <c r="O189" s="382"/>
      <c r="P189" s="382"/>
      <c r="Q189" s="382"/>
      <c r="R189" s="382"/>
      <c r="S189" s="382"/>
      <c r="T189" s="382"/>
      <c r="U189" s="382"/>
      <c r="V189" s="382"/>
      <c r="W189" s="382"/>
      <c r="X189" s="382"/>
      <c r="Y189" s="382"/>
      <c r="Z189" s="382"/>
      <c r="AA189" s="382"/>
      <c r="AB189" s="382"/>
      <c r="AC189" s="382"/>
      <c r="AD189" s="382"/>
      <c r="AE189" s="382"/>
      <c r="AF189" s="382"/>
      <c r="AG189" s="382"/>
      <c r="AH189" s="382"/>
      <c r="AI189" s="382"/>
      <c r="AJ189" s="382"/>
      <c r="AK189" s="382"/>
      <c r="AL189" s="382"/>
      <c r="AM189" s="382"/>
      <c r="AN189" s="382"/>
      <c r="AO189" s="382"/>
      <c r="AP189" s="382"/>
      <c r="AQ189" s="382"/>
      <c r="AR189" s="382"/>
      <c r="AS189" s="382"/>
      <c r="AT189" s="382"/>
      <c r="AU189" s="382"/>
      <c r="AV189" s="382"/>
      <c r="AW189" s="382"/>
      <c r="AX189" s="382"/>
      <c r="AY189" s="382"/>
      <c r="AZ189" s="382"/>
      <c r="BA189" s="382"/>
      <c r="BB189" s="382"/>
      <c r="BC189" s="382"/>
      <c r="BD189" s="382"/>
      <c r="BE189" s="382"/>
      <c r="BF189" s="382"/>
      <c r="BG189" s="357"/>
      <c r="BH189" s="371">
        <f>SUM(BH187:BH188)</f>
        <v>148324041.15314764</v>
      </c>
      <c r="BI189" s="82"/>
      <c r="BJ189" s="356"/>
      <c r="BK189" s="82"/>
    </row>
    <row r="190" spans="1:65" outlineLevel="1" x14ac:dyDescent="0.25">
      <c r="A190" s="65" t="s">
        <v>30</v>
      </c>
      <c r="B190" s="365"/>
      <c r="C190" s="350"/>
      <c r="D190" s="1273"/>
      <c r="E190" s="382"/>
      <c r="F190" s="382"/>
      <c r="G190" s="382"/>
      <c r="H190" s="382"/>
      <c r="I190" s="382"/>
      <c r="J190" s="382"/>
      <c r="K190" s="382"/>
      <c r="L190" s="382"/>
      <c r="M190" s="382"/>
      <c r="N190" s="382"/>
      <c r="O190" s="382"/>
      <c r="P190" s="382"/>
      <c r="Q190" s="382"/>
      <c r="R190" s="382"/>
      <c r="S190" s="382"/>
      <c r="T190" s="382"/>
      <c r="U190" s="382"/>
      <c r="V190" s="382"/>
      <c r="W190" s="382"/>
      <c r="X190" s="382"/>
      <c r="Y190" s="382"/>
      <c r="Z190" s="382"/>
      <c r="AA190" s="382"/>
      <c r="AB190" s="382"/>
      <c r="AC190" s="382"/>
      <c r="AD190" s="382"/>
      <c r="AE190" s="382"/>
      <c r="AF190" s="382"/>
      <c r="AG190" s="382"/>
      <c r="AH190" s="382"/>
      <c r="AI190" s="382"/>
      <c r="AJ190" s="382"/>
      <c r="AK190" s="382"/>
      <c r="AL190" s="382"/>
      <c r="AM190" s="382"/>
      <c r="AN190" s="382"/>
      <c r="AO190" s="382"/>
      <c r="AP190" s="382"/>
      <c r="AQ190" s="382"/>
      <c r="AR190" s="382"/>
      <c r="AS190" s="382"/>
      <c r="AT190" s="382"/>
      <c r="AU190" s="382"/>
      <c r="AV190" s="382"/>
      <c r="AW190" s="382"/>
      <c r="AX190" s="382"/>
      <c r="AY190" s="382"/>
      <c r="AZ190" s="382"/>
      <c r="BA190" s="382"/>
      <c r="BB190" s="382"/>
      <c r="BC190" s="382"/>
      <c r="BD190" s="382"/>
      <c r="BE190" s="382"/>
      <c r="BF190" s="382"/>
      <c r="BG190" s="393"/>
      <c r="BH190" s="393"/>
      <c r="BI190" s="82"/>
      <c r="BJ190" s="356"/>
      <c r="BK190" s="82"/>
    </row>
    <row r="191" spans="1:65" outlineLevel="1" x14ac:dyDescent="0.25">
      <c r="B191" s="365"/>
      <c r="C191" s="350"/>
      <c r="D191" s="1274"/>
      <c r="BG191" s="80">
        <f>+'SEF-29 pg 1-2'!$K$24</f>
        <v>7.6499999999999999E-2</v>
      </c>
      <c r="BH191" s="80">
        <f>+'SEF-29 pg 1-2'!$K$24</f>
        <v>7.6499999999999999E-2</v>
      </c>
      <c r="BI191" s="82"/>
      <c r="BJ191" s="356"/>
      <c r="BK191" s="82"/>
    </row>
    <row r="192" spans="1:65" outlineLevel="1" x14ac:dyDescent="0.25">
      <c r="B192" s="395" t="s">
        <v>154</v>
      </c>
      <c r="C192" s="404" t="s">
        <v>159</v>
      </c>
      <c r="D192" s="1275"/>
      <c r="E192" s="397">
        <f>ROUND('SEF-32 pg 1-34, 46'!I82-E169,0)+E171</f>
        <v>0</v>
      </c>
      <c r="F192" s="397">
        <f>ROUND('SEF-32 pg 1-34, 46'!AA76-F169,0)+F171</f>
        <v>0</v>
      </c>
      <c r="G192" s="397">
        <v>0</v>
      </c>
      <c r="H192" s="397">
        <f>ROUND('SEF-32 pg 1-34, 46'!BI24-H169,0)+ROUND('SEF-32 pg 1-34, 46'!BI29-H171,0)</f>
        <v>0</v>
      </c>
      <c r="I192" s="397">
        <f>ROUND('SEF-32 pg 1-34, 46'!CA24-I169,0)+I171</f>
        <v>0</v>
      </c>
      <c r="J192" s="397">
        <f>ROUND('SEF-32 pg 1-34, 46'!CS21-J169,0)+J171</f>
        <v>0</v>
      </c>
      <c r="K192" s="397">
        <f>ROUND('SEF-32 pg 1-34, 46'!DK26-K169,0)+K171</f>
        <v>0</v>
      </c>
      <c r="L192" s="397">
        <f>ROUND('SEF-32 pg 1-34, 46'!EC22-L169,0)+L171</f>
        <v>0</v>
      </c>
      <c r="M192" s="397">
        <f>ROUND('SEF-32 pg 1-34, 46'!EU27-M169,0)+M171</f>
        <v>0</v>
      </c>
      <c r="N192" s="397">
        <f>ROUND('SEF-32 pg 1-34, 46'!FM23-N169,0)+N171</f>
        <v>0</v>
      </c>
      <c r="O192" s="397">
        <f>ROUND('SEF-32 pg 1-34, 46'!GE31-O169,0)+O171</f>
        <v>0</v>
      </c>
      <c r="P192" s="397">
        <f>ROUND('SEF-32 pg 1-34, 46'!GW37-P169,0)+P171</f>
        <v>0</v>
      </c>
      <c r="Q192" s="397">
        <f>ROUND('SEF-32 pg 1-34, 46'!HO18-Q169,0)+Q171</f>
        <v>0</v>
      </c>
      <c r="R192" s="397">
        <f>ROUND('SEF-32 pg 1-34, 46'!IG23-R169,0)+R171</f>
        <v>0</v>
      </c>
      <c r="S192" s="397">
        <f>ROUND('SEF-32 pg 1-34, 46'!IY22-S169,0)+S171</f>
        <v>0</v>
      </c>
      <c r="T192" s="397">
        <f>ROUND('SEF-32 pg 1-34, 46'!JQ23-T169,0)+T171</f>
        <v>0</v>
      </c>
      <c r="U192" s="397">
        <f>ROUND('SEF-32 pg 1-34, 46'!KI20-U169,0)+U171</f>
        <v>0</v>
      </c>
      <c r="V192" s="397">
        <f>ROUND('SEF-32 pg 1-34, 46'!LA32-V169,0)+V171</f>
        <v>0</v>
      </c>
      <c r="W192" s="397">
        <f>ROUND('SEF-32 pg 1-34, 46'!LS22-W169,0)+W171</f>
        <v>0</v>
      </c>
      <c r="X192" s="397">
        <f>ROUND('SEF-32 pg 1-34, 46'!MK31-X169,0)+ROUND('SEF-32 pg 1-34, 46'!MK36-X171,0)</f>
        <v>0</v>
      </c>
      <c r="Y192" s="397">
        <f>ROUND('SEF-32 pg 1-34, 46'!NC21-Y169,0)+Y171</f>
        <v>0</v>
      </c>
      <c r="Z192" s="397">
        <f>ROUND('SEF-32 pg 1-34, 46'!NU33-Z169,0)+Z171</f>
        <v>0</v>
      </c>
      <c r="AA192" s="397">
        <f>ROUND('SEF-32 pg 1-34, 46'!OM24-'SEF-30 pg 2 - 36 '!AA171+'SEF-32 pg 1-34, 46'!OM35-'SEF-30 pg 2 - 36 '!AA169,0)</f>
        <v>0</v>
      </c>
      <c r="AB192" s="397">
        <f>ROUND('SEF-32 pg 1-34, 46'!PE53-AB169,0)+ROUND('SEF-32 pg 1-34, 46'!PE35-AB171,0)</f>
        <v>0</v>
      </c>
      <c r="AC192" s="397">
        <f>ROUND('SEF-32 pg 1-34, 46'!QA21-AC169,0)+AC171</f>
        <v>0</v>
      </c>
      <c r="AD192" s="397">
        <f>+ROUND('SEF-32 pg 1-34, 46'!QS21-AD171,0)+ROUND(-AD169,0)</f>
        <v>0</v>
      </c>
      <c r="AE192" s="397">
        <f>ROUND('SEF-32 pg 1-34, 46'!RK31-AE169,0)+ROUND('SEF-32 pg 1-34, 46'!RK36-AE171,0)</f>
        <v>0</v>
      </c>
      <c r="AF192" s="397">
        <f>ROUND('SEF-32 pg 1-34, 46'!SC30-AF169,0)+ROUND('SEF-32 pg 1-34, 46'!SC35-AF171,0)</f>
        <v>0</v>
      </c>
      <c r="AG192" s="397">
        <f>ROUND('SEF-32 pg 1-34, 46'!SU26-AG169,0)+ROUND('SEF-32 pg 1-34, 46'!SU31-AG171,0)</f>
        <v>0</v>
      </c>
      <c r="AH192" s="397">
        <f>ROUND('SEF-32 pg 1-34, 46'!SU44-AH169,0)+ROUND('SEF-32 pg 1-34, 46'!SU49-AH171,0)</f>
        <v>0</v>
      </c>
      <c r="AI192" s="397">
        <f>ROUND('SEF-32 pg 1-34, 46'!SU62-AI169,0)+ROUND('SEF-32 pg 1-34, 46'!SU67-AI171,0)</f>
        <v>0</v>
      </c>
      <c r="AJ192" s="397">
        <f>ROUND('SEF-32 pg 1-34, 46'!SU80-AJ169,0)+ROUND('SEF-32 pg 1-34, 46'!SU85-AJ171,0)</f>
        <v>0</v>
      </c>
      <c r="AK192" s="397">
        <f>ROUND('SEF-32 pg 1-34, 46'!TN35-AK169,0)+ROUND('SEF-32 pg 1-34, 46'!TN102-AK171,0)</f>
        <v>0</v>
      </c>
      <c r="AL192" s="397">
        <f>ROUND('SEF-32 pg 1-34, 46'!UC27-AL173,0)+ROUND('SEF-32 pg 1-34, 46'!UC19-AL171,0)</f>
        <v>0</v>
      </c>
      <c r="AM192" s="397">
        <f>ROUND('SEF-32 pg 1-34, 46'!UR25-AM169,0)</f>
        <v>0</v>
      </c>
      <c r="AN192" s="397">
        <f>ROUND('SEF-32 pg 1-34, 46'!VG31-AN169,0)+ROUND('SEF-32 pg 1-34, 46'!VG23-'SEF-30 pg 2 - 36 '!AN182,0)</f>
        <v>0</v>
      </c>
      <c r="AO192" s="397">
        <f>ROUND('SEF-32 pg 1-34, 46'!VV2125-AO169,0)</f>
        <v>0</v>
      </c>
      <c r="AP192" s="397"/>
      <c r="AQ192" s="397"/>
      <c r="AR192" s="397"/>
      <c r="AS192" s="397"/>
      <c r="AT192" s="397"/>
      <c r="AU192" s="397"/>
      <c r="AV192" s="397">
        <f>ROUND('SEF-32 pg 35-45'!I$41-'SEF-30 pg 2 - 36 '!AV169,0)+AV171</f>
        <v>0</v>
      </c>
      <c r="AW192" s="397">
        <f>ROUND('SEF-32 pg 35-45'!AS$29-'SEF-30 pg 2 - 36 '!AW169,0)+ROUND('SEF-32 pg 35-45'!AS$21-'SEF-30 pg 2 - 36 '!AW171,0)</f>
        <v>0</v>
      </c>
      <c r="AX192" s="397">
        <f>ROUND('SEF-32 pg 35-45'!BK$30-'SEF-30 pg 2 - 36 '!AX169,0)+AX171</f>
        <v>0</v>
      </c>
      <c r="AY192" s="397">
        <f>ROUND('SEF-32 pg 35-45'!CC$32-AY171,0)+ROUND('SEF-32 pg 35-45'!CC$66-AY169,0)</f>
        <v>0</v>
      </c>
      <c r="AZ192" s="397">
        <f>ROUND('SEF-32 pg 35-45'!CU$29-'SEF-30 pg 2 - 36 '!AZ169,0)+ROUND('SEF-32 pg 35-45'!CU$21-'SEF-30 pg 2 - 36 '!AZ171,0)</f>
        <v>0</v>
      </c>
      <c r="BA192" s="397">
        <f>ROUND('SEF-32 pg 35-45'!DM$30-'SEF-30 pg 2 - 36 '!BA169,0)+BA171</f>
        <v>0</v>
      </c>
      <c r="BB192" s="397">
        <f>'SEF-32 pg 35-45'!EE75+'SEF-32 pg 35-45'!EE55-BB182-BB169</f>
        <v>0</v>
      </c>
      <c r="BC192" s="397">
        <f>ROUND('SEF-32 pg 35-45'!EW$42-'SEF-30 pg 2 - 36 '!BC169,0)+ROUND('SEF-32 pg 35-45'!EW$31-'SEF-30 pg 2 - 36 '!BC171,0)</f>
        <v>0</v>
      </c>
      <c r="BD192" s="397">
        <f>ROUND('SEF-32 pg 35-45'!FO$24-'SEF-30 pg 2 - 36 '!BD169,0)+BD171</f>
        <v>0</v>
      </c>
      <c r="BE192" s="397">
        <f>ROUND('SEF-32 pg 35-45'!GG$42-'SEF-30 pg 2 - 36 '!BE169,0)+ROUND('SEF-32 pg 35-45'!GG$32-'SEF-30 pg 2 - 36 '!BE171,0)</f>
        <v>0</v>
      </c>
      <c r="BF192" s="397">
        <f>ROUND('SEF-32 pg 35-45'!GY37-'SEF-30 pg 2 - 36 '!BF169,0)</f>
        <v>0</v>
      </c>
      <c r="BG192" s="398"/>
      <c r="BH192" s="398"/>
      <c r="BI192" s="82"/>
      <c r="BK192" s="82"/>
    </row>
    <row r="193" spans="1:74" outlineLevel="1" x14ac:dyDescent="0.25">
      <c r="B193" s="395" t="s">
        <v>155</v>
      </c>
      <c r="C193" s="350" t="s">
        <v>159</v>
      </c>
      <c r="D193" s="1276">
        <f>'SEF-30 pg 1'!G47-D169</f>
        <v>0</v>
      </c>
      <c r="BH193" s="397">
        <f>'SEF-30 pg 1'!I47-BH169</f>
        <v>0</v>
      </c>
      <c r="BI193" s="82"/>
      <c r="BK193" s="82"/>
    </row>
    <row r="194" spans="1:74" outlineLevel="1" x14ac:dyDescent="0.25">
      <c r="B194" s="395" t="s">
        <v>156</v>
      </c>
      <c r="C194" s="350" t="s">
        <v>159</v>
      </c>
      <c r="D194" s="1276">
        <f>'SEF-30 pg 1'!G58-D182</f>
        <v>0</v>
      </c>
      <c r="BH194" s="397">
        <f>'SEF-30 pg 1'!I58-BH182</f>
        <v>0</v>
      </c>
      <c r="BI194" s="82"/>
      <c r="BK194" s="82"/>
    </row>
    <row r="195" spans="1:74" x14ac:dyDescent="0.25">
      <c r="B195" s="461"/>
      <c r="C195" s="350"/>
      <c r="D195" s="1257"/>
      <c r="BH195" s="1248"/>
      <c r="BI195" s="82"/>
      <c r="BK195" s="82"/>
      <c r="BO195" s="19"/>
      <c r="BP195" s="19"/>
      <c r="BQ195" s="19"/>
      <c r="BR195" s="19"/>
      <c r="BS195" s="19"/>
      <c r="BT195" s="19"/>
      <c r="BU195" s="19"/>
      <c r="BV195" s="19"/>
    </row>
    <row r="196" spans="1:74" outlineLevel="1" x14ac:dyDescent="0.25">
      <c r="B196" s="399"/>
      <c r="C196" s="1290" t="s">
        <v>161</v>
      </c>
      <c r="D196" s="1277"/>
      <c r="E196" s="326">
        <v>45992</v>
      </c>
      <c r="F196" s="326">
        <v>45992</v>
      </c>
      <c r="G196" s="326">
        <v>45992</v>
      </c>
      <c r="H196" s="326">
        <v>45992</v>
      </c>
      <c r="I196" s="326">
        <v>45992</v>
      </c>
      <c r="J196" s="326">
        <v>45992</v>
      </c>
      <c r="K196" s="326">
        <v>45992</v>
      </c>
      <c r="L196" s="326">
        <v>45992</v>
      </c>
      <c r="M196" s="326">
        <v>45992</v>
      </c>
      <c r="N196" s="326">
        <v>45992</v>
      </c>
      <c r="O196" s="326">
        <v>45992</v>
      </c>
      <c r="P196" s="326">
        <v>45992</v>
      </c>
      <c r="Q196" s="326">
        <v>45992</v>
      </c>
      <c r="R196" s="326">
        <v>45992</v>
      </c>
      <c r="S196" s="326">
        <v>45992</v>
      </c>
      <c r="T196" s="326">
        <v>45992</v>
      </c>
      <c r="U196" s="326">
        <v>45992</v>
      </c>
      <c r="V196" s="326">
        <v>45992</v>
      </c>
      <c r="W196" s="326">
        <v>45992</v>
      </c>
      <c r="X196" s="326">
        <v>45992</v>
      </c>
      <c r="Y196" s="326">
        <v>45992</v>
      </c>
      <c r="Z196" s="326">
        <v>45992</v>
      </c>
      <c r="AA196" s="326">
        <v>45992</v>
      </c>
      <c r="AB196" s="326">
        <v>45992</v>
      </c>
      <c r="AC196" s="326">
        <v>45992</v>
      </c>
      <c r="AD196" s="326">
        <v>45992</v>
      </c>
      <c r="AE196" s="326">
        <v>45992</v>
      </c>
      <c r="AF196" s="326">
        <v>45992</v>
      </c>
      <c r="AG196" s="326">
        <v>45992</v>
      </c>
      <c r="AH196" s="326">
        <v>45992</v>
      </c>
      <c r="AI196" s="326">
        <v>45992</v>
      </c>
      <c r="AJ196" s="326">
        <v>45992</v>
      </c>
      <c r="AK196" s="326">
        <v>45992</v>
      </c>
      <c r="AL196" s="326">
        <v>45992</v>
      </c>
      <c r="AM196" s="326">
        <v>45992</v>
      </c>
      <c r="AN196" s="326">
        <v>45992</v>
      </c>
      <c r="AO196" s="326">
        <v>45992</v>
      </c>
      <c r="AP196" s="326">
        <v>45992</v>
      </c>
      <c r="AQ196" s="326">
        <v>45992</v>
      </c>
      <c r="AR196" s="326">
        <v>45992</v>
      </c>
      <c r="AS196" s="326">
        <v>45992</v>
      </c>
      <c r="AT196" s="326">
        <v>45992</v>
      </c>
      <c r="AU196" s="326">
        <v>45992</v>
      </c>
      <c r="AV196" s="326">
        <v>45992</v>
      </c>
      <c r="AW196" s="326">
        <v>45992</v>
      </c>
      <c r="AX196" s="326">
        <v>45992</v>
      </c>
      <c r="AY196" s="326">
        <v>45992</v>
      </c>
      <c r="AZ196" s="326">
        <v>45992</v>
      </c>
      <c r="BA196" s="326">
        <v>45992</v>
      </c>
      <c r="BB196" s="326">
        <v>45992</v>
      </c>
      <c r="BC196" s="326">
        <v>45992</v>
      </c>
      <c r="BD196" s="326">
        <v>45992</v>
      </c>
      <c r="BE196" s="326">
        <v>45992</v>
      </c>
      <c r="BF196" s="326">
        <v>45992</v>
      </c>
      <c r="BH196" s="1248"/>
      <c r="BI196" s="82"/>
      <c r="BK196" s="82"/>
      <c r="BO196" s="19"/>
      <c r="BP196" s="19"/>
      <c r="BQ196" s="19"/>
      <c r="BR196" s="19"/>
      <c r="BS196" s="19"/>
      <c r="BT196" s="19"/>
      <c r="BU196" s="19"/>
      <c r="BV196" s="19"/>
    </row>
    <row r="197" spans="1:74" outlineLevel="1" x14ac:dyDescent="0.25">
      <c r="B197" s="399"/>
      <c r="C197" s="1290">
        <v>2025</v>
      </c>
      <c r="D197" s="1278"/>
      <c r="E197" s="1249"/>
      <c r="F197" s="1249"/>
      <c r="G197" s="1249"/>
      <c r="H197" s="1249"/>
      <c r="I197" s="1249"/>
      <c r="J197" s="1249"/>
      <c r="K197" s="1249"/>
      <c r="L197" s="1249"/>
      <c r="M197" s="1249"/>
      <c r="N197" s="1249"/>
      <c r="O197" s="1249"/>
      <c r="P197" s="1249"/>
      <c r="Q197" s="1249"/>
      <c r="R197" s="1249"/>
      <c r="S197" s="1249"/>
      <c r="T197" s="1249"/>
      <c r="U197" s="1249"/>
      <c r="V197" s="1249"/>
      <c r="W197" s="1249"/>
      <c r="X197" s="1249"/>
      <c r="Y197" s="1249"/>
      <c r="Z197" s="1249"/>
      <c r="AA197" s="1249"/>
      <c r="AB197" s="1249"/>
      <c r="AC197" s="1249"/>
      <c r="AD197" s="1249"/>
      <c r="AE197" s="1249"/>
      <c r="AF197" s="1249"/>
      <c r="AG197" s="1249"/>
      <c r="AH197" s="1249"/>
      <c r="AI197" s="1249"/>
      <c r="AJ197" s="1249"/>
      <c r="AK197" s="1249"/>
      <c r="AL197" s="1249"/>
      <c r="AM197" s="1249"/>
      <c r="AN197" s="1249"/>
      <c r="AO197" s="1249"/>
      <c r="AP197" s="1249"/>
      <c r="AQ197" s="1249"/>
      <c r="AR197" s="1249"/>
      <c r="AS197" s="1249"/>
      <c r="AT197" s="1249"/>
      <c r="AU197" s="1249"/>
      <c r="AV197" s="1249"/>
      <c r="AW197" s="1249"/>
      <c r="AX197" s="1249"/>
      <c r="AY197" s="1249"/>
      <c r="AZ197" s="1249"/>
      <c r="BA197" s="1249"/>
      <c r="BB197" s="1249"/>
      <c r="BC197" s="1249"/>
      <c r="BD197" s="1249"/>
      <c r="BE197" s="1249"/>
      <c r="BF197" s="1249"/>
      <c r="BH197" s="1248"/>
      <c r="BI197" s="82"/>
      <c r="BK197" s="82"/>
      <c r="BO197" s="19"/>
      <c r="BP197" s="19"/>
      <c r="BQ197" s="19"/>
      <c r="BR197" s="19"/>
      <c r="BS197" s="19"/>
      <c r="BT197" s="19"/>
      <c r="BU197" s="19"/>
      <c r="BV197" s="19"/>
    </row>
    <row r="198" spans="1:74" outlineLevel="1" x14ac:dyDescent="0.25">
      <c r="A198" s="317">
        <f>A259</f>
        <v>1</v>
      </c>
      <c r="B198" s="349" t="s">
        <v>81</v>
      </c>
      <c r="C198" s="406" t="s">
        <v>162</v>
      </c>
      <c r="D198" s="1262"/>
      <c r="BG198" s="352"/>
      <c r="BH198" s="352"/>
      <c r="BI198" s="82"/>
      <c r="BK198" s="82"/>
    </row>
    <row r="199" spans="1:74" outlineLevel="1" x14ac:dyDescent="0.25">
      <c r="A199" s="317">
        <f t="shared" ref="A199:A250" si="53">A260</f>
        <v>2</v>
      </c>
      <c r="B199" s="349" t="s">
        <v>82</v>
      </c>
      <c r="C199" s="406" t="s">
        <v>162</v>
      </c>
      <c r="D199" s="1284">
        <f>+BH138</f>
        <v>2108425663.5253472</v>
      </c>
      <c r="E199" s="407">
        <f>'SEF-32 pg 1-34, 46'!K$46-E200</f>
        <v>9749529.1303141117</v>
      </c>
      <c r="F199" s="407"/>
      <c r="G199" s="407"/>
      <c r="H199" s="407"/>
      <c r="I199" s="407"/>
      <c r="J199" s="407"/>
      <c r="K199" s="407"/>
      <c r="L199" s="407"/>
      <c r="M199" s="407"/>
      <c r="N199" s="407"/>
      <c r="O199" s="407"/>
      <c r="P199" s="407"/>
      <c r="Q199" s="407"/>
      <c r="R199" s="407"/>
      <c r="S199" s="407"/>
      <c r="T199" s="407"/>
      <c r="U199" s="407"/>
      <c r="V199" s="407"/>
      <c r="W199" s="407"/>
      <c r="X199" s="407"/>
      <c r="Y199" s="407"/>
      <c r="Z199" s="407"/>
      <c r="AA199" s="407"/>
      <c r="AB199" s="407"/>
      <c r="AC199" s="407"/>
      <c r="AD199" s="407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07"/>
      <c r="AO199" s="407"/>
      <c r="AP199" s="407"/>
      <c r="AQ199" s="407"/>
      <c r="AR199" s="407"/>
      <c r="AS199" s="407"/>
      <c r="AT199" s="407"/>
      <c r="AU199" s="407"/>
      <c r="AV199" s="407"/>
      <c r="AW199" s="407"/>
      <c r="AX199" s="407"/>
      <c r="AY199" s="407"/>
      <c r="AZ199" s="407"/>
      <c r="BA199" s="407"/>
      <c r="BB199" s="407"/>
      <c r="BC199" s="407"/>
      <c r="BD199" s="407"/>
      <c r="BE199" s="407"/>
      <c r="BF199" s="407"/>
      <c r="BG199" s="352">
        <f>SUM(E199:BF199)</f>
        <v>9749529.1303141117</v>
      </c>
      <c r="BH199" s="352">
        <f>+BG199+D199</f>
        <v>2118175192.6556613</v>
      </c>
      <c r="BI199" s="82"/>
      <c r="BJ199" s="356"/>
      <c r="BK199" s="82"/>
    </row>
    <row r="200" spans="1:74" outlineLevel="1" x14ac:dyDescent="0.25">
      <c r="A200" s="317">
        <f t="shared" si="53"/>
        <v>3</v>
      </c>
      <c r="B200" s="349" t="s">
        <v>83</v>
      </c>
      <c r="C200" s="406" t="s">
        <v>162</v>
      </c>
      <c r="D200" s="1260">
        <f>+BH139</f>
        <v>434445.04000000004</v>
      </c>
      <c r="E200" s="358">
        <f>'SEF-32 pg 1-34, 46'!K$45</f>
        <v>0</v>
      </c>
      <c r="F200" s="408"/>
      <c r="G200" s="408"/>
      <c r="H200" s="408"/>
      <c r="I200" s="408"/>
      <c r="J200" s="408"/>
      <c r="K200" s="408"/>
      <c r="L200" s="408"/>
      <c r="M200" s="408"/>
      <c r="N200" s="408"/>
      <c r="O200" s="408"/>
      <c r="P200" s="408"/>
      <c r="Q200" s="408"/>
      <c r="R200" s="408"/>
      <c r="S200" s="408"/>
      <c r="T200" s="408"/>
      <c r="U200" s="408"/>
      <c r="V200" s="408"/>
      <c r="W200" s="408"/>
      <c r="X200" s="408"/>
      <c r="Y200" s="408"/>
      <c r="Z200" s="408"/>
      <c r="AA200" s="408"/>
      <c r="AB200" s="408"/>
      <c r="AC200" s="408"/>
      <c r="AD200" s="408"/>
      <c r="AE200" s="408"/>
      <c r="AF200" s="408"/>
      <c r="AG200" s="408"/>
      <c r="AH200" s="408"/>
      <c r="AI200" s="408"/>
      <c r="AJ200" s="408"/>
      <c r="AK200" s="408"/>
      <c r="AL200" s="408"/>
      <c r="AM200" s="408"/>
      <c r="AN200" s="40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408"/>
      <c r="BB200" s="408"/>
      <c r="BC200" s="408"/>
      <c r="BD200" s="408"/>
      <c r="BE200" s="408"/>
      <c r="BF200" s="408"/>
      <c r="BG200" s="357">
        <f>SUM(E200:BF200)</f>
        <v>0</v>
      </c>
      <c r="BH200" s="357">
        <f>+BG200+D200</f>
        <v>434445.04000000004</v>
      </c>
      <c r="BI200" s="82"/>
      <c r="BJ200" s="356"/>
      <c r="BK200" s="82"/>
    </row>
    <row r="201" spans="1:74" outlineLevel="1" x14ac:dyDescent="0.25">
      <c r="A201" s="317">
        <f t="shared" si="53"/>
        <v>4</v>
      </c>
      <c r="B201" s="349" t="s">
        <v>84</v>
      </c>
      <c r="C201" s="406" t="s">
        <v>162</v>
      </c>
      <c r="D201" s="1260">
        <f>+BH140</f>
        <v>763721180.85000002</v>
      </c>
      <c r="E201" s="358"/>
      <c r="F201" s="408"/>
      <c r="G201" s="408"/>
      <c r="H201" s="408"/>
      <c r="I201" s="408"/>
      <c r="J201" s="408"/>
      <c r="K201" s="408"/>
      <c r="L201" s="408"/>
      <c r="M201" s="408"/>
      <c r="N201" s="408"/>
      <c r="O201" s="408"/>
      <c r="P201" s="408"/>
      <c r="Q201" s="408"/>
      <c r="R201" s="408"/>
      <c r="S201" s="408"/>
      <c r="T201" s="408"/>
      <c r="U201" s="408"/>
      <c r="V201" s="408"/>
      <c r="W201" s="408"/>
      <c r="X201" s="408"/>
      <c r="Y201" s="408"/>
      <c r="Z201" s="408"/>
      <c r="AA201" s="408"/>
      <c r="AB201" s="408"/>
      <c r="AC201" s="408"/>
      <c r="AD201" s="408"/>
      <c r="AE201" s="408"/>
      <c r="AF201" s="408"/>
      <c r="AG201" s="408"/>
      <c r="AH201" s="408"/>
      <c r="AI201" s="408"/>
      <c r="AJ201" s="408"/>
      <c r="AK201" s="408"/>
      <c r="AL201" s="408"/>
      <c r="AM201" s="408"/>
      <c r="AN201" s="408"/>
      <c r="AO201" s="408"/>
      <c r="AP201" s="408"/>
      <c r="AQ201" s="408"/>
      <c r="AR201" s="408"/>
      <c r="AS201" s="408"/>
      <c r="AT201" s="408"/>
      <c r="AU201" s="408"/>
      <c r="AV201" s="370">
        <f>-'SEF-32 pg 35-45'!K25</f>
        <v>-247451881.38243538</v>
      </c>
      <c r="AW201" s="408"/>
      <c r="AX201" s="408"/>
      <c r="AY201" s="408"/>
      <c r="AZ201" s="408"/>
      <c r="BA201" s="408"/>
      <c r="BB201" s="408"/>
      <c r="BC201" s="408"/>
      <c r="BD201" s="408"/>
      <c r="BE201" s="408"/>
      <c r="BF201" s="408"/>
      <c r="BG201" s="371">
        <f>SUM(E201:BF201)</f>
        <v>-247451881.38243538</v>
      </c>
      <c r="BH201" s="371">
        <f>+BG201+D201</f>
        <v>516269299.46756464</v>
      </c>
      <c r="BI201" s="82"/>
      <c r="BJ201" s="356"/>
      <c r="BK201" s="82"/>
    </row>
    <row r="202" spans="1:74" outlineLevel="1" x14ac:dyDescent="0.25">
      <c r="A202" s="317">
        <f t="shared" si="53"/>
        <v>5</v>
      </c>
      <c r="B202" s="349" t="s">
        <v>85</v>
      </c>
      <c r="C202" s="406" t="s">
        <v>162</v>
      </c>
      <c r="D202" s="1260">
        <f>+BH141</f>
        <v>182323233.50763276</v>
      </c>
      <c r="E202" s="358">
        <f>'SEF-32 pg 1-34, 46'!K$62</f>
        <v>-1935796.9378028773</v>
      </c>
      <c r="F202" s="408"/>
      <c r="G202" s="408"/>
      <c r="H202" s="408"/>
      <c r="I202" s="408"/>
      <c r="J202" s="408"/>
      <c r="K202" s="408"/>
      <c r="L202" s="408"/>
      <c r="M202" s="408"/>
      <c r="N202" s="408"/>
      <c r="O202" s="408"/>
      <c r="P202" s="408"/>
      <c r="Q202" s="408"/>
      <c r="R202" s="408"/>
      <c r="S202" s="408"/>
      <c r="T202" s="408"/>
      <c r="U202" s="408"/>
      <c r="V202" s="408"/>
      <c r="W202" s="408"/>
      <c r="X202" s="408"/>
      <c r="Y202" s="408"/>
      <c r="Z202" s="408"/>
      <c r="AA202" s="408"/>
      <c r="AB202" s="408">
        <f>'SEF-32 pg 1-34, 46'!PG38</f>
        <v>0</v>
      </c>
      <c r="AC202" s="408"/>
      <c r="AD202" s="408"/>
      <c r="AE202" s="408"/>
      <c r="AF202" s="408"/>
      <c r="AG202" s="408"/>
      <c r="AH202" s="408"/>
      <c r="AI202" s="408"/>
      <c r="AJ202" s="408"/>
      <c r="AK202" s="408"/>
      <c r="AL202" s="408"/>
      <c r="AM202" s="408"/>
      <c r="AN202" s="408"/>
      <c r="AO202" s="408"/>
      <c r="AP202" s="408"/>
      <c r="AQ202" s="408"/>
      <c r="AR202" s="408"/>
      <c r="AS202" s="408"/>
      <c r="AT202" s="408"/>
      <c r="AU202" s="408"/>
      <c r="AV202" s="370">
        <f>-SUM('SEF-32 pg 35-45'!K26,'SEF-32 pg 35-45'!K32)</f>
        <v>-4994184.3270566035</v>
      </c>
      <c r="AW202" s="408"/>
      <c r="AX202" s="408"/>
      <c r="AY202" s="408">
        <f>-'SEF-32 pg 35-45'!CE51</f>
        <v>0</v>
      </c>
      <c r="AZ202" s="408"/>
      <c r="BA202" s="408"/>
      <c r="BB202" s="408"/>
      <c r="BC202" s="408"/>
      <c r="BD202" s="408"/>
      <c r="BE202" s="408">
        <f>-'SEF-32 pg 35-45'!GI36</f>
        <v>-438707.75262051268</v>
      </c>
      <c r="BF202" s="408"/>
      <c r="BG202" s="371">
        <f>SUM(E202:BF202)</f>
        <v>-7368689.0174799934</v>
      </c>
      <c r="BH202" s="371">
        <f>+BG202+D202</f>
        <v>174954544.49015278</v>
      </c>
      <c r="BI202" s="82"/>
      <c r="BJ202" s="356"/>
      <c r="BK202" s="82"/>
    </row>
    <row r="203" spans="1:74" outlineLevel="1" x14ac:dyDescent="0.25">
      <c r="A203" s="317">
        <f t="shared" si="53"/>
        <v>6</v>
      </c>
      <c r="B203" s="349" t="s">
        <v>86</v>
      </c>
      <c r="C203" s="406" t="s">
        <v>162</v>
      </c>
      <c r="D203" s="1263">
        <f>SUM(D199:D202)</f>
        <v>3054904522.9229798</v>
      </c>
      <c r="E203" s="409">
        <f>SUM(E199:E202)</f>
        <v>7813732.1925112344</v>
      </c>
      <c r="F203" s="410">
        <f t="shared" ref="F203:BF203" si="54">SUM(F199:F202)</f>
        <v>0</v>
      </c>
      <c r="G203" s="410">
        <f t="shared" si="54"/>
        <v>0</v>
      </c>
      <c r="H203" s="410">
        <f t="shared" si="54"/>
        <v>0</v>
      </c>
      <c r="I203" s="410">
        <f t="shared" si="54"/>
        <v>0</v>
      </c>
      <c r="J203" s="410">
        <f t="shared" si="54"/>
        <v>0</v>
      </c>
      <c r="K203" s="410">
        <f t="shared" si="54"/>
        <v>0</v>
      </c>
      <c r="L203" s="410">
        <f t="shared" si="54"/>
        <v>0</v>
      </c>
      <c r="M203" s="410">
        <f t="shared" si="54"/>
        <v>0</v>
      </c>
      <c r="N203" s="410">
        <f t="shared" si="54"/>
        <v>0</v>
      </c>
      <c r="O203" s="410">
        <f t="shared" si="54"/>
        <v>0</v>
      </c>
      <c r="P203" s="410">
        <f t="shared" si="54"/>
        <v>0</v>
      </c>
      <c r="Q203" s="410">
        <f t="shared" si="54"/>
        <v>0</v>
      </c>
      <c r="R203" s="410">
        <f t="shared" si="54"/>
        <v>0</v>
      </c>
      <c r="S203" s="410">
        <f t="shared" si="54"/>
        <v>0</v>
      </c>
      <c r="T203" s="410">
        <f t="shared" si="54"/>
        <v>0</v>
      </c>
      <c r="U203" s="410">
        <f t="shared" si="54"/>
        <v>0</v>
      </c>
      <c r="V203" s="410">
        <f t="shared" si="54"/>
        <v>0</v>
      </c>
      <c r="W203" s="410">
        <f t="shared" si="54"/>
        <v>0</v>
      </c>
      <c r="X203" s="410">
        <f t="shared" si="54"/>
        <v>0</v>
      </c>
      <c r="Y203" s="410">
        <f t="shared" si="54"/>
        <v>0</v>
      </c>
      <c r="Z203" s="410">
        <f t="shared" si="54"/>
        <v>0</v>
      </c>
      <c r="AA203" s="410">
        <f t="shared" si="54"/>
        <v>0</v>
      </c>
      <c r="AB203" s="410">
        <f t="shared" si="54"/>
        <v>0</v>
      </c>
      <c r="AC203" s="410">
        <f t="shared" si="54"/>
        <v>0</v>
      </c>
      <c r="AD203" s="410">
        <f t="shared" si="54"/>
        <v>0</v>
      </c>
      <c r="AE203" s="410">
        <f t="shared" si="54"/>
        <v>0</v>
      </c>
      <c r="AF203" s="410">
        <f t="shared" si="54"/>
        <v>0</v>
      </c>
      <c r="AG203" s="410">
        <f t="shared" si="54"/>
        <v>0</v>
      </c>
      <c r="AH203" s="410">
        <f t="shared" si="54"/>
        <v>0</v>
      </c>
      <c r="AI203" s="410">
        <f t="shared" si="54"/>
        <v>0</v>
      </c>
      <c r="AJ203" s="410">
        <f t="shared" si="54"/>
        <v>0</v>
      </c>
      <c r="AK203" s="410">
        <f t="shared" si="54"/>
        <v>0</v>
      </c>
      <c r="AL203" s="410">
        <f t="shared" si="54"/>
        <v>0</v>
      </c>
      <c r="AM203" s="410">
        <f t="shared" si="54"/>
        <v>0</v>
      </c>
      <c r="AN203" s="410">
        <f t="shared" si="54"/>
        <v>0</v>
      </c>
      <c r="AO203" s="410">
        <f t="shared" si="54"/>
        <v>0</v>
      </c>
      <c r="AP203" s="410">
        <f t="shared" si="54"/>
        <v>0</v>
      </c>
      <c r="AQ203" s="410">
        <f t="shared" si="54"/>
        <v>0</v>
      </c>
      <c r="AR203" s="410">
        <f t="shared" si="54"/>
        <v>0</v>
      </c>
      <c r="AS203" s="410">
        <f t="shared" si="54"/>
        <v>0</v>
      </c>
      <c r="AT203" s="410">
        <f t="shared" si="54"/>
        <v>0</v>
      </c>
      <c r="AU203" s="410">
        <f t="shared" si="54"/>
        <v>0</v>
      </c>
      <c r="AV203" s="361">
        <f t="shared" si="54"/>
        <v>-252446065.709492</v>
      </c>
      <c r="AW203" s="410">
        <f t="shared" si="54"/>
        <v>0</v>
      </c>
      <c r="AX203" s="410">
        <f t="shared" si="54"/>
        <v>0</v>
      </c>
      <c r="AY203" s="410">
        <f t="shared" si="54"/>
        <v>0</v>
      </c>
      <c r="AZ203" s="410">
        <f t="shared" si="54"/>
        <v>0</v>
      </c>
      <c r="BA203" s="410">
        <f t="shared" si="54"/>
        <v>0</v>
      </c>
      <c r="BB203" s="410">
        <f t="shared" si="54"/>
        <v>0</v>
      </c>
      <c r="BC203" s="410">
        <f t="shared" si="54"/>
        <v>0</v>
      </c>
      <c r="BD203" s="410">
        <f t="shared" si="54"/>
        <v>0</v>
      </c>
      <c r="BE203" s="410">
        <f>SUM(BE199:BE202)</f>
        <v>-438707.75262051268</v>
      </c>
      <c r="BF203" s="410">
        <f t="shared" si="54"/>
        <v>0</v>
      </c>
      <c r="BG203" s="362">
        <f>SUM(BG199:BG202)</f>
        <v>-245071041.26960126</v>
      </c>
      <c r="BH203" s="362">
        <f>SUM(BH199:BH202)</f>
        <v>2809833481.653379</v>
      </c>
      <c r="BI203" s="82"/>
      <c r="BJ203" s="356"/>
      <c r="BK203" s="82"/>
    </row>
    <row r="204" spans="1:74" outlineLevel="1" x14ac:dyDescent="0.25">
      <c r="A204" s="317">
        <f t="shared" si="53"/>
        <v>7</v>
      </c>
      <c r="B204" s="363"/>
      <c r="C204" s="406" t="s">
        <v>162</v>
      </c>
      <c r="D204" s="1260"/>
      <c r="E204" s="408"/>
      <c r="F204" s="408"/>
      <c r="G204" s="408"/>
      <c r="H204" s="408"/>
      <c r="I204" s="408"/>
      <c r="J204" s="408"/>
      <c r="K204" s="408"/>
      <c r="L204" s="408"/>
      <c r="M204" s="408"/>
      <c r="N204" s="408"/>
      <c r="O204" s="408"/>
      <c r="P204" s="408"/>
      <c r="Q204" s="408"/>
      <c r="R204" s="408"/>
      <c r="S204" s="408"/>
      <c r="T204" s="408"/>
      <c r="U204" s="408"/>
      <c r="V204" s="408"/>
      <c r="W204" s="408"/>
      <c r="X204" s="408"/>
      <c r="Y204" s="408"/>
      <c r="Z204" s="408"/>
      <c r="AA204" s="408"/>
      <c r="AB204" s="408"/>
      <c r="AC204" s="408"/>
      <c r="AD204" s="408"/>
      <c r="AE204" s="408"/>
      <c r="AF204" s="408"/>
      <c r="AG204" s="408"/>
      <c r="AH204" s="408"/>
      <c r="AI204" s="408"/>
      <c r="AJ204" s="408"/>
      <c r="AK204" s="408"/>
      <c r="AL204" s="408"/>
      <c r="AM204" s="408"/>
      <c r="AN204" s="408"/>
      <c r="AO204" s="408"/>
      <c r="AP204" s="408"/>
      <c r="AQ204" s="408"/>
      <c r="AR204" s="408"/>
      <c r="AS204" s="408"/>
      <c r="AT204" s="408"/>
      <c r="AU204" s="408"/>
      <c r="AV204" s="408"/>
      <c r="AW204" s="408"/>
      <c r="AX204" s="408"/>
      <c r="AY204" s="408"/>
      <c r="AZ204" s="408"/>
      <c r="BA204" s="408"/>
      <c r="BB204" s="408"/>
      <c r="BC204" s="408"/>
      <c r="BD204" s="408"/>
      <c r="BE204" s="408"/>
      <c r="BF204" s="408"/>
      <c r="BG204" s="357"/>
      <c r="BH204" s="357"/>
      <c r="BI204" s="82"/>
      <c r="BJ204" s="356"/>
      <c r="BK204" s="82"/>
    </row>
    <row r="205" spans="1:74" outlineLevel="1" x14ac:dyDescent="0.25">
      <c r="A205" s="317">
        <f t="shared" si="53"/>
        <v>8</v>
      </c>
      <c r="B205" s="349" t="s">
        <v>87</v>
      </c>
      <c r="C205" s="406" t="s">
        <v>162</v>
      </c>
      <c r="D205" s="1258"/>
      <c r="E205" s="411"/>
      <c r="F205" s="411"/>
      <c r="G205" s="411"/>
      <c r="H205" s="411"/>
      <c r="I205" s="411"/>
      <c r="J205" s="411"/>
      <c r="K205" s="411"/>
      <c r="L205" s="411"/>
      <c r="M205" s="411"/>
      <c r="N205" s="411"/>
      <c r="O205" s="411"/>
      <c r="P205" s="411"/>
      <c r="Q205" s="411"/>
      <c r="R205" s="411"/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  <c r="AU205" s="411"/>
      <c r="AV205" s="411"/>
      <c r="AW205" s="411"/>
      <c r="AX205" s="411"/>
      <c r="AY205" s="411"/>
      <c r="AZ205" s="411"/>
      <c r="BA205" s="411"/>
      <c r="BB205" s="411"/>
      <c r="BC205" s="411"/>
      <c r="BD205" s="411"/>
      <c r="BE205" s="411"/>
      <c r="BF205" s="411"/>
      <c r="BG205" s="351"/>
      <c r="BH205" s="351"/>
      <c r="BI205" s="82"/>
      <c r="BJ205" s="356"/>
      <c r="BK205" s="82"/>
    </row>
    <row r="206" spans="1:74" outlineLevel="1" x14ac:dyDescent="0.25">
      <c r="A206" s="317">
        <f t="shared" si="53"/>
        <v>9</v>
      </c>
      <c r="B206" s="365"/>
      <c r="C206" s="406" t="s">
        <v>162</v>
      </c>
      <c r="D206" s="1258"/>
      <c r="E206" s="411"/>
      <c r="F206" s="411"/>
      <c r="G206" s="411"/>
      <c r="H206" s="411"/>
      <c r="I206" s="411"/>
      <c r="J206" s="411"/>
      <c r="K206" s="411"/>
      <c r="L206" s="411"/>
      <c r="M206" s="411"/>
      <c r="N206" s="411"/>
      <c r="O206" s="411"/>
      <c r="P206" s="411"/>
      <c r="Q206" s="411"/>
      <c r="R206" s="411"/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  <c r="AU206" s="411"/>
      <c r="AV206" s="411"/>
      <c r="AW206" s="411"/>
      <c r="AX206" s="411"/>
      <c r="AY206" s="411"/>
      <c r="AZ206" s="411"/>
      <c r="BA206" s="411"/>
      <c r="BB206" s="411"/>
      <c r="BC206" s="411"/>
      <c r="BD206" s="411"/>
      <c r="BE206" s="411"/>
      <c r="BF206" s="411"/>
      <c r="BG206" s="351"/>
      <c r="BH206" s="351"/>
      <c r="BI206" s="82"/>
      <c r="BJ206" s="356"/>
      <c r="BK206" s="82"/>
    </row>
    <row r="207" spans="1:74" outlineLevel="1" x14ac:dyDescent="0.25">
      <c r="A207" s="317">
        <f t="shared" si="53"/>
        <v>10</v>
      </c>
      <c r="B207" s="349" t="s">
        <v>88</v>
      </c>
      <c r="C207" s="406" t="s">
        <v>162</v>
      </c>
      <c r="D207" s="1258"/>
      <c r="E207" s="411"/>
      <c r="F207" s="411"/>
      <c r="G207" s="411"/>
      <c r="H207" s="411"/>
      <c r="I207" s="411"/>
      <c r="J207" s="411"/>
      <c r="K207" s="411"/>
      <c r="L207" s="411"/>
      <c r="M207" s="411"/>
      <c r="N207" s="411"/>
      <c r="O207" s="411"/>
      <c r="P207" s="411"/>
      <c r="Q207" s="411"/>
      <c r="R207" s="411"/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  <c r="AU207" s="411"/>
      <c r="AV207" s="411"/>
      <c r="AW207" s="411"/>
      <c r="AX207" s="411"/>
      <c r="AY207" s="411"/>
      <c r="AZ207" s="411"/>
      <c r="BA207" s="411"/>
      <c r="BB207" s="411"/>
      <c r="BC207" s="411"/>
      <c r="BD207" s="411"/>
      <c r="BE207" s="411"/>
      <c r="BF207" s="411"/>
      <c r="BG207" s="351"/>
      <c r="BH207" s="351"/>
      <c r="BI207" s="82"/>
      <c r="BJ207" s="356"/>
      <c r="BK207" s="82"/>
    </row>
    <row r="208" spans="1:74" outlineLevel="1" x14ac:dyDescent="0.25">
      <c r="A208" s="317">
        <f t="shared" si="53"/>
        <v>11</v>
      </c>
      <c r="B208" s="349" t="s">
        <v>89</v>
      </c>
      <c r="C208" s="406" t="s">
        <v>162</v>
      </c>
      <c r="D208" s="1262">
        <f>+BH147</f>
        <v>455418278.81</v>
      </c>
      <c r="E208" s="412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412"/>
      <c r="Q208" s="412"/>
      <c r="R208" s="412"/>
      <c r="S208" s="412"/>
      <c r="T208" s="412"/>
      <c r="U208" s="412"/>
      <c r="V208" s="412"/>
      <c r="W208" s="412"/>
      <c r="X208" s="412"/>
      <c r="Y208" s="412"/>
      <c r="Z208" s="412"/>
      <c r="AA208" s="412"/>
      <c r="AB208" s="412"/>
      <c r="AC208" s="412"/>
      <c r="AD208" s="412"/>
      <c r="AE208" s="412"/>
      <c r="AF208" s="412"/>
      <c r="AG208" s="412"/>
      <c r="AH208" s="412"/>
      <c r="AI208" s="412"/>
      <c r="AJ208" s="412"/>
      <c r="AK208" s="412"/>
      <c r="AL208" s="412"/>
      <c r="AM208" s="412"/>
      <c r="AN208" s="412"/>
      <c r="AO208" s="412"/>
      <c r="AP208" s="412"/>
      <c r="AQ208" s="412"/>
      <c r="AR208" s="412"/>
      <c r="AS208" s="412"/>
      <c r="AT208" s="412"/>
      <c r="AU208" s="412"/>
      <c r="AV208" s="370">
        <f>SUM('SEF-32 pg 35-45'!K18:K19)</f>
        <v>67231906.039215311</v>
      </c>
      <c r="AW208" s="412"/>
      <c r="AX208" s="412"/>
      <c r="AY208" s="412"/>
      <c r="AZ208" s="412"/>
      <c r="BA208" s="412"/>
      <c r="BB208" s="412"/>
      <c r="BC208" s="412"/>
      <c r="BD208" s="412"/>
      <c r="BE208" s="412"/>
      <c r="BF208" s="412"/>
      <c r="BG208" s="413">
        <f>SUM(E208:BF208)</f>
        <v>67231906.039215311</v>
      </c>
      <c r="BH208" s="413">
        <f>+BG208+D208</f>
        <v>522650184.84921533</v>
      </c>
      <c r="BI208" s="82"/>
      <c r="BJ208" s="349" t="s">
        <v>89</v>
      </c>
      <c r="BK208" s="82"/>
    </row>
    <row r="209" spans="1:63" outlineLevel="1" x14ac:dyDescent="0.25">
      <c r="A209" s="317">
        <f t="shared" si="53"/>
        <v>12</v>
      </c>
      <c r="B209" s="349" t="s">
        <v>90</v>
      </c>
      <c r="C209" s="406" t="s">
        <v>162</v>
      </c>
      <c r="D209" s="1285">
        <f>+BH148</f>
        <v>1301605528.2789266</v>
      </c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>
        <f>'SEF-32 pg 1-34, 46'!GG17</f>
        <v>106193.09830109269</v>
      </c>
      <c r="P209" s="408"/>
      <c r="Q209" s="408"/>
      <c r="R209" s="408"/>
      <c r="S209" s="408"/>
      <c r="T209" s="408"/>
      <c r="U209" s="408"/>
      <c r="V209" s="408"/>
      <c r="W209" s="408"/>
      <c r="X209" s="408"/>
      <c r="Y209" s="408"/>
      <c r="Z209" s="408"/>
      <c r="AA209" s="408"/>
      <c r="AB209" s="408"/>
      <c r="AC209" s="408"/>
      <c r="AD209" s="408"/>
      <c r="AE209" s="408"/>
      <c r="AF209" s="408"/>
      <c r="AG209" s="408"/>
      <c r="AH209" s="408"/>
      <c r="AI209" s="408"/>
      <c r="AJ209" s="408"/>
      <c r="AK209" s="408"/>
      <c r="AL209" s="408"/>
      <c r="AM209" s="408"/>
      <c r="AN209" s="408"/>
      <c r="AO209" s="408"/>
      <c r="AP209" s="408"/>
      <c r="AQ209" s="408"/>
      <c r="AR209" s="408"/>
      <c r="AS209" s="408"/>
      <c r="AT209" s="408"/>
      <c r="AU209" s="408"/>
      <c r="AV209" s="370">
        <f>SUM('SEF-32 pg 35-45'!K20:K23,'SEF-32 pg 35-45'!K33,'SEF-32 pg 35-45'!K34)</f>
        <v>-203436456.66164583</v>
      </c>
      <c r="AW209" s="408"/>
      <c r="AX209" s="408"/>
      <c r="AY209" s="408"/>
      <c r="AZ209" s="408"/>
      <c r="BA209" s="408"/>
      <c r="BB209" s="408"/>
      <c r="BC209" s="408"/>
      <c r="BD209" s="408"/>
      <c r="BE209" s="408"/>
      <c r="BF209" s="408"/>
      <c r="BG209" s="371">
        <f>SUM(E209:BF209)</f>
        <v>-203330263.56334475</v>
      </c>
      <c r="BH209" s="371">
        <f>+BG209+D209</f>
        <v>1098275264.7155819</v>
      </c>
      <c r="BI209" s="82"/>
      <c r="BJ209" s="349" t="s">
        <v>90</v>
      </c>
      <c r="BK209" s="82"/>
    </row>
    <row r="210" spans="1:63" outlineLevel="1" x14ac:dyDescent="0.25">
      <c r="A210" s="317">
        <f t="shared" si="53"/>
        <v>13</v>
      </c>
      <c r="B210" s="349" t="s">
        <v>91</v>
      </c>
      <c r="C210" s="406" t="s">
        <v>162</v>
      </c>
      <c r="D210" s="1260">
        <f>+BH149</f>
        <v>161536441.13999999</v>
      </c>
      <c r="E210" s="408"/>
      <c r="F210" s="408"/>
      <c r="G210" s="408"/>
      <c r="H210" s="408"/>
      <c r="I210" s="408"/>
      <c r="J210" s="408"/>
      <c r="K210" s="408"/>
      <c r="L210" s="408"/>
      <c r="M210" s="408"/>
      <c r="N210" s="408"/>
      <c r="O210" s="408"/>
      <c r="P210" s="408"/>
      <c r="Q210" s="408"/>
      <c r="R210" s="408"/>
      <c r="S210" s="408"/>
      <c r="T210" s="408"/>
      <c r="U210" s="408"/>
      <c r="V210" s="408"/>
      <c r="W210" s="408"/>
      <c r="X210" s="408"/>
      <c r="Y210" s="408"/>
      <c r="Z210" s="408"/>
      <c r="AA210" s="408"/>
      <c r="AB210" s="408"/>
      <c r="AC210" s="408"/>
      <c r="AD210" s="408"/>
      <c r="AE210" s="408"/>
      <c r="AF210" s="408"/>
      <c r="AG210" s="408"/>
      <c r="AH210" s="408"/>
      <c r="AI210" s="408"/>
      <c r="AJ210" s="408"/>
      <c r="AK210" s="408"/>
      <c r="AL210" s="408"/>
      <c r="AM210" s="408"/>
      <c r="AN210" s="408"/>
      <c r="AO210" s="408"/>
      <c r="AP210" s="408"/>
      <c r="AQ210" s="408"/>
      <c r="AR210" s="408"/>
      <c r="AS210" s="408"/>
      <c r="AT210" s="408"/>
      <c r="AU210" s="408"/>
      <c r="AV210" s="370">
        <f>+'SEF-32 pg 35-45'!K24</f>
        <v>17329726.182353556</v>
      </c>
      <c r="AW210" s="408"/>
      <c r="AX210" s="408"/>
      <c r="AY210" s="408"/>
      <c r="AZ210" s="408"/>
      <c r="BA210" s="408"/>
      <c r="BB210" s="408"/>
      <c r="BC210" s="408"/>
      <c r="BD210" s="408"/>
      <c r="BE210" s="408"/>
      <c r="BF210" s="408"/>
      <c r="BG210" s="371">
        <f>SUM(E210:BF210)</f>
        <v>17329726.182353556</v>
      </c>
      <c r="BH210" s="371">
        <f>+BG210+D210</f>
        <v>178866167.32235354</v>
      </c>
      <c r="BI210" s="82"/>
      <c r="BJ210" s="349" t="s">
        <v>91</v>
      </c>
      <c r="BK210" s="82"/>
    </row>
    <row r="211" spans="1:63" outlineLevel="1" x14ac:dyDescent="0.25">
      <c r="A211" s="317">
        <f t="shared" si="53"/>
        <v>14</v>
      </c>
      <c r="B211" s="365" t="s">
        <v>92</v>
      </c>
      <c r="C211" s="406" t="s">
        <v>162</v>
      </c>
      <c r="D211" s="1260">
        <f>+BH150</f>
        <v>0</v>
      </c>
      <c r="E211" s="408"/>
      <c r="F211" s="408"/>
      <c r="G211" s="408"/>
      <c r="H211" s="408"/>
      <c r="I211" s="408"/>
      <c r="J211" s="408"/>
      <c r="K211" s="408"/>
      <c r="L211" s="408"/>
      <c r="M211" s="408"/>
      <c r="N211" s="408"/>
      <c r="O211" s="408"/>
      <c r="P211" s="408"/>
      <c r="Q211" s="408"/>
      <c r="R211" s="408"/>
      <c r="S211" s="408"/>
      <c r="T211" s="408"/>
      <c r="U211" s="408"/>
      <c r="V211" s="408"/>
      <c r="W211" s="408"/>
      <c r="X211" s="408"/>
      <c r="Y211" s="408"/>
      <c r="Z211" s="408"/>
      <c r="AA211" s="408"/>
      <c r="AB211" s="408"/>
      <c r="AC211" s="408"/>
      <c r="AD211" s="408"/>
      <c r="AE211" s="408"/>
      <c r="AF211" s="408"/>
      <c r="AG211" s="408"/>
      <c r="AH211" s="408"/>
      <c r="AI211" s="408"/>
      <c r="AJ211" s="408"/>
      <c r="AK211" s="408"/>
      <c r="AL211" s="408"/>
      <c r="AM211" s="408"/>
      <c r="AN211" s="408"/>
      <c r="AO211" s="408"/>
      <c r="AP211" s="408"/>
      <c r="AQ211" s="408"/>
      <c r="AR211" s="408"/>
      <c r="AS211" s="408"/>
      <c r="AT211" s="408"/>
      <c r="AU211" s="408"/>
      <c r="AV211" s="408"/>
      <c r="AW211" s="408"/>
      <c r="AX211" s="408"/>
      <c r="AY211" s="408"/>
      <c r="AZ211" s="408"/>
      <c r="BA211" s="408"/>
      <c r="BB211" s="408"/>
      <c r="BC211" s="408"/>
      <c r="BD211" s="408"/>
      <c r="BE211" s="408"/>
      <c r="BF211" s="408"/>
      <c r="BG211" s="357">
        <f>SUM(E211:BF211)</f>
        <v>0</v>
      </c>
      <c r="BH211" s="357">
        <f>+BG211+D211</f>
        <v>0</v>
      </c>
      <c r="BI211" s="82"/>
      <c r="BJ211" s="356"/>
      <c r="BK211" s="82"/>
    </row>
    <row r="212" spans="1:63" outlineLevel="1" x14ac:dyDescent="0.25">
      <c r="A212" s="317">
        <f t="shared" si="53"/>
        <v>15</v>
      </c>
      <c r="B212" s="349" t="s">
        <v>93</v>
      </c>
      <c r="C212" s="406" t="s">
        <v>162</v>
      </c>
      <c r="D212" s="1263">
        <f>SUM(D207:D211)</f>
        <v>1918560248.2289267</v>
      </c>
      <c r="E212" s="409">
        <f>SUM(E207:E211)</f>
        <v>0</v>
      </c>
      <c r="F212" s="409">
        <f t="shared" ref="F212:BF212" si="55">SUM(F207:F211)</f>
        <v>0</v>
      </c>
      <c r="G212" s="409">
        <f t="shared" si="55"/>
        <v>0</v>
      </c>
      <c r="H212" s="409">
        <f t="shared" si="55"/>
        <v>0</v>
      </c>
      <c r="I212" s="409">
        <f t="shared" si="55"/>
        <v>0</v>
      </c>
      <c r="J212" s="409">
        <f t="shared" si="55"/>
        <v>0</v>
      </c>
      <c r="K212" s="409">
        <f t="shared" si="55"/>
        <v>0</v>
      </c>
      <c r="L212" s="409">
        <f t="shared" si="55"/>
        <v>0</v>
      </c>
      <c r="M212" s="409">
        <f t="shared" si="55"/>
        <v>0</v>
      </c>
      <c r="N212" s="409">
        <f t="shared" si="55"/>
        <v>0</v>
      </c>
      <c r="O212" s="409">
        <f t="shared" si="55"/>
        <v>106193.09830109269</v>
      </c>
      <c r="P212" s="409">
        <f t="shared" si="55"/>
        <v>0</v>
      </c>
      <c r="Q212" s="409">
        <f t="shared" si="55"/>
        <v>0</v>
      </c>
      <c r="R212" s="409">
        <f t="shared" si="55"/>
        <v>0</v>
      </c>
      <c r="S212" s="409">
        <f t="shared" si="55"/>
        <v>0</v>
      </c>
      <c r="T212" s="409">
        <f t="shared" si="55"/>
        <v>0</v>
      </c>
      <c r="U212" s="409">
        <f t="shared" si="55"/>
        <v>0</v>
      </c>
      <c r="V212" s="409">
        <f t="shared" si="55"/>
        <v>0</v>
      </c>
      <c r="W212" s="409">
        <f t="shared" si="55"/>
        <v>0</v>
      </c>
      <c r="X212" s="409">
        <f t="shared" si="55"/>
        <v>0</v>
      </c>
      <c r="Y212" s="409">
        <f t="shared" si="55"/>
        <v>0</v>
      </c>
      <c r="Z212" s="409">
        <f t="shared" si="55"/>
        <v>0</v>
      </c>
      <c r="AA212" s="409">
        <f t="shared" si="55"/>
        <v>0</v>
      </c>
      <c r="AB212" s="409">
        <f t="shared" si="55"/>
        <v>0</v>
      </c>
      <c r="AC212" s="409">
        <f t="shared" si="55"/>
        <v>0</v>
      </c>
      <c r="AD212" s="409">
        <f t="shared" si="55"/>
        <v>0</v>
      </c>
      <c r="AE212" s="409">
        <f t="shared" si="55"/>
        <v>0</v>
      </c>
      <c r="AF212" s="409">
        <f t="shared" si="55"/>
        <v>0</v>
      </c>
      <c r="AG212" s="409">
        <f t="shared" si="55"/>
        <v>0</v>
      </c>
      <c r="AH212" s="409">
        <f t="shared" si="55"/>
        <v>0</v>
      </c>
      <c r="AI212" s="409">
        <f t="shared" si="55"/>
        <v>0</v>
      </c>
      <c r="AJ212" s="409">
        <f t="shared" si="55"/>
        <v>0</v>
      </c>
      <c r="AK212" s="409">
        <f t="shared" si="55"/>
        <v>0</v>
      </c>
      <c r="AL212" s="409">
        <f t="shared" si="55"/>
        <v>0</v>
      </c>
      <c r="AM212" s="409">
        <f t="shared" si="55"/>
        <v>0</v>
      </c>
      <c r="AN212" s="409">
        <f t="shared" si="55"/>
        <v>0</v>
      </c>
      <c r="AO212" s="409">
        <f t="shared" si="55"/>
        <v>0</v>
      </c>
      <c r="AP212" s="409">
        <f t="shared" si="55"/>
        <v>0</v>
      </c>
      <c r="AQ212" s="409">
        <f t="shared" si="55"/>
        <v>0</v>
      </c>
      <c r="AR212" s="409">
        <f t="shared" si="55"/>
        <v>0</v>
      </c>
      <c r="AS212" s="409">
        <f t="shared" si="55"/>
        <v>0</v>
      </c>
      <c r="AT212" s="409">
        <f t="shared" si="55"/>
        <v>0</v>
      </c>
      <c r="AU212" s="409">
        <f t="shared" si="55"/>
        <v>0</v>
      </c>
      <c r="AV212" s="372">
        <f t="shared" si="55"/>
        <v>-118874824.44007695</v>
      </c>
      <c r="AW212" s="409">
        <f t="shared" si="55"/>
        <v>0</v>
      </c>
      <c r="AX212" s="409">
        <f t="shared" si="55"/>
        <v>0</v>
      </c>
      <c r="AY212" s="409">
        <f t="shared" si="55"/>
        <v>0</v>
      </c>
      <c r="AZ212" s="409">
        <f t="shared" si="55"/>
        <v>0</v>
      </c>
      <c r="BA212" s="409">
        <f t="shared" si="55"/>
        <v>0</v>
      </c>
      <c r="BB212" s="409">
        <f t="shared" si="55"/>
        <v>0</v>
      </c>
      <c r="BC212" s="409">
        <f t="shared" si="55"/>
        <v>0</v>
      </c>
      <c r="BD212" s="409">
        <f t="shared" si="55"/>
        <v>0</v>
      </c>
      <c r="BE212" s="409">
        <f>SUM(BE207:BE211)</f>
        <v>0</v>
      </c>
      <c r="BF212" s="409">
        <f t="shared" si="55"/>
        <v>0</v>
      </c>
      <c r="BG212" s="373">
        <f>SUM(BG207:BG211)</f>
        <v>-118768631.34177589</v>
      </c>
      <c r="BH212" s="373">
        <f>SUM(BH207:BH211)</f>
        <v>1799791616.8871508</v>
      </c>
      <c r="BI212" s="82"/>
      <c r="BJ212" s="356"/>
      <c r="BK212" s="82"/>
    </row>
    <row r="213" spans="1:63" outlineLevel="1" x14ac:dyDescent="0.25">
      <c r="A213" s="317">
        <f t="shared" si="53"/>
        <v>16</v>
      </c>
      <c r="B213" s="349"/>
      <c r="C213" s="406" t="s">
        <v>162</v>
      </c>
      <c r="D213" s="1262"/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/>
      <c r="P213" s="412"/>
      <c r="Q213" s="412"/>
      <c r="R213" s="412"/>
      <c r="S213" s="412"/>
      <c r="T213" s="412"/>
      <c r="U213" s="412"/>
      <c r="V213" s="412"/>
      <c r="W213" s="412"/>
      <c r="X213" s="412"/>
      <c r="Y213" s="412"/>
      <c r="Z213" s="412"/>
      <c r="AA213" s="412"/>
      <c r="AB213" s="412"/>
      <c r="AC213" s="412"/>
      <c r="AD213" s="412"/>
      <c r="AE213" s="412"/>
      <c r="AF213" s="412"/>
      <c r="AG213" s="412"/>
      <c r="AH213" s="412"/>
      <c r="AI213" s="412"/>
      <c r="AJ213" s="412"/>
      <c r="AK213" s="412"/>
      <c r="AL213" s="412"/>
      <c r="AM213" s="412"/>
      <c r="AN213" s="412"/>
      <c r="AO213" s="412"/>
      <c r="AP213" s="412"/>
      <c r="AQ213" s="412"/>
      <c r="AR213" s="412"/>
      <c r="AS213" s="412"/>
      <c r="AT213" s="412"/>
      <c r="AU213" s="412"/>
      <c r="AV213" s="412"/>
      <c r="AW213" s="412"/>
      <c r="AX213" s="412"/>
      <c r="AY213" s="412"/>
      <c r="AZ213" s="412"/>
      <c r="BA213" s="412"/>
      <c r="BB213" s="412"/>
      <c r="BC213" s="412"/>
      <c r="BD213" s="412"/>
      <c r="BE213" s="412"/>
      <c r="BF213" s="412"/>
      <c r="BG213" s="366"/>
      <c r="BH213" s="366"/>
      <c r="BI213" s="82"/>
      <c r="BJ213" s="356"/>
      <c r="BK213" s="82"/>
    </row>
    <row r="214" spans="1:63" outlineLevel="1" x14ac:dyDescent="0.25">
      <c r="A214" s="317">
        <f t="shared" si="53"/>
        <v>17</v>
      </c>
      <c r="B214" s="369" t="s">
        <v>94</v>
      </c>
      <c r="C214" s="406" t="s">
        <v>162</v>
      </c>
      <c r="D214" s="1260">
        <f t="shared" ref="D214:D227" si="56">+BH153</f>
        <v>95633221.259433717</v>
      </c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08">
        <f>'SEF-32 pg 1-34, 46'!GG18</f>
        <v>-1352127.9320966506</v>
      </c>
      <c r="P214" s="412"/>
      <c r="Q214" s="412"/>
      <c r="R214" s="412"/>
      <c r="S214" s="412"/>
      <c r="T214" s="412"/>
      <c r="U214" s="412"/>
      <c r="V214" s="412"/>
      <c r="W214" s="412"/>
      <c r="X214" s="412"/>
      <c r="Y214" s="412"/>
      <c r="Z214" s="408">
        <f>'SEF-32 pg 1-34, 46'!NW18</f>
        <v>1073448.2126629353</v>
      </c>
      <c r="AA214" s="412"/>
      <c r="AB214" s="412"/>
      <c r="AC214" s="412"/>
      <c r="AD214" s="412"/>
      <c r="AE214" s="412"/>
      <c r="AF214" s="412"/>
      <c r="AG214" s="412"/>
      <c r="AH214" s="412"/>
      <c r="AI214" s="412"/>
      <c r="AJ214" s="412"/>
      <c r="AK214" s="412"/>
      <c r="AL214" s="412"/>
      <c r="AM214" s="412"/>
      <c r="AN214" s="412"/>
      <c r="AO214" s="412"/>
      <c r="AP214" s="412"/>
      <c r="AQ214" s="412"/>
      <c r="AR214" s="412"/>
      <c r="AS214" s="412"/>
      <c r="AT214" s="412"/>
      <c r="AU214" s="412"/>
      <c r="AV214" s="412">
        <f>+'SEF-32 pg 35-45'!K30</f>
        <v>4574732.7350178957</v>
      </c>
      <c r="AW214" s="412"/>
      <c r="AX214" s="412"/>
      <c r="AY214" s="412"/>
      <c r="AZ214" s="412"/>
      <c r="BA214" s="412"/>
      <c r="BB214" s="412">
        <f>'SEF-32 pg 35-45'!EG61</f>
        <v>0</v>
      </c>
      <c r="BC214" s="412"/>
      <c r="BD214" s="412"/>
      <c r="BE214" s="412"/>
      <c r="BF214" s="412">
        <f>'SEF-32 pg 35-45'!HA23</f>
        <v>0</v>
      </c>
      <c r="BG214" s="357">
        <f t="shared" ref="BG214:BG227" si="57">SUM(E214:BF214)</f>
        <v>4296053.0155841801</v>
      </c>
      <c r="BH214" s="366">
        <f t="shared" ref="BH214:BH227" si="58">+BG214+D214</f>
        <v>99929274.275017902</v>
      </c>
      <c r="BI214" s="82"/>
      <c r="BJ214" s="356"/>
      <c r="BK214" s="82"/>
    </row>
    <row r="215" spans="1:63" outlineLevel="1" x14ac:dyDescent="0.25">
      <c r="A215" s="317">
        <f t="shared" si="53"/>
        <v>18</v>
      </c>
      <c r="B215" s="349" t="s">
        <v>95</v>
      </c>
      <c r="C215" s="406" t="s">
        <v>162</v>
      </c>
      <c r="D215" s="1260">
        <f t="shared" si="56"/>
        <v>26131080.194690075</v>
      </c>
      <c r="E215" s="408"/>
      <c r="F215" s="408"/>
      <c r="G215" s="408"/>
      <c r="H215" s="408"/>
      <c r="I215" s="408"/>
      <c r="J215" s="408"/>
      <c r="K215" s="408"/>
      <c r="L215" s="408"/>
      <c r="M215" s="408"/>
      <c r="N215" s="408"/>
      <c r="O215" s="408">
        <f>'SEF-32 pg 1-34, 46'!GG19</f>
        <v>152762.08082274965</v>
      </c>
      <c r="P215" s="408"/>
      <c r="Q215" s="408"/>
      <c r="R215" s="408"/>
      <c r="S215" s="408"/>
      <c r="T215" s="408"/>
      <c r="U215" s="408"/>
      <c r="V215" s="408"/>
      <c r="W215" s="408"/>
      <c r="X215" s="408"/>
      <c r="Y215" s="408"/>
      <c r="Z215" s="408">
        <f>'SEF-32 pg 1-34, 46'!NW19</f>
        <v>5671311.7791084088</v>
      </c>
      <c r="AA215" s="408"/>
      <c r="AB215" s="408"/>
      <c r="AC215" s="408"/>
      <c r="AD215" s="408"/>
      <c r="AE215" s="408"/>
      <c r="AF215" s="408"/>
      <c r="AG215" s="408"/>
      <c r="AH215" s="408"/>
      <c r="AI215" s="408"/>
      <c r="AJ215" s="408"/>
      <c r="AK215" s="408"/>
      <c r="AL215" s="408"/>
      <c r="AM215" s="408"/>
      <c r="AN215" s="408"/>
      <c r="AO215" s="408"/>
      <c r="AP215" s="408"/>
      <c r="AQ215" s="408"/>
      <c r="AR215" s="408"/>
      <c r="AS215" s="408"/>
      <c r="AT215" s="408"/>
      <c r="AU215" s="408"/>
      <c r="AV215" s="408"/>
      <c r="AW215" s="408"/>
      <c r="AX215" s="408">
        <f>'SEF-32 pg 35-45'!BM17</f>
        <v>925761.26378605142</v>
      </c>
      <c r="AY215" s="408"/>
      <c r="AZ215" s="408"/>
      <c r="BA215" s="408"/>
      <c r="BB215" s="408"/>
      <c r="BC215" s="408"/>
      <c r="BD215" s="408"/>
      <c r="BE215" s="408"/>
      <c r="BF215" s="408"/>
      <c r="BG215" s="357">
        <f t="shared" si="57"/>
        <v>6749835.1237172103</v>
      </c>
      <c r="BH215" s="357">
        <f t="shared" si="58"/>
        <v>32880915.318407286</v>
      </c>
      <c r="BI215" s="82"/>
      <c r="BJ215" s="356"/>
      <c r="BK215" s="82"/>
    </row>
    <row r="216" spans="1:63" outlineLevel="1" x14ac:dyDescent="0.25">
      <c r="A216" s="317">
        <f t="shared" si="53"/>
        <v>19</v>
      </c>
      <c r="B216" s="349" t="s">
        <v>96</v>
      </c>
      <c r="C216" s="406" t="s">
        <v>162</v>
      </c>
      <c r="D216" s="1260">
        <f t="shared" si="56"/>
        <v>104735377.98590459</v>
      </c>
      <c r="E216" s="408"/>
      <c r="F216" s="408"/>
      <c r="G216" s="408"/>
      <c r="H216" s="408"/>
      <c r="I216" s="408"/>
      <c r="J216" s="408"/>
      <c r="K216" s="408"/>
      <c r="L216" s="408"/>
      <c r="M216" s="408"/>
      <c r="N216" s="408"/>
      <c r="O216" s="408">
        <f>'SEF-32 pg 1-34, 46'!GG20</f>
        <v>466480.73280231608</v>
      </c>
      <c r="P216" s="408"/>
      <c r="Q216" s="408"/>
      <c r="R216" s="408"/>
      <c r="S216" s="408"/>
      <c r="T216" s="408"/>
      <c r="U216" s="408"/>
      <c r="V216" s="408"/>
      <c r="W216" s="408"/>
      <c r="X216" s="408"/>
      <c r="Y216" s="408"/>
      <c r="Z216" s="408">
        <f>'SEF-32 pg 1-34, 46'!NW20</f>
        <v>17553322.66394411</v>
      </c>
      <c r="AA216" s="408"/>
      <c r="AB216" s="408"/>
      <c r="AC216" s="408"/>
      <c r="AD216" s="408"/>
      <c r="AE216" s="408"/>
      <c r="AF216" s="408"/>
      <c r="AG216" s="408"/>
      <c r="AH216" s="408"/>
      <c r="AI216" s="408"/>
      <c r="AJ216" s="408"/>
      <c r="AK216" s="408"/>
      <c r="AL216" s="408"/>
      <c r="AM216" s="408"/>
      <c r="AN216" s="408"/>
      <c r="AO216" s="408"/>
      <c r="AP216" s="408"/>
      <c r="AQ216" s="408"/>
      <c r="AR216" s="408"/>
      <c r="AS216" s="408"/>
      <c r="AT216" s="408"/>
      <c r="AU216" s="408"/>
      <c r="AV216" s="408"/>
      <c r="AW216" s="408"/>
      <c r="AX216" s="408">
        <f>'SEF-32 pg 35-45'!BM18</f>
        <v>95583.584547281731</v>
      </c>
      <c r="AY216" s="408"/>
      <c r="AZ216" s="408"/>
      <c r="BA216" s="408"/>
      <c r="BB216" s="408"/>
      <c r="BC216" s="408"/>
      <c r="BD216" s="408"/>
      <c r="BE216" s="408"/>
      <c r="BF216" s="408"/>
      <c r="BG216" s="357">
        <f t="shared" si="57"/>
        <v>18115386.981293708</v>
      </c>
      <c r="BH216" s="357">
        <f t="shared" si="58"/>
        <v>122850764.9671983</v>
      </c>
      <c r="BI216" s="82"/>
      <c r="BJ216" s="356"/>
      <c r="BK216" s="82"/>
    </row>
    <row r="217" spans="1:63" outlineLevel="1" x14ac:dyDescent="0.25">
      <c r="A217" s="317">
        <f t="shared" si="53"/>
        <v>20</v>
      </c>
      <c r="B217" s="349" t="s">
        <v>97</v>
      </c>
      <c r="C217" s="406" t="s">
        <v>162</v>
      </c>
      <c r="D217" s="1260">
        <f t="shared" si="56"/>
        <v>52818585.446661174</v>
      </c>
      <c r="E217" s="408">
        <f>'SEF-32 pg 1-34, 46'!K$74</f>
        <v>50695.494465012889</v>
      </c>
      <c r="F217" s="408"/>
      <c r="G217" s="408"/>
      <c r="H217" s="408"/>
      <c r="I217" s="408"/>
      <c r="J217" s="408"/>
      <c r="K217" s="408"/>
      <c r="L217" s="408"/>
      <c r="M217" s="408"/>
      <c r="N217" s="408"/>
      <c r="O217" s="408">
        <f>'SEF-32 pg 1-34, 46'!GG21</f>
        <v>112668.22431831853</v>
      </c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  <c r="Z217" s="408">
        <f>'SEF-32 pg 1-34, 46'!NW21</f>
        <v>-10694852.311386861</v>
      </c>
      <c r="AA217" s="408"/>
      <c r="AB217" s="408"/>
      <c r="AC217" s="408"/>
      <c r="AD217" s="408"/>
      <c r="AE217" s="408"/>
      <c r="AF217" s="408"/>
      <c r="AG217" s="408"/>
      <c r="AH217" s="408"/>
      <c r="AI217" s="408"/>
      <c r="AJ217" s="408"/>
      <c r="AK217" s="408"/>
      <c r="AL217" s="408"/>
      <c r="AM217" s="408"/>
      <c r="AN217" s="408"/>
      <c r="AO217" s="408"/>
      <c r="AP217" s="408"/>
      <c r="AQ217" s="408"/>
      <c r="AR217" s="408"/>
      <c r="AS217" s="408"/>
      <c r="AT217" s="408"/>
      <c r="AU217" s="408"/>
      <c r="AV217" s="408"/>
      <c r="AW217" s="408"/>
      <c r="AX217" s="408"/>
      <c r="AY217" s="408"/>
      <c r="AZ217" s="408"/>
      <c r="BA217" s="408"/>
      <c r="BB217" s="408"/>
      <c r="BC217" s="408"/>
      <c r="BD217" s="408"/>
      <c r="BE217" s="408"/>
      <c r="BF217" s="408"/>
      <c r="BG217" s="357">
        <f t="shared" si="57"/>
        <v>-10531488.592603529</v>
      </c>
      <c r="BH217" s="357">
        <f t="shared" si="58"/>
        <v>42287096.854057647</v>
      </c>
      <c r="BI217" s="82"/>
      <c r="BJ217" s="356"/>
      <c r="BK217" s="82"/>
    </row>
    <row r="218" spans="1:63" outlineLevel="1" x14ac:dyDescent="0.25">
      <c r="A218" s="317">
        <f t="shared" si="53"/>
        <v>21</v>
      </c>
      <c r="B218" s="349" t="s">
        <v>98</v>
      </c>
      <c r="C218" s="406" t="s">
        <v>162</v>
      </c>
      <c r="D218" s="1260">
        <f t="shared" si="56"/>
        <v>4292946.8635766879</v>
      </c>
      <c r="E218" s="408"/>
      <c r="F218" s="408"/>
      <c r="G218" s="408"/>
      <c r="H218" s="408"/>
      <c r="I218" s="408"/>
      <c r="J218" s="408"/>
      <c r="K218" s="408"/>
      <c r="L218" s="408"/>
      <c r="M218" s="408"/>
      <c r="N218" s="408"/>
      <c r="O218" s="408">
        <f>'SEF-32 pg 1-34, 46'!GG22</f>
        <v>30312.392905918823</v>
      </c>
      <c r="P218" s="408"/>
      <c r="Q218" s="408"/>
      <c r="R218" s="408"/>
      <c r="S218" s="408"/>
      <c r="T218" s="408"/>
      <c r="U218" s="408"/>
      <c r="V218" s="408"/>
      <c r="W218" s="408"/>
      <c r="X218" s="408"/>
      <c r="Y218" s="408"/>
      <c r="Z218" s="408">
        <f>'SEF-32 pg 1-34, 46'!NW22</f>
        <v>-637976.08094234113</v>
      </c>
      <c r="AA218" s="408"/>
      <c r="AB218" s="408"/>
      <c r="AC218" s="408"/>
      <c r="AD218" s="408"/>
      <c r="AE218" s="408"/>
      <c r="AF218" s="408"/>
      <c r="AG218" s="408"/>
      <c r="AH218" s="408"/>
      <c r="AI218" s="408"/>
      <c r="AJ218" s="408"/>
      <c r="AK218" s="408"/>
      <c r="AL218" s="408"/>
      <c r="AM218" s="408"/>
      <c r="AN218" s="408"/>
      <c r="AO218" s="408"/>
      <c r="AP218" s="408"/>
      <c r="AQ218" s="408"/>
      <c r="AR218" s="408"/>
      <c r="AS218" s="408"/>
      <c r="AT218" s="408"/>
      <c r="AU218" s="408"/>
      <c r="AV218" s="408"/>
      <c r="AW218" s="408"/>
      <c r="AX218" s="408"/>
      <c r="AY218" s="408"/>
      <c r="AZ218" s="408"/>
      <c r="BA218" s="408"/>
      <c r="BB218" s="408"/>
      <c r="BC218" s="408"/>
      <c r="BD218" s="408"/>
      <c r="BE218" s="408"/>
      <c r="BF218" s="408"/>
      <c r="BG218" s="357">
        <f t="shared" si="57"/>
        <v>-607663.68803642225</v>
      </c>
      <c r="BH218" s="357">
        <f t="shared" si="58"/>
        <v>3685283.1755402656</v>
      </c>
      <c r="BI218" s="82"/>
      <c r="BJ218" s="356"/>
      <c r="BK218" s="82"/>
    </row>
    <row r="219" spans="1:63" outlineLevel="1" x14ac:dyDescent="0.25">
      <c r="A219" s="317">
        <f t="shared" si="53"/>
        <v>22</v>
      </c>
      <c r="B219" s="349" t="s">
        <v>99</v>
      </c>
      <c r="C219" s="406" t="s">
        <v>162</v>
      </c>
      <c r="D219" s="1260">
        <f t="shared" si="56"/>
        <v>0</v>
      </c>
      <c r="E219" s="408"/>
      <c r="F219" s="408"/>
      <c r="G219" s="408"/>
      <c r="H219" s="408"/>
      <c r="I219" s="408"/>
      <c r="J219" s="408"/>
      <c r="K219" s="408"/>
      <c r="L219" s="408"/>
      <c r="M219" s="408"/>
      <c r="N219" s="408"/>
      <c r="O219" s="408"/>
      <c r="P219" s="408"/>
      <c r="Q219" s="408"/>
      <c r="R219" s="408"/>
      <c r="S219" s="408"/>
      <c r="T219" s="408"/>
      <c r="U219" s="408"/>
      <c r="V219" s="408"/>
      <c r="W219" s="408"/>
      <c r="X219" s="408"/>
      <c r="Y219" s="408"/>
      <c r="Z219" s="408"/>
      <c r="AA219" s="408"/>
      <c r="AB219" s="408"/>
      <c r="AC219" s="408"/>
      <c r="AD219" s="408"/>
      <c r="AE219" s="408"/>
      <c r="AF219" s="408"/>
      <c r="AG219" s="408"/>
      <c r="AH219" s="408"/>
      <c r="AI219" s="408"/>
      <c r="AJ219" s="408"/>
      <c r="AK219" s="408"/>
      <c r="AL219" s="408"/>
      <c r="AM219" s="408"/>
      <c r="AN219" s="408"/>
      <c r="AO219" s="408"/>
      <c r="AP219" s="408"/>
      <c r="AQ219" s="408"/>
      <c r="AR219" s="408"/>
      <c r="AS219" s="408"/>
      <c r="AT219" s="408"/>
      <c r="AU219" s="408"/>
      <c r="AV219" s="408"/>
      <c r="AW219" s="408"/>
      <c r="AX219" s="408"/>
      <c r="AY219" s="408"/>
      <c r="AZ219" s="408"/>
      <c r="BA219" s="408"/>
      <c r="BB219" s="408"/>
      <c r="BC219" s="408"/>
      <c r="BD219" s="408"/>
      <c r="BE219" s="408"/>
      <c r="BF219" s="408"/>
      <c r="BG219" s="357">
        <f t="shared" si="57"/>
        <v>0</v>
      </c>
      <c r="BH219" s="357">
        <f t="shared" si="58"/>
        <v>0</v>
      </c>
      <c r="BI219" s="82"/>
      <c r="BJ219" s="356"/>
      <c r="BK219" s="82"/>
    </row>
    <row r="220" spans="1:63" outlineLevel="1" x14ac:dyDescent="0.25">
      <c r="A220" s="317">
        <f t="shared" si="53"/>
        <v>23</v>
      </c>
      <c r="B220" s="349" t="s">
        <v>100</v>
      </c>
      <c r="C220" s="406" t="s">
        <v>162</v>
      </c>
      <c r="D220" s="1272">
        <f t="shared" si="56"/>
        <v>174376996.90552947</v>
      </c>
      <c r="E220" s="370">
        <f>'SEF-32 pg 1-34, 46'!K$75</f>
        <v>39068.660962556176</v>
      </c>
      <c r="F220" s="408"/>
      <c r="G220" s="408"/>
      <c r="H220" s="408"/>
      <c r="I220" s="408"/>
      <c r="J220" s="408"/>
      <c r="K220" s="408"/>
      <c r="L220" s="408"/>
      <c r="M220" s="408"/>
      <c r="N220" s="408"/>
      <c r="O220" s="408">
        <f>'SEF-32 pg 1-34, 46'!GG23+'SEF-32 pg 1-34, 46'!GG24</f>
        <v>565136.10960723949</v>
      </c>
      <c r="P220" s="408"/>
      <c r="Q220" s="408"/>
      <c r="R220" s="408"/>
      <c r="S220" s="408"/>
      <c r="T220" s="408"/>
      <c r="U220" s="408"/>
      <c r="V220" s="408"/>
      <c r="W220" s="408"/>
      <c r="X220" s="408"/>
      <c r="Y220" s="408"/>
      <c r="Z220" s="408">
        <f>'SEF-32 pg 1-34, 46'!NW24</f>
        <v>19277956.036023647</v>
      </c>
      <c r="AA220" s="408"/>
      <c r="AB220" s="408"/>
      <c r="AC220" s="408"/>
      <c r="AD220" s="408"/>
      <c r="AE220" s="408"/>
      <c r="AF220" s="408"/>
      <c r="AG220" s="408"/>
      <c r="AH220" s="408"/>
      <c r="AI220" s="408"/>
      <c r="AJ220" s="408"/>
      <c r="AK220" s="408"/>
      <c r="AL220" s="408"/>
      <c r="AM220" s="408">
        <f>'SEF-32 pg 1-34, 46'!UT18</f>
        <v>138000</v>
      </c>
      <c r="AN220" s="408"/>
      <c r="AO220" s="408">
        <f>'SEF-32 pg 1-34, 46'!VX18</f>
        <v>563096.68671530671</v>
      </c>
      <c r="AP220" s="408"/>
      <c r="AQ220" s="408"/>
      <c r="AR220" s="408"/>
      <c r="AS220" s="408"/>
      <c r="AT220" s="408"/>
      <c r="AU220" s="408"/>
      <c r="AV220" s="408"/>
      <c r="AW220" s="408"/>
      <c r="AX220" s="408"/>
      <c r="AY220" s="408"/>
      <c r="AZ220" s="408">
        <f>+'SEF-32 pg 35-45'!CW25</f>
        <v>0</v>
      </c>
      <c r="BA220" s="408"/>
      <c r="BB220" s="408">
        <f>'SEF-32 pg 35-45'!EG66</f>
        <v>0</v>
      </c>
      <c r="BC220" s="408"/>
      <c r="BD220" s="408"/>
      <c r="BE220" s="408"/>
      <c r="BF220" s="408"/>
      <c r="BG220" s="371">
        <f t="shared" si="57"/>
        <v>20583257.493308745</v>
      </c>
      <c r="BH220" s="371">
        <f t="shared" si="58"/>
        <v>194960254.39883822</v>
      </c>
      <c r="BI220" s="82"/>
      <c r="BJ220" s="356"/>
      <c r="BK220" s="82"/>
    </row>
    <row r="221" spans="1:63" outlineLevel="1" x14ac:dyDescent="0.25">
      <c r="A221" s="317">
        <f t="shared" si="53"/>
        <v>24</v>
      </c>
      <c r="B221" s="349" t="s">
        <v>101</v>
      </c>
      <c r="C221" s="406" t="s">
        <v>162</v>
      </c>
      <c r="D221" s="1260">
        <f t="shared" si="56"/>
        <v>391182723.66973466</v>
      </c>
      <c r="E221" s="408"/>
      <c r="F221" s="411"/>
      <c r="G221" s="411"/>
      <c r="H221" s="411"/>
      <c r="I221" s="411"/>
      <c r="J221" s="411"/>
      <c r="K221" s="411"/>
      <c r="L221" s="411"/>
      <c r="M221" s="411"/>
      <c r="N221" s="411"/>
      <c r="O221" s="408"/>
      <c r="P221" s="411"/>
      <c r="Q221" s="411"/>
      <c r="R221" s="411"/>
      <c r="S221" s="411"/>
      <c r="T221" s="411"/>
      <c r="U221" s="411"/>
      <c r="V221" s="411"/>
      <c r="W221" s="411"/>
      <c r="X221" s="411"/>
      <c r="Y221" s="408"/>
      <c r="Z221" s="411"/>
      <c r="AA221" s="408"/>
      <c r="AB221" s="411"/>
      <c r="AC221" s="411"/>
      <c r="AD221" s="411"/>
      <c r="AE221" s="414">
        <f>'SEF-32 pg 1-34, 46'!$RM$17+'SEF-32 pg 1-34, 46'!$RM$18+'SEF-32 pg 1-34, 46'!RM22+'SEF-32 pg 1-34, 46'!RM23</f>
        <v>-27441.329999983311</v>
      </c>
      <c r="AF221" s="414">
        <f>'SEF-32 pg 1-34, 46'!$SE$16+'SEF-32 pg 1-34, 46'!$SE$17</f>
        <v>-1738872.7199999981</v>
      </c>
      <c r="AG221" s="414">
        <f>'SEF-32 pg 1-34, 46'!$SW$16+'SEF-32 pg 1-34, 46'!$SW$17</f>
        <v>14684991.261824999</v>
      </c>
      <c r="AH221" s="414">
        <f>'SEF-32 pg 1-34, 46'!$SW$34+'SEF-32 pg 1-34, 46'!$SW$35</f>
        <v>3596245.0900000008</v>
      </c>
      <c r="AI221" s="414">
        <f>'SEF-32 pg 1-34, 46'!$SW$52+'SEF-32 pg 1-34, 46'!$SW$53</f>
        <v>4452175.21</v>
      </c>
      <c r="AJ221" s="414">
        <f>'SEF-32 pg 1-34, 46'!$SW$70+'SEF-32 pg 1-34, 46'!$SW$71</f>
        <v>8092284.6613400038</v>
      </c>
      <c r="AK221" s="414"/>
      <c r="AL221" s="414"/>
      <c r="AM221" s="414"/>
      <c r="AN221" s="414"/>
      <c r="AO221" s="414"/>
      <c r="AP221" s="414"/>
      <c r="AQ221" s="414"/>
      <c r="AR221" s="414"/>
      <c r="AS221" s="414"/>
      <c r="AT221" s="414"/>
      <c r="AU221" s="414"/>
      <c r="AV221" s="411"/>
      <c r="AW221" s="414">
        <f>'SEF-32 pg 35-45'!AU24</f>
        <v>0</v>
      </c>
      <c r="AX221" s="411"/>
      <c r="AY221" s="411"/>
      <c r="AZ221" s="412"/>
      <c r="BA221" s="411"/>
      <c r="BB221" s="414">
        <f>'SEF-32 pg 35-45'!EG62</f>
        <v>0</v>
      </c>
      <c r="BC221" s="415"/>
      <c r="BD221" s="411"/>
      <c r="BE221" s="411"/>
      <c r="BF221" s="408">
        <f>'SEF-32 pg 35-45'!HA17+'SEF-32 pg 35-45'!HA18</f>
        <v>0</v>
      </c>
      <c r="BG221" s="357">
        <f t="shared" si="57"/>
        <v>29059382.173165023</v>
      </c>
      <c r="BH221" s="357">
        <f t="shared" si="58"/>
        <v>420242105.84289968</v>
      </c>
      <c r="BI221" s="82"/>
      <c r="BJ221" s="356"/>
      <c r="BK221" s="82"/>
    </row>
    <row r="222" spans="1:63" outlineLevel="1" x14ac:dyDescent="0.25">
      <c r="A222" s="317">
        <f t="shared" si="53"/>
        <v>25</v>
      </c>
      <c r="B222" s="349" t="s">
        <v>102</v>
      </c>
      <c r="C222" s="406" t="s">
        <v>162</v>
      </c>
      <c r="D222" s="1260">
        <f t="shared" si="56"/>
        <v>78585847.724409714</v>
      </c>
      <c r="E222" s="408"/>
      <c r="F222" s="408"/>
      <c r="G222" s="408"/>
      <c r="H222" s="408"/>
      <c r="I222" s="408"/>
      <c r="J222" s="408"/>
      <c r="K222" s="408"/>
      <c r="L222" s="408"/>
      <c r="M222" s="408"/>
      <c r="N222" s="408"/>
      <c r="O222" s="408"/>
      <c r="P222" s="408"/>
      <c r="Q222" s="408"/>
      <c r="R222" s="408"/>
      <c r="S222" s="408"/>
      <c r="T222" s="408"/>
      <c r="U222" s="408"/>
      <c r="V222" s="408"/>
      <c r="W222" s="408"/>
      <c r="X222" s="408"/>
      <c r="Y222" s="408"/>
      <c r="Z222" s="408"/>
      <c r="AA222" s="408"/>
      <c r="AB222" s="408"/>
      <c r="AC222" s="408"/>
      <c r="AD222" s="408"/>
      <c r="AE222" s="408">
        <f>'SEF-32 pg 1-34, 46'!$RM$19+'SEF-32 pg 1-34, 46'!$RM$20</f>
        <v>-6160680.0980048627</v>
      </c>
      <c r="AF222" s="408">
        <f>'SEF-32 pg 1-34, 46'!$SE$18+'SEF-32 pg 1-34, 46'!$SE$19</f>
        <v>0</v>
      </c>
      <c r="AG222" s="408">
        <f>'SEF-32 pg 1-34, 46'!$SW$18+'SEF-32 pg 1-34, 46'!$SW$19</f>
        <v>6358783.1391150001</v>
      </c>
      <c r="AH222" s="408">
        <f>'SEF-32 pg 1-34, 46'!$SW$36+'SEF-32 pg 1-34, 46'!$SW$37</f>
        <v>87905.459999999992</v>
      </c>
      <c r="AI222" s="408">
        <f>'SEF-32 pg 1-34, 46'!$SW$54+'SEF-32 pg 1-34, 46'!$SW$55</f>
        <v>0</v>
      </c>
      <c r="AJ222" s="408">
        <f>'SEF-32 pg 1-34, 46'!$SW$72+'SEF-32 pg 1-34, 46'!$SW$73</f>
        <v>12383060.36665</v>
      </c>
      <c r="AK222" s="408"/>
      <c r="AL222" s="408"/>
      <c r="AM222" s="408"/>
      <c r="AN222" s="408"/>
      <c r="AO222" s="408"/>
      <c r="AP222" s="408"/>
      <c r="AQ222" s="408"/>
      <c r="AR222" s="408"/>
      <c r="AS222" s="408"/>
      <c r="AT222" s="408"/>
      <c r="AU222" s="408"/>
      <c r="AV222" s="408"/>
      <c r="AW222" s="408"/>
      <c r="AX222" s="408"/>
      <c r="AY222" s="408"/>
      <c r="AZ222" s="408">
        <f>+'SEF-32 pg 35-45'!CW24</f>
        <v>0</v>
      </c>
      <c r="BA222" s="408"/>
      <c r="BB222" s="408"/>
      <c r="BC222" s="408">
        <f>'SEF-32 pg 35-45'!EY37</f>
        <v>0</v>
      </c>
      <c r="BD222" s="408"/>
      <c r="BE222" s="408"/>
      <c r="BF222" s="408"/>
      <c r="BG222" s="357">
        <f t="shared" si="57"/>
        <v>12669068.867760137</v>
      </c>
      <c r="BH222" s="357">
        <f t="shared" si="58"/>
        <v>91254916.592169851</v>
      </c>
      <c r="BI222" s="82"/>
      <c r="BJ222" s="356"/>
      <c r="BK222" s="82"/>
    </row>
    <row r="223" spans="1:63" outlineLevel="1" x14ac:dyDescent="0.25">
      <c r="A223" s="317">
        <f t="shared" si="53"/>
        <v>26</v>
      </c>
      <c r="B223" s="369" t="s">
        <v>103</v>
      </c>
      <c r="C223" s="406" t="s">
        <v>162</v>
      </c>
      <c r="D223" s="1260">
        <f t="shared" si="56"/>
        <v>34245088.449854851</v>
      </c>
      <c r="E223" s="408"/>
      <c r="F223" s="408"/>
      <c r="G223" s="408"/>
      <c r="H223" s="408"/>
      <c r="I223" s="408"/>
      <c r="J223" s="408"/>
      <c r="K223" s="408"/>
      <c r="L223" s="408"/>
      <c r="M223" s="408"/>
      <c r="N223" s="408"/>
      <c r="O223" s="408"/>
      <c r="P223" s="408"/>
      <c r="Q223" s="408"/>
      <c r="R223" s="408"/>
      <c r="S223" s="408"/>
      <c r="T223" s="408"/>
      <c r="U223" s="408"/>
      <c r="V223" s="408"/>
      <c r="W223" s="408"/>
      <c r="X223" s="408"/>
      <c r="Y223" s="408"/>
      <c r="Z223" s="408"/>
      <c r="AA223" s="408"/>
      <c r="AB223" s="408"/>
      <c r="AC223" s="408"/>
      <c r="AD223" s="408"/>
      <c r="AE223" s="408"/>
      <c r="AF223" s="408"/>
      <c r="AG223" s="408"/>
      <c r="AH223" s="408"/>
      <c r="AI223" s="408"/>
      <c r="AJ223" s="408"/>
      <c r="AK223" s="408"/>
      <c r="AL223" s="408"/>
      <c r="AM223" s="408"/>
      <c r="AN223" s="408"/>
      <c r="AO223" s="408"/>
      <c r="AP223" s="408"/>
      <c r="AQ223" s="408"/>
      <c r="AR223" s="408"/>
      <c r="AS223" s="408"/>
      <c r="AT223" s="408"/>
      <c r="AU223" s="408"/>
      <c r="AV223" s="408"/>
      <c r="AW223" s="408"/>
      <c r="AX223" s="408">
        <f>'SEF-32 pg 35-45'!BM24</f>
        <v>0</v>
      </c>
      <c r="AY223" s="408"/>
      <c r="AZ223" s="408"/>
      <c r="BA223" s="408">
        <f>'SEF-32 pg 35-45'!DO$26</f>
        <v>-5309457.8471022025</v>
      </c>
      <c r="BB223" s="408"/>
      <c r="BC223" s="408"/>
      <c r="BD223" s="408"/>
      <c r="BE223" s="408"/>
      <c r="BF223" s="408"/>
      <c r="BG223" s="357">
        <f t="shared" si="57"/>
        <v>-5309457.8471022025</v>
      </c>
      <c r="BH223" s="357">
        <f t="shared" si="58"/>
        <v>28935630.602752648</v>
      </c>
      <c r="BI223" s="82"/>
      <c r="BJ223" s="356"/>
      <c r="BK223" s="82"/>
    </row>
    <row r="224" spans="1:63" outlineLevel="1" x14ac:dyDescent="0.25">
      <c r="A224" s="317">
        <f t="shared" si="53"/>
        <v>27</v>
      </c>
      <c r="B224" s="349" t="s">
        <v>104</v>
      </c>
      <c r="C224" s="406" t="s">
        <v>162</v>
      </c>
      <c r="D224" s="1260">
        <f t="shared" si="56"/>
        <v>18803454.521612987</v>
      </c>
      <c r="E224" s="408">
        <f>'SEF-32 pg 1-34, 46'!K$72</f>
        <v>0</v>
      </c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>
        <f>'SEF-32 pg 1-34, 46'!JA19</f>
        <v>-20379.006666666828</v>
      </c>
      <c r="T224" s="408"/>
      <c r="U224" s="408"/>
      <c r="V224" s="408"/>
      <c r="W224" s="408"/>
      <c r="X224" s="408"/>
      <c r="Y224" s="408"/>
      <c r="Z224" s="408"/>
      <c r="AA224" s="408"/>
      <c r="AB224" s="408">
        <f>+'SEF-32 pg 1-34, 46'!PG48</f>
        <v>9678037.1957844663</v>
      </c>
      <c r="AC224" s="408">
        <f>'SEF-32 pg 1-34, 46'!QC17</f>
        <v>-289207.72884027404</v>
      </c>
      <c r="AD224" s="408"/>
      <c r="AE224" s="408"/>
      <c r="AF224" s="408"/>
      <c r="AG224" s="408"/>
      <c r="AH224" s="408"/>
      <c r="AI224" s="408"/>
      <c r="AJ224" s="408"/>
      <c r="AK224" s="408"/>
      <c r="AL224" s="370">
        <f>'SEF-32 pg 1-34, 46'!UE24</f>
        <v>10256948.971938133</v>
      </c>
      <c r="AM224" s="408"/>
      <c r="AN224" s="408">
        <f>'SEF-32 pg 1-34, 46'!VI28</f>
        <v>7499999.9999999525</v>
      </c>
      <c r="AO224" s="408"/>
      <c r="AP224" s="370">
        <f>'SEF-32 pg 1-34, 46'!WM16</f>
        <v>2539368.3461099998</v>
      </c>
      <c r="AQ224" s="408"/>
      <c r="AR224" s="408"/>
      <c r="AS224" s="408"/>
      <c r="AT224" s="408"/>
      <c r="AU224" s="408"/>
      <c r="AV224" s="408"/>
      <c r="AW224" s="408"/>
      <c r="AX224" s="408"/>
      <c r="AY224" s="408">
        <f>'SEF-32 pg 35-45'!CE62-'SEF-32 pg 35-45'!CE51</f>
        <v>-2665301.9049776923</v>
      </c>
      <c r="AZ224" s="408"/>
      <c r="BA224" s="408"/>
      <c r="BB224" s="408"/>
      <c r="BC224" s="408"/>
      <c r="BD224" s="408"/>
      <c r="BE224" s="408">
        <f>+'SEF-32 pg 35-45'!GI35</f>
        <v>431584.74000000005</v>
      </c>
      <c r="BF224" s="408">
        <f>+'SEF-32 pg 35-45'!HA32</f>
        <v>1523071.2922728797</v>
      </c>
      <c r="BG224" s="371">
        <f t="shared" si="57"/>
        <v>28954121.905620802</v>
      </c>
      <c r="BH224" s="371">
        <f t="shared" si="58"/>
        <v>47757576.427233785</v>
      </c>
      <c r="BI224" s="82"/>
      <c r="BJ224" s="356"/>
      <c r="BK224" s="82"/>
    </row>
    <row r="225" spans="1:66" outlineLevel="1" x14ac:dyDescent="0.25">
      <c r="A225" s="317">
        <f t="shared" si="53"/>
        <v>28</v>
      </c>
      <c r="B225" s="349" t="s">
        <v>105</v>
      </c>
      <c r="C225" s="406" t="s">
        <v>162</v>
      </c>
      <c r="D225" s="1260">
        <f t="shared" si="56"/>
        <v>97820600.595367789</v>
      </c>
      <c r="E225" s="408">
        <f>'SEF-32 pg 1-34, 46'!K$76</f>
        <v>300695.85596440989</v>
      </c>
      <c r="F225" s="408"/>
      <c r="G225" s="408"/>
      <c r="H225" s="408"/>
      <c r="I225" s="408"/>
      <c r="J225" s="408"/>
      <c r="K225" s="408"/>
      <c r="L225" s="408"/>
      <c r="M225" s="408"/>
      <c r="N225" s="408"/>
      <c r="O225" s="408">
        <f>'SEF-32 pg 1-34, 46'!GG27</f>
        <v>7157.2686037347394</v>
      </c>
      <c r="P225" s="408"/>
      <c r="Q225" s="408"/>
      <c r="R225" s="408"/>
      <c r="S225" s="408"/>
      <c r="T225" s="408"/>
      <c r="U225" s="408"/>
      <c r="V225" s="408"/>
      <c r="W225" s="408"/>
      <c r="X225" s="408"/>
      <c r="Y225" s="408"/>
      <c r="Z225" s="408">
        <f>'SEF-32 pg 1-34, 46'!NW25</f>
        <v>-1768139.9129227027</v>
      </c>
      <c r="AA225" s="408"/>
      <c r="AB225" s="408"/>
      <c r="AC225" s="408"/>
      <c r="AD225" s="408"/>
      <c r="AE225" s="408"/>
      <c r="AF225" s="408"/>
      <c r="AG225" s="408"/>
      <c r="AH225" s="408"/>
      <c r="AI225" s="408"/>
      <c r="AJ225" s="408"/>
      <c r="AK225" s="408"/>
      <c r="AL225" s="408"/>
      <c r="AM225" s="408"/>
      <c r="AN225" s="408"/>
      <c r="AO225" s="408"/>
      <c r="AP225" s="370"/>
      <c r="AQ225" s="408"/>
      <c r="AR225" s="408"/>
      <c r="AS225" s="408"/>
      <c r="AT225" s="408"/>
      <c r="AU225" s="408"/>
      <c r="AV225" s="408">
        <f>+'SEF-32 pg 35-45'!K37</f>
        <v>73901.136427062971</v>
      </c>
      <c r="AW225" s="408"/>
      <c r="AX225" s="408"/>
      <c r="AY225" s="408"/>
      <c r="AZ225" s="408"/>
      <c r="BA225" s="408"/>
      <c r="BB225" s="408">
        <f>'SEF-32 pg 35-45'!EG69</f>
        <v>0</v>
      </c>
      <c r="BC225" s="408"/>
      <c r="BD225" s="408"/>
      <c r="BE225" s="408"/>
      <c r="BF225" s="408"/>
      <c r="BG225" s="357">
        <f t="shared" si="57"/>
        <v>-1386385.6519274951</v>
      </c>
      <c r="BH225" s="357">
        <f t="shared" si="58"/>
        <v>96434214.943440288</v>
      </c>
      <c r="BI225" s="82"/>
      <c r="BJ225" s="356"/>
      <c r="BK225" s="82"/>
    </row>
    <row r="226" spans="1:66" outlineLevel="1" x14ac:dyDescent="0.25">
      <c r="A226" s="317">
        <f t="shared" si="53"/>
        <v>29</v>
      </c>
      <c r="B226" s="349" t="s">
        <v>106</v>
      </c>
      <c r="C226" s="406" t="s">
        <v>162</v>
      </c>
      <c r="D226" s="1272">
        <f t="shared" si="56"/>
        <v>7729696.0871213228</v>
      </c>
      <c r="E226" s="370">
        <f>'SEF-32 pg 1-34, 46'!K$81</f>
        <v>1558887.1580350436</v>
      </c>
      <c r="F226" s="408"/>
      <c r="G226" s="408"/>
      <c r="H226" s="408">
        <f>+'SEF-32 pg 1-34, 46'!BK16</f>
        <v>0</v>
      </c>
      <c r="I226" s="408">
        <f>+'SEF-32 pg 1-34, 46'!CC23</f>
        <v>-835836.62346682185</v>
      </c>
      <c r="J226" s="408"/>
      <c r="K226" s="408"/>
      <c r="L226" s="408"/>
      <c r="M226" s="408"/>
      <c r="N226" s="408"/>
      <c r="O226" s="408">
        <f>'SEF-32 pg 1-34, 46'!GG30</f>
        <v>-18602.214805591087</v>
      </c>
      <c r="P226" s="408"/>
      <c r="Q226" s="408"/>
      <c r="R226" s="408"/>
      <c r="S226" s="408">
        <f>'SEF-32 pg 1-34, 46'!JA21</f>
        <v>4279.5914000000339</v>
      </c>
      <c r="T226" s="408"/>
      <c r="U226" s="408"/>
      <c r="V226" s="408"/>
      <c r="W226" s="408"/>
      <c r="X226" s="408"/>
      <c r="Y226" s="408"/>
      <c r="Z226" s="408">
        <f>'SEF-32 pg 1-34, 46'!NW32</f>
        <v>-6399764.7811623113</v>
      </c>
      <c r="AA226" s="408"/>
      <c r="AB226" s="408">
        <f>'SEF-32 pg 1-34, 46'!PG52</f>
        <v>-2032387.8111147378</v>
      </c>
      <c r="AC226" s="408">
        <f>'SEF-32 pg 1-34, 46'!QC20</f>
        <v>60733.623056457545</v>
      </c>
      <c r="AD226" s="408"/>
      <c r="AE226" s="408">
        <f>'SEF-32 pg 1-34, 46'!$RM$29</f>
        <v>1299505.4998810177</v>
      </c>
      <c r="AF226" s="408">
        <f>'SEF-32 pg 1-34, 46'!$SE$28</f>
        <v>365163.27119999961</v>
      </c>
      <c r="AG226" s="408">
        <f>'SEF-32 pg 1-34, 46'!$SW$24</f>
        <v>-4419192.6241974002</v>
      </c>
      <c r="AH226" s="408">
        <f>'SEF-32 pg 1-34, 46'!$SW$42</f>
        <v>-773671.61550000007</v>
      </c>
      <c r="AI226" s="408">
        <f>'SEF-32 pg 1-34, 46'!$SW$60</f>
        <v>-934956.79409999994</v>
      </c>
      <c r="AJ226" s="408">
        <f>'SEF-32 pg 1-34, 46'!$SW$78</f>
        <v>-4299822.4558779011</v>
      </c>
      <c r="AK226" s="408"/>
      <c r="AL226" s="370">
        <f>'SEF-32 pg 1-34, 46'!UE26</f>
        <v>-2153959.284107008</v>
      </c>
      <c r="AM226" s="408">
        <f>'SEF-32 pg 1-34, 46'!UT23</f>
        <v>-28980</v>
      </c>
      <c r="AN226" s="408">
        <f>'SEF-32 pg 1-34, 46'!VI30</f>
        <v>-1574999.99999999</v>
      </c>
      <c r="AO226" s="408">
        <f>'SEF-32 pg 1-34, 46'!VX20</f>
        <v>-118250.30421021441</v>
      </c>
      <c r="AP226" s="370">
        <f>'SEF-32 pg 1-34, 46'!WM20</f>
        <v>-533267.35268309992</v>
      </c>
      <c r="AQ226" s="408"/>
      <c r="AR226" s="408"/>
      <c r="AS226" s="408"/>
      <c r="AT226" s="408"/>
      <c r="AU226" s="408"/>
      <c r="AV226" s="370">
        <f>+'SEF-32 pg 35-45'!K40</f>
        <v>-29026173.779580604</v>
      </c>
      <c r="AW226" s="408"/>
      <c r="AX226" s="408">
        <f>'SEF-32 pg 35-45'!BM28</f>
        <v>-214482.41814999995</v>
      </c>
      <c r="AY226" s="408">
        <f>'SEF-32 pg 35-45'!CE64</f>
        <v>559713.40004531539</v>
      </c>
      <c r="AZ226" s="416">
        <f>+'SEF-32 pg 35-45'!CW28</f>
        <v>0</v>
      </c>
      <c r="BA226" s="416">
        <f>'SEF-32 pg 35-45'!DO$28</f>
        <v>1114986.1478914625</v>
      </c>
      <c r="BB226" s="408">
        <f>'SEF-32 pg 35-45'!EG70+'SEF-32 pg 35-45'!EG73+'SEF-32 pg 35-45'!EG75</f>
        <v>0</v>
      </c>
      <c r="BC226" s="415">
        <f>'SEF-32 pg 35-45'!EY41</f>
        <v>0</v>
      </c>
      <c r="BD226" s="408"/>
      <c r="BE226" s="408">
        <f>+'SEF-32 pg 35-45'!GI41</f>
        <v>-182761.42345030766</v>
      </c>
      <c r="BF226" s="408">
        <f>'SEF-32 pg 35-45'!HA36</f>
        <v>-319844.97137730476</v>
      </c>
      <c r="BG226" s="371">
        <f t="shared" si="57"/>
        <v>-48903685.762273997</v>
      </c>
      <c r="BH226" s="371">
        <f t="shared" si="58"/>
        <v>-41173989.675152674</v>
      </c>
      <c r="BI226" s="82"/>
      <c r="BJ226" s="356"/>
      <c r="BK226" s="82"/>
    </row>
    <row r="227" spans="1:66" outlineLevel="1" x14ac:dyDescent="0.25">
      <c r="A227" s="317">
        <f t="shared" si="53"/>
        <v>30</v>
      </c>
      <c r="B227" s="365" t="s">
        <v>107</v>
      </c>
      <c r="C227" s="406" t="s">
        <v>162</v>
      </c>
      <c r="D227" s="1260">
        <f t="shared" si="56"/>
        <v>-45950068.6680554</v>
      </c>
      <c r="E227" s="408"/>
      <c r="F227" s="408"/>
      <c r="G227" s="408"/>
      <c r="H227" s="408">
        <f>SUM('SEF-32 pg 1-34, 46'!BK17:BK21)</f>
        <v>-455130.5393555006</v>
      </c>
      <c r="I227" s="408"/>
      <c r="J227" s="408"/>
      <c r="K227" s="408"/>
      <c r="L227" s="408"/>
      <c r="M227" s="408"/>
      <c r="N227" s="408"/>
      <c r="O227" s="408"/>
      <c r="P227" s="408"/>
      <c r="Q227" s="408"/>
      <c r="R227" s="408"/>
      <c r="S227" s="408"/>
      <c r="T227" s="408"/>
      <c r="U227" s="408"/>
      <c r="V227" s="408"/>
      <c r="W227" s="408"/>
      <c r="X227" s="408"/>
      <c r="Y227" s="408"/>
      <c r="Z227" s="408"/>
      <c r="AA227" s="408"/>
      <c r="AB227" s="408"/>
      <c r="AC227" s="408"/>
      <c r="AD227" s="408"/>
      <c r="AE227" s="408"/>
      <c r="AF227" s="408"/>
      <c r="AG227" s="408"/>
      <c r="AH227" s="408"/>
      <c r="AI227" s="408"/>
      <c r="AJ227" s="408"/>
      <c r="AK227" s="408"/>
      <c r="AL227" s="408"/>
      <c r="AM227" s="408"/>
      <c r="AN227" s="408"/>
      <c r="AO227" s="408"/>
      <c r="AP227" s="370"/>
      <c r="AQ227" s="408"/>
      <c r="AR227" s="408"/>
      <c r="AS227" s="408"/>
      <c r="AT227" s="408"/>
      <c r="AU227" s="408"/>
      <c r="AV227" s="408"/>
      <c r="AW227" s="408">
        <f>'SEF-32 pg 35-45'!AU28</f>
        <v>0</v>
      </c>
      <c r="AX227" s="408"/>
      <c r="AY227" s="408"/>
      <c r="AZ227" s="408"/>
      <c r="BA227" s="408"/>
      <c r="BB227" s="408"/>
      <c r="BC227" s="408"/>
      <c r="BD227" s="408"/>
      <c r="BE227" s="408"/>
      <c r="BF227" s="408"/>
      <c r="BG227" s="357">
        <f t="shared" si="57"/>
        <v>-455130.5393555006</v>
      </c>
      <c r="BH227" s="357">
        <f t="shared" si="58"/>
        <v>-46405199.207410902</v>
      </c>
      <c r="BI227" s="82"/>
      <c r="BJ227" s="356"/>
      <c r="BK227" s="82"/>
    </row>
    <row r="228" spans="1:66" outlineLevel="1" x14ac:dyDescent="0.25">
      <c r="A228" s="317">
        <f t="shared" si="53"/>
        <v>31</v>
      </c>
      <c r="B228" s="349" t="s">
        <v>109</v>
      </c>
      <c r="C228" s="406" t="s">
        <v>162</v>
      </c>
      <c r="D228" s="1281">
        <f>SUM(D212:D227)</f>
        <v>2958965799.2647686</v>
      </c>
      <c r="E228" s="372">
        <f t="shared" ref="E228:BF228" si="59">SUM(E212:E227)</f>
        <v>1949347.1694270226</v>
      </c>
      <c r="F228" s="409">
        <f t="shared" si="59"/>
        <v>0</v>
      </c>
      <c r="G228" s="409">
        <f t="shared" si="59"/>
        <v>0</v>
      </c>
      <c r="H228" s="409">
        <f t="shared" si="59"/>
        <v>-455130.5393555006</v>
      </c>
      <c r="I228" s="409">
        <f t="shared" si="59"/>
        <v>-835836.62346682185</v>
      </c>
      <c r="J228" s="409">
        <f t="shared" si="59"/>
        <v>0</v>
      </c>
      <c r="K228" s="409">
        <f t="shared" si="59"/>
        <v>0</v>
      </c>
      <c r="L228" s="409">
        <f t="shared" si="59"/>
        <v>0</v>
      </c>
      <c r="M228" s="409">
        <f t="shared" si="59"/>
        <v>0</v>
      </c>
      <c r="N228" s="409">
        <f t="shared" si="59"/>
        <v>0</v>
      </c>
      <c r="O228" s="409">
        <f t="shared" si="59"/>
        <v>69979.760459128389</v>
      </c>
      <c r="P228" s="409">
        <f t="shared" si="59"/>
        <v>0</v>
      </c>
      <c r="Q228" s="409">
        <f t="shared" si="59"/>
        <v>0</v>
      </c>
      <c r="R228" s="409">
        <f t="shared" si="59"/>
        <v>0</v>
      </c>
      <c r="S228" s="409">
        <f t="shared" si="59"/>
        <v>-16099.415266666794</v>
      </c>
      <c r="T228" s="409">
        <f t="shared" si="59"/>
        <v>0</v>
      </c>
      <c r="U228" s="409">
        <f t="shared" si="59"/>
        <v>0</v>
      </c>
      <c r="V228" s="409">
        <f t="shared" si="59"/>
        <v>0</v>
      </c>
      <c r="W228" s="409">
        <f t="shared" si="59"/>
        <v>0</v>
      </c>
      <c r="X228" s="409">
        <f t="shared" si="59"/>
        <v>0</v>
      </c>
      <c r="Y228" s="409">
        <f t="shared" si="59"/>
        <v>0</v>
      </c>
      <c r="Z228" s="409">
        <f t="shared" si="59"/>
        <v>24075305.605324887</v>
      </c>
      <c r="AA228" s="409">
        <f t="shared" si="59"/>
        <v>0</v>
      </c>
      <c r="AB228" s="409">
        <f t="shared" si="59"/>
        <v>7645649.3846697286</v>
      </c>
      <c r="AC228" s="409">
        <f t="shared" si="59"/>
        <v>-228474.10578381649</v>
      </c>
      <c r="AD228" s="409">
        <f t="shared" si="59"/>
        <v>0</v>
      </c>
      <c r="AE228" s="409">
        <f t="shared" si="59"/>
        <v>-4888615.928123828</v>
      </c>
      <c r="AF228" s="409">
        <f t="shared" si="59"/>
        <v>-1373709.4487999985</v>
      </c>
      <c r="AG228" s="409">
        <f t="shared" si="59"/>
        <v>16624581.7767426</v>
      </c>
      <c r="AH228" s="409">
        <f t="shared" si="59"/>
        <v>2910478.9345000004</v>
      </c>
      <c r="AI228" s="409">
        <f t="shared" si="59"/>
        <v>3517218.4158999999</v>
      </c>
      <c r="AJ228" s="409">
        <f t="shared" si="59"/>
        <v>16175522.572112106</v>
      </c>
      <c r="AK228" s="409">
        <f>SUM(AK212:AK227)</f>
        <v>0</v>
      </c>
      <c r="AL228" s="372">
        <f>SUM(AL212:AL227)</f>
        <v>8102989.6878311252</v>
      </c>
      <c r="AM228" s="409">
        <f>SUM(AM212:AM227)</f>
        <v>109020</v>
      </c>
      <c r="AN228" s="409">
        <f t="shared" ref="AN228:AV228" si="60">SUM(AN212:AN227)</f>
        <v>5924999.9999999627</v>
      </c>
      <c r="AO228" s="409">
        <f t="shared" si="60"/>
        <v>444846.3825050923</v>
      </c>
      <c r="AP228" s="372">
        <f t="shared" si="60"/>
        <v>2006100.9934268999</v>
      </c>
      <c r="AQ228" s="409">
        <f t="shared" si="60"/>
        <v>0</v>
      </c>
      <c r="AR228" s="409">
        <f t="shared" si="60"/>
        <v>0</v>
      </c>
      <c r="AS228" s="409">
        <f t="shared" si="60"/>
        <v>0</v>
      </c>
      <c r="AT228" s="409">
        <f t="shared" si="60"/>
        <v>0</v>
      </c>
      <c r="AU228" s="409">
        <f t="shared" si="60"/>
        <v>0</v>
      </c>
      <c r="AV228" s="372">
        <f t="shared" si="60"/>
        <v>-143252364.3482126</v>
      </c>
      <c r="AW228" s="409">
        <f t="shared" si="59"/>
        <v>0</v>
      </c>
      <c r="AX228" s="409">
        <f t="shared" si="59"/>
        <v>806862.43018333323</v>
      </c>
      <c r="AY228" s="409">
        <f t="shared" si="59"/>
        <v>-2105588.504932377</v>
      </c>
      <c r="AZ228" s="409">
        <f t="shared" si="59"/>
        <v>0</v>
      </c>
      <c r="BA228" s="409">
        <f t="shared" si="59"/>
        <v>-4194471.6992107397</v>
      </c>
      <c r="BB228" s="409">
        <f t="shared" si="59"/>
        <v>0</v>
      </c>
      <c r="BC228" s="409">
        <f t="shared" si="59"/>
        <v>0</v>
      </c>
      <c r="BD228" s="409">
        <f t="shared" si="59"/>
        <v>0</v>
      </c>
      <c r="BE228" s="409">
        <f>SUM(BE212:BE227)</f>
        <v>248823.31654969239</v>
      </c>
      <c r="BF228" s="409">
        <f t="shared" si="59"/>
        <v>1203226.320895575</v>
      </c>
      <c r="BG228" s="373">
        <f>SUM(BG212:BG227)</f>
        <v>-65535337.862625256</v>
      </c>
      <c r="BH228" s="373">
        <f>SUM(BH212:BH227)</f>
        <v>2893430461.402143</v>
      </c>
      <c r="BI228" s="82"/>
      <c r="BJ228" s="356"/>
      <c r="BK228" s="82"/>
    </row>
    <row r="229" spans="1:66" outlineLevel="1" x14ac:dyDescent="0.25">
      <c r="A229" s="317">
        <f t="shared" si="53"/>
        <v>32</v>
      </c>
      <c r="B229" s="365"/>
      <c r="C229" s="406" t="s">
        <v>162</v>
      </c>
      <c r="D229" s="1264"/>
      <c r="E229" s="417"/>
      <c r="F229" s="417"/>
      <c r="G229" s="417"/>
      <c r="H229" s="417"/>
      <c r="I229" s="417"/>
      <c r="J229" s="417"/>
      <c r="K229" s="417"/>
      <c r="L229" s="417"/>
      <c r="M229" s="417"/>
      <c r="N229" s="417"/>
      <c r="O229" s="417"/>
      <c r="P229" s="417"/>
      <c r="Q229" s="417"/>
      <c r="R229" s="417"/>
      <c r="S229" s="417"/>
      <c r="T229" s="417"/>
      <c r="U229" s="417"/>
      <c r="V229" s="417"/>
      <c r="W229" s="417"/>
      <c r="X229" s="417"/>
      <c r="Y229" s="417"/>
      <c r="Z229" s="417"/>
      <c r="AA229" s="417"/>
      <c r="AB229" s="417"/>
      <c r="AC229" s="417"/>
      <c r="AD229" s="417"/>
      <c r="AE229" s="417"/>
      <c r="AF229" s="417"/>
      <c r="AG229" s="417"/>
      <c r="AH229" s="417"/>
      <c r="AI229" s="417"/>
      <c r="AJ229" s="417"/>
      <c r="AK229" s="417"/>
      <c r="AL229" s="417"/>
      <c r="AM229" s="417"/>
      <c r="AN229" s="417"/>
      <c r="AO229" s="417"/>
      <c r="AP229" s="418"/>
      <c r="AQ229" s="417"/>
      <c r="AR229" s="417"/>
      <c r="AS229" s="417"/>
      <c r="AT229" s="417"/>
      <c r="AU229" s="417"/>
      <c r="AV229" s="417"/>
      <c r="AW229" s="417"/>
      <c r="AX229" s="417"/>
      <c r="AY229" s="417"/>
      <c r="AZ229" s="417"/>
      <c r="BA229" s="417"/>
      <c r="BB229" s="417"/>
      <c r="BC229" s="417"/>
      <c r="BD229" s="417"/>
      <c r="BE229" s="417"/>
      <c r="BF229" s="417"/>
      <c r="BG229" s="374"/>
      <c r="BH229" s="374"/>
      <c r="BI229" s="82"/>
      <c r="BJ229" s="356"/>
      <c r="BK229" s="82"/>
    </row>
    <row r="230" spans="1:66" ht="15.75" outlineLevel="1" thickBot="1" x14ac:dyDescent="0.3">
      <c r="A230" s="317">
        <f t="shared" si="53"/>
        <v>33</v>
      </c>
      <c r="B230" s="365" t="s">
        <v>110</v>
      </c>
      <c r="C230" s="406" t="s">
        <v>162</v>
      </c>
      <c r="D230" s="1282">
        <f>+D203-D228</f>
        <v>95938723.658211231</v>
      </c>
      <c r="E230" s="377">
        <f t="shared" ref="E230:BF230" si="61">+E203-E228</f>
        <v>5864385.0230842121</v>
      </c>
      <c r="F230" s="419">
        <f t="shared" si="61"/>
        <v>0</v>
      </c>
      <c r="G230" s="419">
        <f t="shared" si="61"/>
        <v>0</v>
      </c>
      <c r="H230" s="419">
        <f t="shared" si="61"/>
        <v>455130.5393555006</v>
      </c>
      <c r="I230" s="419">
        <f t="shared" si="61"/>
        <v>835836.62346682185</v>
      </c>
      <c r="J230" s="419">
        <f t="shared" si="61"/>
        <v>0</v>
      </c>
      <c r="K230" s="419">
        <f t="shared" si="61"/>
        <v>0</v>
      </c>
      <c r="L230" s="419">
        <f t="shared" si="61"/>
        <v>0</v>
      </c>
      <c r="M230" s="419">
        <f t="shared" si="61"/>
        <v>0</v>
      </c>
      <c r="N230" s="419">
        <f t="shared" si="61"/>
        <v>0</v>
      </c>
      <c r="O230" s="419">
        <f t="shared" si="61"/>
        <v>-69979.760459128389</v>
      </c>
      <c r="P230" s="419">
        <f t="shared" si="61"/>
        <v>0</v>
      </c>
      <c r="Q230" s="419">
        <f t="shared" si="61"/>
        <v>0</v>
      </c>
      <c r="R230" s="419">
        <f t="shared" si="61"/>
        <v>0</v>
      </c>
      <c r="S230" s="419">
        <f t="shared" si="61"/>
        <v>16099.415266666794</v>
      </c>
      <c r="T230" s="419">
        <f t="shared" si="61"/>
        <v>0</v>
      </c>
      <c r="U230" s="419">
        <f t="shared" si="61"/>
        <v>0</v>
      </c>
      <c r="V230" s="419">
        <f t="shared" si="61"/>
        <v>0</v>
      </c>
      <c r="W230" s="419">
        <f t="shared" si="61"/>
        <v>0</v>
      </c>
      <c r="X230" s="419">
        <f t="shared" si="61"/>
        <v>0</v>
      </c>
      <c r="Y230" s="419">
        <f t="shared" si="61"/>
        <v>0</v>
      </c>
      <c r="Z230" s="419">
        <f t="shared" si="61"/>
        <v>-24075305.605324887</v>
      </c>
      <c r="AA230" s="419">
        <f t="shared" si="61"/>
        <v>0</v>
      </c>
      <c r="AB230" s="419">
        <f t="shared" si="61"/>
        <v>-7645649.3846697286</v>
      </c>
      <c r="AC230" s="419">
        <f t="shared" si="61"/>
        <v>228474.10578381649</v>
      </c>
      <c r="AD230" s="419">
        <f t="shared" si="61"/>
        <v>0</v>
      </c>
      <c r="AE230" s="419">
        <f t="shared" si="61"/>
        <v>4888615.928123828</v>
      </c>
      <c r="AF230" s="419">
        <f t="shared" si="61"/>
        <v>1373709.4487999985</v>
      </c>
      <c r="AG230" s="419">
        <f t="shared" si="61"/>
        <v>-16624581.7767426</v>
      </c>
      <c r="AH230" s="419">
        <f t="shared" si="61"/>
        <v>-2910478.9345000004</v>
      </c>
      <c r="AI230" s="419">
        <f t="shared" si="61"/>
        <v>-3517218.4158999999</v>
      </c>
      <c r="AJ230" s="419">
        <f t="shared" si="61"/>
        <v>-16175522.572112106</v>
      </c>
      <c r="AK230" s="419">
        <f>+AK203-AK228</f>
        <v>0</v>
      </c>
      <c r="AL230" s="377">
        <f>+AL203-AL228</f>
        <v>-8102989.6878311252</v>
      </c>
      <c r="AM230" s="419">
        <f t="shared" ref="AM230:AV230" si="62">+AM203-AM228</f>
        <v>-109020</v>
      </c>
      <c r="AN230" s="419">
        <f t="shared" si="62"/>
        <v>-5924999.9999999627</v>
      </c>
      <c r="AO230" s="419">
        <f t="shared" si="62"/>
        <v>-444846.3825050923</v>
      </c>
      <c r="AP230" s="377">
        <f t="shared" si="62"/>
        <v>-2006100.9934268999</v>
      </c>
      <c r="AQ230" s="419">
        <f t="shared" si="62"/>
        <v>0</v>
      </c>
      <c r="AR230" s="419">
        <f t="shared" si="62"/>
        <v>0</v>
      </c>
      <c r="AS230" s="419">
        <f t="shared" si="62"/>
        <v>0</v>
      </c>
      <c r="AT230" s="419">
        <f t="shared" si="62"/>
        <v>0</v>
      </c>
      <c r="AU230" s="419">
        <f t="shared" si="62"/>
        <v>0</v>
      </c>
      <c r="AV230" s="377">
        <f t="shared" si="62"/>
        <v>-109193701.3612794</v>
      </c>
      <c r="AW230" s="419">
        <f t="shared" si="61"/>
        <v>0</v>
      </c>
      <c r="AX230" s="419">
        <f t="shared" si="61"/>
        <v>-806862.43018333323</v>
      </c>
      <c r="AY230" s="419">
        <f t="shared" si="61"/>
        <v>2105588.504932377</v>
      </c>
      <c r="AZ230" s="419">
        <f t="shared" si="61"/>
        <v>0</v>
      </c>
      <c r="BA230" s="419">
        <f t="shared" si="61"/>
        <v>4194471.6992107397</v>
      </c>
      <c r="BB230" s="419">
        <f t="shared" si="61"/>
        <v>0</v>
      </c>
      <c r="BC230" s="419">
        <f t="shared" si="61"/>
        <v>0</v>
      </c>
      <c r="BD230" s="419">
        <f t="shared" si="61"/>
        <v>0</v>
      </c>
      <c r="BE230" s="419">
        <f>+BE203-BE228</f>
        <v>-687531.06917020504</v>
      </c>
      <c r="BF230" s="419">
        <f t="shared" si="61"/>
        <v>-1203226.320895575</v>
      </c>
      <c r="BG230" s="379">
        <f>+BG203-BG228</f>
        <v>-179535703.40697598</v>
      </c>
      <c r="BH230" s="379">
        <f>+BH203-BH228</f>
        <v>-83596979.748764038</v>
      </c>
      <c r="BI230" s="82"/>
      <c r="BJ230" s="356"/>
      <c r="BK230" s="82"/>
    </row>
    <row r="231" spans="1:66" ht="12" customHeight="1" outlineLevel="1" thickTop="1" x14ac:dyDescent="0.25">
      <c r="A231" s="317">
        <f t="shared" si="53"/>
        <v>34</v>
      </c>
      <c r="B231" s="18"/>
      <c r="C231" s="406" t="s">
        <v>162</v>
      </c>
      <c r="D231" s="1266"/>
      <c r="E231" s="420"/>
      <c r="F231" s="420"/>
      <c r="G231" s="420"/>
      <c r="H231" s="420"/>
      <c r="I231" s="420"/>
      <c r="J231" s="420"/>
      <c r="K231" s="420"/>
      <c r="L231" s="420"/>
      <c r="M231" s="420"/>
      <c r="N231" s="420"/>
      <c r="O231" s="420"/>
      <c r="P231" s="420"/>
      <c r="Q231" s="420"/>
      <c r="R231" s="420"/>
      <c r="S231" s="420"/>
      <c r="T231" s="420"/>
      <c r="U231" s="420"/>
      <c r="V231" s="420"/>
      <c r="W231" s="420"/>
      <c r="X231" s="420"/>
      <c r="Y231" s="420"/>
      <c r="Z231" s="420"/>
      <c r="AA231" s="420"/>
      <c r="AB231" s="420"/>
      <c r="AC231" s="420"/>
      <c r="AD231" s="420"/>
      <c r="AE231" s="420"/>
      <c r="AF231" s="420"/>
      <c r="AG231" s="420"/>
      <c r="AH231" s="420"/>
      <c r="AI231" s="420"/>
      <c r="AJ231" s="420"/>
      <c r="AK231" s="420"/>
      <c r="AL231" s="420"/>
      <c r="AM231" s="420"/>
      <c r="AN231" s="420"/>
      <c r="AO231" s="420"/>
      <c r="AP231" s="420"/>
      <c r="AQ231" s="420"/>
      <c r="AR231" s="420"/>
      <c r="AS231" s="420"/>
      <c r="AT231" s="420"/>
      <c r="AU231" s="420"/>
      <c r="AV231" s="420"/>
      <c r="AW231" s="420"/>
      <c r="AX231" s="420"/>
      <c r="AY231" s="420"/>
      <c r="AZ231" s="420"/>
      <c r="BA231" s="420"/>
      <c r="BB231" s="420"/>
      <c r="BC231" s="420"/>
      <c r="BD231" s="420"/>
      <c r="BE231" s="420"/>
      <c r="BF231" s="420"/>
      <c r="BG231" s="380"/>
      <c r="BH231" s="380"/>
      <c r="BI231" s="82"/>
      <c r="BJ231" s="356"/>
      <c r="BK231" s="82"/>
    </row>
    <row r="232" spans="1:66" outlineLevel="1" x14ac:dyDescent="0.25">
      <c r="A232" s="317">
        <f t="shared" si="53"/>
        <v>35</v>
      </c>
      <c r="B232" s="349" t="s">
        <v>145</v>
      </c>
      <c r="C232" s="406" t="s">
        <v>162</v>
      </c>
      <c r="D232" s="1262">
        <f>D243</f>
        <v>6555542930.3883753</v>
      </c>
      <c r="E232" s="412">
        <f t="shared" ref="E232:BF232" si="63">E243</f>
        <v>0</v>
      </c>
      <c r="F232" s="412">
        <f t="shared" si="63"/>
        <v>0</v>
      </c>
      <c r="G232" s="412">
        <f t="shared" si="63"/>
        <v>0</v>
      </c>
      <c r="H232" s="412">
        <f t="shared" si="63"/>
        <v>0</v>
      </c>
      <c r="I232" s="412">
        <f t="shared" si="63"/>
        <v>0</v>
      </c>
      <c r="J232" s="412">
        <f t="shared" si="63"/>
        <v>0</v>
      </c>
      <c r="K232" s="412">
        <f t="shared" si="63"/>
        <v>0</v>
      </c>
      <c r="L232" s="412">
        <f t="shared" si="63"/>
        <v>0</v>
      </c>
      <c r="M232" s="412">
        <f t="shared" si="63"/>
        <v>0</v>
      </c>
      <c r="N232" s="412">
        <f t="shared" si="63"/>
        <v>0</v>
      </c>
      <c r="O232" s="412">
        <f t="shared" si="63"/>
        <v>0</v>
      </c>
      <c r="P232" s="412">
        <f t="shared" si="63"/>
        <v>0</v>
      </c>
      <c r="Q232" s="412">
        <f t="shared" si="63"/>
        <v>0</v>
      </c>
      <c r="R232" s="412">
        <f t="shared" si="63"/>
        <v>0</v>
      </c>
      <c r="S232" s="412">
        <f t="shared" si="63"/>
        <v>0</v>
      </c>
      <c r="T232" s="412">
        <f t="shared" si="63"/>
        <v>0</v>
      </c>
      <c r="U232" s="412">
        <f t="shared" si="63"/>
        <v>0</v>
      </c>
      <c r="V232" s="412">
        <f t="shared" si="63"/>
        <v>0</v>
      </c>
      <c r="W232" s="412">
        <f t="shared" si="63"/>
        <v>0</v>
      </c>
      <c r="X232" s="412">
        <f t="shared" si="63"/>
        <v>0</v>
      </c>
      <c r="Y232" s="412">
        <f t="shared" si="63"/>
        <v>0</v>
      </c>
      <c r="Z232" s="412">
        <f t="shared" si="63"/>
        <v>0</v>
      </c>
      <c r="AA232" s="412"/>
      <c r="AB232" s="412">
        <f t="shared" si="63"/>
        <v>0</v>
      </c>
      <c r="AC232" s="412">
        <f t="shared" si="63"/>
        <v>0</v>
      </c>
      <c r="AD232" s="412">
        <f t="shared" si="63"/>
        <v>0</v>
      </c>
      <c r="AE232" s="412">
        <f t="shared" si="63"/>
        <v>-184969861.88016725</v>
      </c>
      <c r="AF232" s="412">
        <f t="shared" si="63"/>
        <v>1611738.4900000002</v>
      </c>
      <c r="AG232" s="412">
        <f t="shared" si="63"/>
        <v>140816957.66638008</v>
      </c>
      <c r="AH232" s="412">
        <f t="shared" si="63"/>
        <v>58445474.00000003</v>
      </c>
      <c r="AI232" s="412">
        <f t="shared" si="63"/>
        <v>22762120.34999986</v>
      </c>
      <c r="AJ232" s="412">
        <f t="shared" si="63"/>
        <v>32162788.986010209</v>
      </c>
      <c r="AK232" s="412"/>
      <c r="AL232" s="412">
        <f>AL243</f>
        <v>0</v>
      </c>
      <c r="AM232" s="412">
        <f>AM243</f>
        <v>0</v>
      </c>
      <c r="AN232" s="412">
        <f t="shared" ref="AN232:AV232" si="64">AN243</f>
        <v>-2962499.9999999814</v>
      </c>
      <c r="AO232" s="412">
        <f t="shared" si="64"/>
        <v>0</v>
      </c>
      <c r="AP232" s="412">
        <f t="shared" si="64"/>
        <v>0</v>
      </c>
      <c r="AQ232" s="412">
        <f t="shared" si="64"/>
        <v>0</v>
      </c>
      <c r="AR232" s="412">
        <f t="shared" si="64"/>
        <v>0</v>
      </c>
      <c r="AS232" s="412">
        <f t="shared" si="64"/>
        <v>0</v>
      </c>
      <c r="AT232" s="412">
        <f t="shared" si="64"/>
        <v>0</v>
      </c>
      <c r="AU232" s="412">
        <f t="shared" si="64"/>
        <v>0</v>
      </c>
      <c r="AV232" s="412">
        <f t="shared" si="64"/>
        <v>0</v>
      </c>
      <c r="AW232" s="412">
        <f t="shared" si="63"/>
        <v>42899.142500001064</v>
      </c>
      <c r="AX232" s="412">
        <f t="shared" si="63"/>
        <v>0</v>
      </c>
      <c r="AY232" s="412">
        <f t="shared" si="63"/>
        <v>-13998573.029924475</v>
      </c>
      <c r="AZ232" s="412">
        <f t="shared" si="63"/>
        <v>0</v>
      </c>
      <c r="BA232" s="412">
        <f t="shared" si="63"/>
        <v>0</v>
      </c>
      <c r="BB232" s="412">
        <f t="shared" si="63"/>
        <v>0</v>
      </c>
      <c r="BC232" s="412">
        <f t="shared" si="63"/>
        <v>-2880746.5800000113</v>
      </c>
      <c r="BD232" s="412">
        <f t="shared" si="63"/>
        <v>0</v>
      </c>
      <c r="BE232" s="412">
        <f>BE243</f>
        <v>-170475.97229999999</v>
      </c>
      <c r="BF232" s="412">
        <f t="shared" si="63"/>
        <v>0</v>
      </c>
      <c r="BG232" s="366">
        <f>BG243</f>
        <v>50859821.172498472</v>
      </c>
      <c r="BH232" s="366">
        <f>BH243</f>
        <v>6606402751.560873</v>
      </c>
      <c r="BI232" s="82"/>
      <c r="BJ232" s="356"/>
      <c r="BK232" s="82"/>
    </row>
    <row r="233" spans="1:66" outlineLevel="1" x14ac:dyDescent="0.25">
      <c r="A233" s="317">
        <f t="shared" si="53"/>
        <v>36</v>
      </c>
      <c r="B233" s="365"/>
      <c r="C233" s="406" t="s">
        <v>162</v>
      </c>
      <c r="D233" s="1258"/>
      <c r="E233" s="411"/>
      <c r="F233" s="411"/>
      <c r="G233" s="411"/>
      <c r="H233" s="411"/>
      <c r="I233" s="411"/>
      <c r="J233" s="411"/>
      <c r="K233" s="411"/>
      <c r="L233" s="411"/>
      <c r="M233" s="411"/>
      <c r="N233" s="411"/>
      <c r="O233" s="411"/>
      <c r="P233" s="411"/>
      <c r="Q233" s="411"/>
      <c r="R233" s="411"/>
      <c r="S233" s="411"/>
      <c r="T233" s="411"/>
      <c r="U233" s="411"/>
      <c r="V233" s="411"/>
      <c r="W233" s="411"/>
      <c r="X233" s="411"/>
      <c r="Y233" s="411"/>
      <c r="Z233" s="411"/>
      <c r="AA233" s="411"/>
      <c r="AB233" s="411"/>
      <c r="AC233" s="411"/>
      <c r="AD233" s="411"/>
      <c r="AE233" s="411"/>
      <c r="AF233" s="411"/>
      <c r="AG233" s="411"/>
      <c r="AH233" s="411"/>
      <c r="AI233" s="411"/>
      <c r="AJ233" s="411"/>
      <c r="AK233" s="411"/>
      <c r="AL233" s="411"/>
      <c r="AM233" s="411"/>
      <c r="AN233" s="411"/>
      <c r="AO233" s="411"/>
      <c r="AP233" s="411"/>
      <c r="AQ233" s="411"/>
      <c r="AR233" s="411"/>
      <c r="AS233" s="411"/>
      <c r="AT233" s="411"/>
      <c r="AU233" s="411"/>
      <c r="AV233" s="411"/>
      <c r="AW233" s="411"/>
      <c r="AX233" s="411"/>
      <c r="AY233" s="411"/>
      <c r="AZ233" s="411"/>
      <c r="BA233" s="411"/>
      <c r="BB233" s="411"/>
      <c r="BC233" s="411"/>
      <c r="BD233" s="411"/>
      <c r="BE233" s="411"/>
      <c r="BF233" s="411"/>
      <c r="BG233" s="351"/>
      <c r="BH233" s="351"/>
      <c r="BI233" s="82"/>
      <c r="BJ233" s="356"/>
      <c r="BK233" s="82"/>
    </row>
    <row r="234" spans="1:66" outlineLevel="1" x14ac:dyDescent="0.25">
      <c r="A234" s="317">
        <f t="shared" si="53"/>
        <v>37</v>
      </c>
      <c r="B234" s="349" t="s">
        <v>18</v>
      </c>
      <c r="C234" s="406" t="s">
        <v>162</v>
      </c>
      <c r="D234" s="1283">
        <f>+D230/D232</f>
        <v>1.4634748742699098E-2</v>
      </c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8"/>
      <c r="BD234" s="408"/>
      <c r="BE234" s="408"/>
      <c r="BF234" s="408"/>
      <c r="BG234" s="383"/>
      <c r="BH234" s="403">
        <f>+BH230/BH232</f>
        <v>-1.265393329660576E-2</v>
      </c>
      <c r="BI234" s="82"/>
      <c r="BJ234" s="356"/>
      <c r="BK234" s="82"/>
    </row>
    <row r="235" spans="1:66" outlineLevel="1" x14ac:dyDescent="0.25">
      <c r="A235" s="317">
        <f t="shared" si="53"/>
        <v>38</v>
      </c>
      <c r="B235" s="365"/>
      <c r="C235" s="406" t="s">
        <v>162</v>
      </c>
      <c r="D235" s="1260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08"/>
      <c r="V235" s="408"/>
      <c r="W235" s="408"/>
      <c r="X235" s="408"/>
      <c r="Y235" s="408"/>
      <c r="Z235" s="408"/>
      <c r="AA235" s="408"/>
      <c r="AB235" s="408"/>
      <c r="AC235" s="408"/>
      <c r="AD235" s="408"/>
      <c r="AE235" s="408"/>
      <c r="AF235" s="408"/>
      <c r="AG235" s="408"/>
      <c r="AH235" s="408"/>
      <c r="AI235" s="408"/>
      <c r="AJ235" s="408"/>
      <c r="AK235" s="408"/>
      <c r="AL235" s="408"/>
      <c r="AM235" s="408"/>
      <c r="AN235" s="408"/>
      <c r="AO235" s="408"/>
      <c r="AP235" s="408"/>
      <c r="AQ235" s="408"/>
      <c r="AR235" s="408"/>
      <c r="AS235" s="408"/>
      <c r="AT235" s="408"/>
      <c r="AU235" s="408"/>
      <c r="AV235" s="408"/>
      <c r="AW235" s="408"/>
      <c r="AX235" s="408"/>
      <c r="AY235" s="408"/>
      <c r="AZ235" s="408"/>
      <c r="BA235" s="408"/>
      <c r="BB235" s="408"/>
      <c r="BC235" s="408"/>
      <c r="BD235" s="408"/>
      <c r="BE235" s="408"/>
      <c r="BF235" s="408"/>
      <c r="BG235" s="357"/>
      <c r="BH235" s="357"/>
      <c r="BI235" s="82"/>
      <c r="BJ235" s="356"/>
      <c r="BK235" s="82"/>
    </row>
    <row r="236" spans="1:66" outlineLevel="1" x14ac:dyDescent="0.25">
      <c r="A236" s="317">
        <f t="shared" si="53"/>
        <v>39</v>
      </c>
      <c r="B236" s="365" t="s">
        <v>146</v>
      </c>
      <c r="C236" s="406" t="s">
        <v>162</v>
      </c>
      <c r="D236" s="1260"/>
      <c r="E236" s="408"/>
      <c r="F236" s="408"/>
      <c r="G236" s="408"/>
      <c r="H236" s="408"/>
      <c r="I236" s="408"/>
      <c r="J236" s="408"/>
      <c r="K236" s="408"/>
      <c r="L236" s="408"/>
      <c r="M236" s="408"/>
      <c r="N236" s="408"/>
      <c r="O236" s="408"/>
      <c r="P236" s="408"/>
      <c r="Q236" s="408"/>
      <c r="R236" s="408"/>
      <c r="S236" s="408"/>
      <c r="T236" s="408"/>
      <c r="U236" s="408"/>
      <c r="V236" s="408"/>
      <c r="W236" s="408"/>
      <c r="X236" s="408"/>
      <c r="Y236" s="408"/>
      <c r="Z236" s="408"/>
      <c r="AA236" s="408"/>
      <c r="AB236" s="408"/>
      <c r="AC236" s="408"/>
      <c r="AD236" s="408"/>
      <c r="AE236" s="408"/>
      <c r="AF236" s="408"/>
      <c r="AG236" s="408"/>
      <c r="AH236" s="408"/>
      <c r="AI236" s="408"/>
      <c r="AJ236" s="408"/>
      <c r="AK236" s="408"/>
      <c r="AL236" s="408"/>
      <c r="AM236" s="408"/>
      <c r="AN236" s="408"/>
      <c r="AO236" s="408"/>
      <c r="AP236" s="408"/>
      <c r="AQ236" s="408"/>
      <c r="AR236" s="408"/>
      <c r="AS236" s="408"/>
      <c r="AT236" s="408"/>
      <c r="AU236" s="408"/>
      <c r="AV236" s="408"/>
      <c r="AW236" s="408"/>
      <c r="AX236" s="408"/>
      <c r="AY236" s="408"/>
      <c r="AZ236" s="408"/>
      <c r="BA236" s="408"/>
      <c r="BB236" s="408"/>
      <c r="BC236" s="408"/>
      <c r="BD236" s="408"/>
      <c r="BE236" s="408"/>
      <c r="BF236" s="408"/>
      <c r="BG236" s="357"/>
      <c r="BH236" s="357"/>
      <c r="BI236" s="82"/>
      <c r="BJ236" s="356"/>
      <c r="BK236" s="82"/>
      <c r="BN236" s="317">
        <f>175+2</f>
        <v>177</v>
      </c>
    </row>
    <row r="237" spans="1:66" outlineLevel="1" x14ac:dyDescent="0.25">
      <c r="A237" s="317">
        <f t="shared" si="53"/>
        <v>40</v>
      </c>
      <c r="B237" s="384" t="s">
        <v>112</v>
      </c>
      <c r="C237" s="406" t="s">
        <v>162</v>
      </c>
      <c r="D237" s="1262">
        <f t="shared" ref="D237:D242" si="65">+BH176</f>
        <v>12764132948.774681</v>
      </c>
      <c r="E237" s="412"/>
      <c r="F237" s="412"/>
      <c r="G237" s="412"/>
      <c r="H237" s="412"/>
      <c r="I237" s="412"/>
      <c r="J237" s="412"/>
      <c r="K237" s="412"/>
      <c r="L237" s="412"/>
      <c r="M237" s="412"/>
      <c r="N237" s="412"/>
      <c r="O237" s="412"/>
      <c r="P237" s="412"/>
      <c r="Q237" s="412"/>
      <c r="R237" s="412"/>
      <c r="S237" s="412"/>
      <c r="T237" s="412"/>
      <c r="U237" s="412"/>
      <c r="V237" s="412"/>
      <c r="W237" s="412"/>
      <c r="X237" s="412"/>
      <c r="Y237" s="411"/>
      <c r="Z237" s="412"/>
      <c r="AA237" s="412"/>
      <c r="AB237" s="412">
        <f>+'SEF-32 pg 1-34, 46'!PG21</f>
        <v>0</v>
      </c>
      <c r="AC237" s="412"/>
      <c r="AD237" s="412">
        <f>'SEF-32 pg 1-34, 46'!QU19</f>
        <v>-27191779.974732563</v>
      </c>
      <c r="AE237" s="408"/>
      <c r="AF237" s="412"/>
      <c r="AG237" s="412">
        <f>'SEF-32 pg 1-34, 46'!$SW$28</f>
        <v>166513952.52156508</v>
      </c>
      <c r="AH237" s="412">
        <f>'SEF-32 pg 1-34, 46'!$SW$46</f>
        <v>58413576.160000026</v>
      </c>
      <c r="AI237" s="412">
        <f>'SEF-32 pg 1-34, 46'!$SW$64</f>
        <v>32685474.269999862</v>
      </c>
      <c r="AJ237" s="412">
        <f>+'SEF-32 pg 1-34, 46'!$SW$82</f>
        <v>55142914.736180186</v>
      </c>
      <c r="AK237" s="412"/>
      <c r="AL237" s="412"/>
      <c r="AM237" s="412"/>
      <c r="AN237" s="412">
        <f>'SEF-32 pg 1-34, 46'!VI19</f>
        <v>0</v>
      </c>
      <c r="AO237" s="412"/>
      <c r="AP237" s="412"/>
      <c r="AQ237" s="412"/>
      <c r="AR237" s="412"/>
      <c r="AS237" s="412"/>
      <c r="AT237" s="412"/>
      <c r="AU237" s="412"/>
      <c r="AV237" s="412"/>
      <c r="AW237" s="412"/>
      <c r="AX237" s="412"/>
      <c r="AY237" s="412"/>
      <c r="AZ237" s="412">
        <f>+'SEF-32 pg 35-45'!CW18</f>
        <v>0</v>
      </c>
      <c r="BA237" s="412"/>
      <c r="BB237" s="412">
        <f>'SEF-32 pg 35-45'!EG48</f>
        <v>0</v>
      </c>
      <c r="BC237" s="412">
        <f>'SEF-32 pg 35-45'!EY23</f>
        <v>0</v>
      </c>
      <c r="BD237" s="412"/>
      <c r="BE237" s="412">
        <f>'SEF-32 pg 35-45'!GI22</f>
        <v>0</v>
      </c>
      <c r="BF237" s="412">
        <f>'SEF-32 pg 35-45'!HB31</f>
        <v>0</v>
      </c>
      <c r="BG237" s="366">
        <f t="shared" ref="BG237:BG242" si="66">SUM(E237:BF237)</f>
        <v>285564137.71301258</v>
      </c>
      <c r="BH237" s="366">
        <f t="shared" ref="BH237:BH242" si="67">+BG237+D237</f>
        <v>13049697086.487694</v>
      </c>
      <c r="BI237" s="82"/>
      <c r="BJ237" s="356"/>
      <c r="BK237" s="82"/>
    </row>
    <row r="238" spans="1:66" outlineLevel="1" x14ac:dyDescent="0.25">
      <c r="A238" s="317">
        <f t="shared" si="53"/>
        <v>41</v>
      </c>
      <c r="B238" s="384" t="s">
        <v>113</v>
      </c>
      <c r="C238" s="406" t="s">
        <v>162</v>
      </c>
      <c r="D238" s="1260">
        <f t="shared" si="65"/>
        <v>-5750961351.5170259</v>
      </c>
      <c r="E238" s="408"/>
      <c r="F238" s="408"/>
      <c r="G238" s="408"/>
      <c r="H238" s="408"/>
      <c r="I238" s="408"/>
      <c r="J238" s="408"/>
      <c r="K238" s="408"/>
      <c r="L238" s="408"/>
      <c r="M238" s="408"/>
      <c r="N238" s="408"/>
      <c r="O238" s="408"/>
      <c r="P238" s="408"/>
      <c r="Q238" s="408"/>
      <c r="R238" s="408"/>
      <c r="S238" s="408"/>
      <c r="T238" s="408"/>
      <c r="U238" s="408"/>
      <c r="V238" s="408"/>
      <c r="W238" s="408"/>
      <c r="X238" s="408"/>
      <c r="Y238" s="408"/>
      <c r="Z238" s="408"/>
      <c r="AA238" s="408"/>
      <c r="AB238" s="408"/>
      <c r="AC238" s="408"/>
      <c r="AD238" s="408">
        <f>'SEF-32 pg 1-34, 46'!QU20</f>
        <v>27191779.974732563</v>
      </c>
      <c r="AE238" s="408">
        <f>'SEF-32 pg 1-34, 46'!$RM$34</f>
        <v>-203371069.2402916</v>
      </c>
      <c r="AF238" s="408">
        <f>'SEF-32 pg 1-34, 46'!$SE$33</f>
        <v>1611738.4900000002</v>
      </c>
      <c r="AG238" s="408">
        <f>'SEF-32 pg 1-34, 46'!$SW$29</f>
        <v>-20796623.425300002</v>
      </c>
      <c r="AH238" s="408">
        <f>'SEF-32 pg 1-34, 46'!$SW$47</f>
        <v>-3145184.8899999992</v>
      </c>
      <c r="AI238" s="408">
        <f>'SEF-32 pg 1-34, 46'!$SW$65</f>
        <v>-5322013.0899999989</v>
      </c>
      <c r="AJ238" s="408">
        <f>+'SEF-32 pg 1-34, 46'!$SW$83</f>
        <v>-18427924.049109984</v>
      </c>
      <c r="AK238" s="408"/>
      <c r="AL238" s="408"/>
      <c r="AM238" s="408"/>
      <c r="AN238" s="408">
        <f>'SEF-32 pg 1-34, 46'!VI20</f>
        <v>-3749999.9999999758</v>
      </c>
      <c r="AO238" s="408"/>
      <c r="AP238" s="408"/>
      <c r="AQ238" s="408"/>
      <c r="AR238" s="408"/>
      <c r="AS238" s="408"/>
      <c r="AT238" s="408"/>
      <c r="AU238" s="408"/>
      <c r="AV238" s="408"/>
      <c r="AW238" s="408">
        <f>'SEF-32 pg 35-45'!AU19</f>
        <v>109783.00000000093</v>
      </c>
      <c r="AX238" s="408"/>
      <c r="AY238" s="408"/>
      <c r="AZ238" s="416">
        <f>+'SEF-32 pg 35-45'!CW19</f>
        <v>0</v>
      </c>
      <c r="BA238" s="408"/>
      <c r="BB238" s="414">
        <f>'SEF-32 pg 35-45'!EG54</f>
        <v>0</v>
      </c>
      <c r="BC238" s="408">
        <f>'SEF-32 pg 35-45'!EY29</f>
        <v>-2880746.5800000113</v>
      </c>
      <c r="BD238" s="408"/>
      <c r="BE238" s="408"/>
      <c r="BF238" s="408"/>
      <c r="BG238" s="357">
        <f t="shared" si="66"/>
        <v>-228780259.80996898</v>
      </c>
      <c r="BH238" s="357">
        <f t="shared" si="67"/>
        <v>-5979741611.3269949</v>
      </c>
      <c r="BI238" s="82"/>
      <c r="BJ238" s="356"/>
      <c r="BK238" s="82"/>
    </row>
    <row r="239" spans="1:66" outlineLevel="1" x14ac:dyDescent="0.25">
      <c r="A239" s="317">
        <f t="shared" si="53"/>
        <v>42</v>
      </c>
      <c r="B239" s="365" t="s">
        <v>147</v>
      </c>
      <c r="C239" s="406" t="s">
        <v>162</v>
      </c>
      <c r="D239" s="1260">
        <f t="shared" si="65"/>
        <v>636269644.92143703</v>
      </c>
      <c r="E239" s="408"/>
      <c r="F239" s="408"/>
      <c r="G239" s="408"/>
      <c r="H239" s="408"/>
      <c r="I239" s="408"/>
      <c r="J239" s="408"/>
      <c r="K239" s="408"/>
      <c r="L239" s="408"/>
      <c r="M239" s="408"/>
      <c r="N239" s="408"/>
      <c r="O239" s="408"/>
      <c r="P239" s="408"/>
      <c r="Q239" s="408"/>
      <c r="R239" s="408"/>
      <c r="S239" s="408"/>
      <c r="T239" s="408"/>
      <c r="U239" s="408"/>
      <c r="V239" s="408"/>
      <c r="W239" s="408"/>
      <c r="X239" s="408"/>
      <c r="Y239" s="411"/>
      <c r="Z239" s="408"/>
      <c r="AA239" s="408"/>
      <c r="AB239" s="408">
        <f>+'SEF-32 pg 1-34, 46'!PG27</f>
        <v>0</v>
      </c>
      <c r="AC239" s="408"/>
      <c r="AD239" s="408"/>
      <c r="AE239" s="408"/>
      <c r="AF239" s="408"/>
      <c r="AG239" s="408"/>
      <c r="AH239" s="408"/>
      <c r="AI239" s="408"/>
      <c r="AJ239" s="408"/>
      <c r="AK239" s="408"/>
      <c r="AL239" s="408">
        <f>'SEF-32 pg 1-34, 46'!UE17</f>
        <v>0</v>
      </c>
      <c r="AM239" s="408"/>
      <c r="AN239" s="408"/>
      <c r="AO239" s="408"/>
      <c r="AP239" s="408"/>
      <c r="AQ239" s="408"/>
      <c r="AR239" s="408"/>
      <c r="AS239" s="408"/>
      <c r="AT239" s="408"/>
      <c r="AU239" s="408"/>
      <c r="AV239" s="408"/>
      <c r="AW239" s="408"/>
      <c r="AX239" s="408"/>
      <c r="AY239" s="408">
        <f>'SEF-32 pg 35-45'!CE36</f>
        <v>-15832085.177128196</v>
      </c>
      <c r="AZ239" s="416"/>
      <c r="BA239" s="408"/>
      <c r="BB239" s="414">
        <f>'SEF-32 pg 35-45'!EG55</f>
        <v>0</v>
      </c>
      <c r="BC239" s="408"/>
      <c r="BD239" s="408"/>
      <c r="BE239" s="408">
        <f>'SEF-32 pg 35-45'!GI26</f>
        <v>-215792.37</v>
      </c>
      <c r="BF239" s="408"/>
      <c r="BG239" s="357">
        <f t="shared" si="66"/>
        <v>-16047877.547128195</v>
      </c>
      <c r="BH239" s="357">
        <f t="shared" si="67"/>
        <v>620221767.37430882</v>
      </c>
      <c r="BI239" s="82"/>
      <c r="BJ239" s="356"/>
      <c r="BK239" s="82"/>
    </row>
    <row r="240" spans="1:66" outlineLevel="1" x14ac:dyDescent="0.25">
      <c r="A240" s="317">
        <f t="shared" si="53"/>
        <v>43</v>
      </c>
      <c r="B240" s="365" t="s">
        <v>148</v>
      </c>
      <c r="C240" s="406" t="s">
        <v>162</v>
      </c>
      <c r="D240" s="1260">
        <f t="shared" si="65"/>
        <v>-1174423587.8480749</v>
      </c>
      <c r="E240" s="408"/>
      <c r="F240" s="408"/>
      <c r="G240" s="408"/>
      <c r="H240" s="408">
        <f>+'SEF-32 pg 1-34, 46'!BK29</f>
        <v>0</v>
      </c>
      <c r="I240" s="408"/>
      <c r="J240" s="408"/>
      <c r="K240" s="408"/>
      <c r="L240" s="408"/>
      <c r="M240" s="408"/>
      <c r="N240" s="408"/>
      <c r="O240" s="408"/>
      <c r="P240" s="408"/>
      <c r="Q240" s="408"/>
      <c r="R240" s="408"/>
      <c r="S240" s="408"/>
      <c r="T240" s="408"/>
      <c r="U240" s="408"/>
      <c r="V240" s="408"/>
      <c r="W240" s="408"/>
      <c r="X240" s="408"/>
      <c r="Y240" s="408"/>
      <c r="Z240" s="408"/>
      <c r="AA240" s="408"/>
      <c r="AB240" s="408">
        <f>+'SEF-32 pg 1-34, 46'!PG33</f>
        <v>0</v>
      </c>
      <c r="AC240" s="408"/>
      <c r="AD240" s="408"/>
      <c r="AE240" s="408">
        <f>'SEF-32 pg 1-34, 46'!$RM$35</f>
        <v>18401207.36012435</v>
      </c>
      <c r="AF240" s="408">
        <f>'SEF-32 pg 1-34, 46'!$SE$34</f>
        <v>0</v>
      </c>
      <c r="AG240" s="408">
        <f>'SEF-32 pg 1-34, 46'!$SW$30</f>
        <v>-4900371.4298849991</v>
      </c>
      <c r="AH240" s="408">
        <f>'SEF-32 pg 1-34, 46'!$SW$48</f>
        <v>3177082.7300000004</v>
      </c>
      <c r="AI240" s="408">
        <f>'SEF-32 pg 1-34, 46'!$SW$66</f>
        <v>-4601340.83</v>
      </c>
      <c r="AJ240" s="408">
        <f>+'SEF-32 pg 1-34, 46'!$SW$84</f>
        <v>-4552201.7010599989</v>
      </c>
      <c r="AK240" s="408"/>
      <c r="AL240" s="408">
        <f>'SEF-32 pg 1-34, 46'!UE18</f>
        <v>0</v>
      </c>
      <c r="AM240" s="408"/>
      <c r="AN240" s="408">
        <f>'SEF-32 pg 1-34, 46'!VI21</f>
        <v>787499.99999999441</v>
      </c>
      <c r="AO240" s="408"/>
      <c r="AP240" s="408"/>
      <c r="AQ240" s="408"/>
      <c r="AR240" s="408"/>
      <c r="AS240" s="408"/>
      <c r="AT240" s="408"/>
      <c r="AU240" s="408"/>
      <c r="AV240" s="408"/>
      <c r="AW240" s="408">
        <f>'SEF-32 pg 35-45'!AU20</f>
        <v>-66883.857499999867</v>
      </c>
      <c r="AX240" s="408"/>
      <c r="AY240" s="408">
        <f>'SEF-32 pg 35-45'!CE37</f>
        <v>1833512.1472037211</v>
      </c>
      <c r="AZ240" s="414">
        <f>+'SEF-32 pg 35-45'!CW20</f>
        <v>0</v>
      </c>
      <c r="BA240" s="408"/>
      <c r="BB240" s="414">
        <f>'SEF-32 pg 35-45'!EG56</f>
        <v>0</v>
      </c>
      <c r="BC240" s="408">
        <f>'SEF-32 pg 35-45'!EY21</f>
        <v>0</v>
      </c>
      <c r="BD240" s="408"/>
      <c r="BE240" s="408">
        <f>'SEF-32 pg 35-45'!GI30</f>
        <v>45316.397700000001</v>
      </c>
      <c r="BF240" s="408">
        <f>'SEF-32 pg 35-45'!HA33</f>
        <v>0</v>
      </c>
      <c r="BG240" s="357">
        <f t="shared" si="66"/>
        <v>10123820.816583067</v>
      </c>
      <c r="BH240" s="357">
        <f t="shared" si="67"/>
        <v>-1164299767.0314918</v>
      </c>
      <c r="BI240" s="82"/>
      <c r="BJ240" s="356"/>
      <c r="BK240" s="82"/>
    </row>
    <row r="241" spans="1:74" outlineLevel="1" x14ac:dyDescent="0.25">
      <c r="A241" s="317">
        <f t="shared" si="53"/>
        <v>44</v>
      </c>
      <c r="B241" s="365" t="s">
        <v>149</v>
      </c>
      <c r="C241" s="406" t="s">
        <v>162</v>
      </c>
      <c r="D241" s="1268">
        <f t="shared" si="65"/>
        <v>222518805.82795244</v>
      </c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408"/>
      <c r="S241" s="408"/>
      <c r="T241" s="408"/>
      <c r="U241" s="408"/>
      <c r="V241" s="408"/>
      <c r="W241" s="408"/>
      <c r="X241" s="408"/>
      <c r="Y241" s="408"/>
      <c r="Z241" s="408"/>
      <c r="AA241" s="408"/>
      <c r="AB241" s="408"/>
      <c r="AC241" s="408"/>
      <c r="AD241" s="408"/>
      <c r="AE241" s="408"/>
      <c r="AF241" s="408"/>
      <c r="AG241" s="408"/>
      <c r="AH241" s="408"/>
      <c r="AI241" s="408"/>
      <c r="AJ241" s="408"/>
      <c r="AK241" s="408"/>
      <c r="AL241" s="408"/>
      <c r="AM241" s="408"/>
      <c r="AN241" s="408"/>
      <c r="AO241" s="408"/>
      <c r="AP241" s="408"/>
      <c r="AQ241" s="408"/>
      <c r="AR241" s="408"/>
      <c r="AS241" s="408"/>
      <c r="AT241" s="408"/>
      <c r="AU241" s="408"/>
      <c r="AV241" s="408"/>
      <c r="AW241" s="408"/>
      <c r="AX241" s="408"/>
      <c r="AY241" s="408"/>
      <c r="AZ241" s="408"/>
      <c r="BA241" s="408"/>
      <c r="BB241" s="408"/>
      <c r="BC241" s="408"/>
      <c r="BD241" s="408"/>
      <c r="BE241" s="408"/>
      <c r="BF241" s="408"/>
      <c r="BG241" s="387">
        <f t="shared" si="66"/>
        <v>0</v>
      </c>
      <c r="BH241" s="357">
        <f t="shared" si="67"/>
        <v>222518805.82795244</v>
      </c>
      <c r="BI241" s="82"/>
      <c r="BJ241" s="356"/>
      <c r="BK241" s="82"/>
    </row>
    <row r="242" spans="1:74" outlineLevel="1" x14ac:dyDescent="0.25">
      <c r="A242" s="317">
        <f t="shared" si="53"/>
        <v>45</v>
      </c>
      <c r="B242" s="365" t="s">
        <v>150</v>
      </c>
      <c r="C242" s="406" t="s">
        <v>162</v>
      </c>
      <c r="D242" s="1260">
        <f t="shared" si="65"/>
        <v>-141993529.77059498</v>
      </c>
      <c r="E242" s="408"/>
      <c r="F242" s="408"/>
      <c r="G242" s="408"/>
      <c r="H242" s="408"/>
      <c r="I242" s="408"/>
      <c r="J242" s="408"/>
      <c r="K242" s="408"/>
      <c r="L242" s="408"/>
      <c r="M242" s="408"/>
      <c r="N242" s="408"/>
      <c r="O242" s="408"/>
      <c r="P242" s="408"/>
      <c r="Q242" s="408"/>
      <c r="R242" s="408"/>
      <c r="S242" s="408"/>
      <c r="T242" s="408"/>
      <c r="U242" s="408"/>
      <c r="V242" s="408"/>
      <c r="W242" s="408"/>
      <c r="X242" s="408"/>
      <c r="Y242" s="408"/>
      <c r="Z242" s="408"/>
      <c r="AA242" s="408"/>
      <c r="AB242" s="408"/>
      <c r="AC242" s="408"/>
      <c r="AD242" s="408"/>
      <c r="AE242" s="408"/>
      <c r="AF242" s="408"/>
      <c r="AG242" s="408"/>
      <c r="AH242" s="408"/>
      <c r="AI242" s="408"/>
      <c r="AJ242" s="408"/>
      <c r="AK242" s="408"/>
      <c r="AL242" s="408"/>
      <c r="AM242" s="408"/>
      <c r="AN242" s="408"/>
      <c r="AO242" s="408"/>
      <c r="AP242" s="408"/>
      <c r="AQ242" s="408"/>
      <c r="AR242" s="408"/>
      <c r="AS242" s="408"/>
      <c r="AT242" s="408"/>
      <c r="AU242" s="408"/>
      <c r="AV242" s="408"/>
      <c r="AW242" s="408"/>
      <c r="AX242" s="408"/>
      <c r="AY242" s="408"/>
      <c r="AZ242" s="408"/>
      <c r="BA242" s="408"/>
      <c r="BB242" s="408"/>
      <c r="BC242" s="408"/>
      <c r="BD242" s="408"/>
      <c r="BE242" s="408"/>
      <c r="BF242" s="408"/>
      <c r="BG242" s="357">
        <f t="shared" si="66"/>
        <v>0</v>
      </c>
      <c r="BH242" s="357">
        <f t="shared" si="67"/>
        <v>-141993529.77059498</v>
      </c>
      <c r="BI242" s="82"/>
      <c r="BJ242" s="356"/>
      <c r="BK242" s="82"/>
    </row>
    <row r="243" spans="1:74" ht="15.75" outlineLevel="1" thickBot="1" x14ac:dyDescent="0.3">
      <c r="A243" s="317">
        <f t="shared" si="53"/>
        <v>46</v>
      </c>
      <c r="B243" s="365" t="s">
        <v>118</v>
      </c>
      <c r="C243" s="406" t="s">
        <v>162</v>
      </c>
      <c r="D243" s="1269">
        <f>SUM(D237:D242)</f>
        <v>6555542930.3883753</v>
      </c>
      <c r="E243" s="421">
        <f t="shared" ref="E243:X243" si="68">SUM(E237:E242)</f>
        <v>0</v>
      </c>
      <c r="F243" s="421">
        <f t="shared" si="68"/>
        <v>0</v>
      </c>
      <c r="G243" s="421">
        <f t="shared" si="68"/>
        <v>0</v>
      </c>
      <c r="H243" s="421">
        <f t="shared" si="68"/>
        <v>0</v>
      </c>
      <c r="I243" s="421">
        <f t="shared" si="68"/>
        <v>0</v>
      </c>
      <c r="J243" s="421">
        <f t="shared" si="68"/>
        <v>0</v>
      </c>
      <c r="K243" s="421">
        <f t="shared" si="68"/>
        <v>0</v>
      </c>
      <c r="L243" s="421">
        <f t="shared" si="68"/>
        <v>0</v>
      </c>
      <c r="M243" s="421">
        <f t="shared" si="68"/>
        <v>0</v>
      </c>
      <c r="N243" s="421">
        <f t="shared" si="68"/>
        <v>0</v>
      </c>
      <c r="O243" s="421">
        <f t="shared" si="68"/>
        <v>0</v>
      </c>
      <c r="P243" s="421">
        <f t="shared" si="68"/>
        <v>0</v>
      </c>
      <c r="Q243" s="421">
        <f t="shared" si="68"/>
        <v>0</v>
      </c>
      <c r="R243" s="421">
        <f t="shared" si="68"/>
        <v>0</v>
      </c>
      <c r="S243" s="421">
        <f t="shared" si="68"/>
        <v>0</v>
      </c>
      <c r="T243" s="421">
        <f t="shared" si="68"/>
        <v>0</v>
      </c>
      <c r="U243" s="421">
        <f t="shared" si="68"/>
        <v>0</v>
      </c>
      <c r="V243" s="421">
        <f t="shared" si="68"/>
        <v>0</v>
      </c>
      <c r="W243" s="421">
        <f t="shared" si="68"/>
        <v>0</v>
      </c>
      <c r="X243" s="421">
        <f t="shared" si="68"/>
        <v>0</v>
      </c>
      <c r="Y243" s="421">
        <f>SUM(Y238:Y242)</f>
        <v>0</v>
      </c>
      <c r="Z243" s="421">
        <f t="shared" ref="Z243:BF243" si="69">SUM(Z237:Z242)</f>
        <v>0</v>
      </c>
      <c r="AA243" s="421">
        <f t="shared" si="69"/>
        <v>0</v>
      </c>
      <c r="AB243" s="421">
        <f t="shared" si="69"/>
        <v>0</v>
      </c>
      <c r="AC243" s="421">
        <f t="shared" si="69"/>
        <v>0</v>
      </c>
      <c r="AD243" s="421">
        <f t="shared" si="69"/>
        <v>0</v>
      </c>
      <c r="AE243" s="421">
        <f t="shared" si="69"/>
        <v>-184969861.88016725</v>
      </c>
      <c r="AF243" s="421">
        <f t="shared" si="69"/>
        <v>1611738.4900000002</v>
      </c>
      <c r="AG243" s="421">
        <f t="shared" si="69"/>
        <v>140816957.66638008</v>
      </c>
      <c r="AH243" s="421">
        <f t="shared" si="69"/>
        <v>58445474.00000003</v>
      </c>
      <c r="AI243" s="421">
        <f t="shared" si="69"/>
        <v>22762120.34999986</v>
      </c>
      <c r="AJ243" s="421">
        <f t="shared" si="69"/>
        <v>32162788.986010209</v>
      </c>
      <c r="AK243" s="421">
        <f>SUM(AK237:AK242)</f>
        <v>0</v>
      </c>
      <c r="AL243" s="421">
        <f>SUM(AL237:AL242)</f>
        <v>0</v>
      </c>
      <c r="AM243" s="421">
        <f>SUM(AM237:AM242)</f>
        <v>0</v>
      </c>
      <c r="AN243" s="421">
        <f t="shared" ref="AN243:AV243" si="70">SUM(AN237:AN242)</f>
        <v>-2962499.9999999814</v>
      </c>
      <c r="AO243" s="421">
        <f t="shared" si="70"/>
        <v>0</v>
      </c>
      <c r="AP243" s="421">
        <f t="shared" si="70"/>
        <v>0</v>
      </c>
      <c r="AQ243" s="421">
        <f t="shared" si="70"/>
        <v>0</v>
      </c>
      <c r="AR243" s="421">
        <f t="shared" si="70"/>
        <v>0</v>
      </c>
      <c r="AS243" s="421">
        <f t="shared" si="70"/>
        <v>0</v>
      </c>
      <c r="AT243" s="421">
        <f t="shared" si="70"/>
        <v>0</v>
      </c>
      <c r="AU243" s="421">
        <f t="shared" si="70"/>
        <v>0</v>
      </c>
      <c r="AV243" s="421">
        <f t="shared" si="70"/>
        <v>0</v>
      </c>
      <c r="AW243" s="421">
        <f t="shared" si="69"/>
        <v>42899.142500001064</v>
      </c>
      <c r="AX243" s="421">
        <f t="shared" si="69"/>
        <v>0</v>
      </c>
      <c r="AY243" s="421">
        <f t="shared" si="69"/>
        <v>-13998573.029924475</v>
      </c>
      <c r="AZ243" s="421">
        <f t="shared" si="69"/>
        <v>0</v>
      </c>
      <c r="BA243" s="421">
        <f t="shared" si="69"/>
        <v>0</v>
      </c>
      <c r="BB243" s="421">
        <f t="shared" si="69"/>
        <v>0</v>
      </c>
      <c r="BC243" s="421">
        <f t="shared" si="69"/>
        <v>-2880746.5800000113</v>
      </c>
      <c r="BD243" s="421">
        <f t="shared" si="69"/>
        <v>0</v>
      </c>
      <c r="BE243" s="421">
        <f>SUM(BE237:BE242)</f>
        <v>-170475.97229999999</v>
      </c>
      <c r="BF243" s="421">
        <f t="shared" si="69"/>
        <v>0</v>
      </c>
      <c r="BG243" s="388">
        <f>SUM(BG237:BG242)</f>
        <v>50859821.172498472</v>
      </c>
      <c r="BH243" s="388">
        <f>SUM(BH237:BH242)</f>
        <v>6606402751.560873</v>
      </c>
      <c r="BI243" s="82"/>
      <c r="BJ243" s="356"/>
      <c r="BK243" s="82"/>
    </row>
    <row r="244" spans="1:74" ht="15.75" outlineLevel="1" thickTop="1" x14ac:dyDescent="0.25">
      <c r="A244" s="317">
        <f t="shared" si="53"/>
        <v>47</v>
      </c>
      <c r="C244" s="406" t="s">
        <v>162</v>
      </c>
      <c r="D244" s="1258"/>
      <c r="E244" s="411"/>
      <c r="F244" s="411"/>
      <c r="G244" s="411"/>
      <c r="H244" s="411"/>
      <c r="I244" s="411"/>
      <c r="J244" s="411"/>
      <c r="K244" s="411"/>
      <c r="L244" s="411"/>
      <c r="M244" s="411"/>
      <c r="N244" s="411"/>
      <c r="O244" s="411"/>
      <c r="P244" s="411"/>
      <c r="Q244" s="411"/>
      <c r="R244" s="411"/>
      <c r="S244" s="411"/>
      <c r="T244" s="411"/>
      <c r="U244" s="411"/>
      <c r="V244" s="411"/>
      <c r="W244" s="411"/>
      <c r="X244" s="411"/>
      <c r="Y244" s="411"/>
      <c r="Z244" s="411"/>
      <c r="AA244" s="411"/>
      <c r="AB244" s="411"/>
      <c r="AC244" s="411"/>
      <c r="AD244" s="411"/>
      <c r="AE244" s="411"/>
      <c r="AF244" s="411"/>
      <c r="AG244" s="411"/>
      <c r="AH244" s="411"/>
      <c r="AI244" s="411"/>
      <c r="AJ244" s="411"/>
      <c r="AK244" s="411"/>
      <c r="AL244" s="411"/>
      <c r="AM244" s="411"/>
      <c r="AN244" s="411"/>
      <c r="AO244" s="411"/>
      <c r="AP244" s="411"/>
      <c r="AQ244" s="411"/>
      <c r="AR244" s="411"/>
      <c r="AS244" s="411"/>
      <c r="AT244" s="411"/>
      <c r="AU244" s="411"/>
      <c r="AV244" s="411"/>
      <c r="AW244" s="411"/>
      <c r="AX244" s="411"/>
      <c r="AY244" s="411"/>
      <c r="AZ244" s="411"/>
      <c r="BA244" s="411"/>
      <c r="BB244" s="411"/>
      <c r="BC244" s="411"/>
      <c r="BD244" s="411"/>
      <c r="BE244" s="411"/>
      <c r="BF244" s="411"/>
      <c r="BG244" s="351"/>
      <c r="BH244" s="351"/>
      <c r="BI244" s="82"/>
      <c r="BJ244" s="356"/>
      <c r="BK244" s="82"/>
    </row>
    <row r="245" spans="1:74" outlineLevel="1" x14ac:dyDescent="0.25">
      <c r="A245" s="317">
        <f t="shared" si="53"/>
        <v>48</v>
      </c>
      <c r="B245" s="365" t="s">
        <v>119</v>
      </c>
      <c r="C245" s="406" t="s">
        <v>162</v>
      </c>
      <c r="D245" s="1286">
        <f>+BH184</f>
        <v>7.6499999999999999E-2</v>
      </c>
      <c r="E245" s="422">
        <f>+'SEF-29 pg 1-2'!$C$13</f>
        <v>7.6499999999999999E-2</v>
      </c>
      <c r="F245" s="422">
        <f>+'SEF-29 pg 1-2'!$C$13</f>
        <v>7.6499999999999999E-2</v>
      </c>
      <c r="G245" s="422">
        <f>+'SEF-29 pg 1-2'!$C$13</f>
        <v>7.6499999999999999E-2</v>
      </c>
      <c r="H245" s="422">
        <f>+'SEF-29 pg 1-2'!$C$13</f>
        <v>7.6499999999999999E-2</v>
      </c>
      <c r="I245" s="422">
        <f>+'SEF-29 pg 1-2'!$C$13</f>
        <v>7.6499999999999999E-2</v>
      </c>
      <c r="J245" s="422">
        <f>+'SEF-29 pg 1-2'!$C$13</f>
        <v>7.6499999999999999E-2</v>
      </c>
      <c r="K245" s="422">
        <f>+'SEF-29 pg 1-2'!$C$13</f>
        <v>7.6499999999999999E-2</v>
      </c>
      <c r="L245" s="422">
        <f>+'SEF-29 pg 1-2'!$C$13</f>
        <v>7.6499999999999999E-2</v>
      </c>
      <c r="M245" s="422">
        <f>+'SEF-29 pg 1-2'!$C$13</f>
        <v>7.6499999999999999E-2</v>
      </c>
      <c r="N245" s="422">
        <f>+'SEF-29 pg 1-2'!$C$13</f>
        <v>7.6499999999999999E-2</v>
      </c>
      <c r="O245" s="422">
        <f>+'SEF-29 pg 1-2'!$C$13</f>
        <v>7.6499999999999999E-2</v>
      </c>
      <c r="P245" s="422">
        <f>+'SEF-29 pg 1-2'!$C$13</f>
        <v>7.6499999999999999E-2</v>
      </c>
      <c r="Q245" s="422">
        <f>+'SEF-29 pg 1-2'!$C$13</f>
        <v>7.6499999999999999E-2</v>
      </c>
      <c r="R245" s="422">
        <f>+'SEF-29 pg 1-2'!$C$13</f>
        <v>7.6499999999999999E-2</v>
      </c>
      <c r="S245" s="422">
        <f>+'SEF-29 pg 1-2'!$C$13</f>
        <v>7.6499999999999999E-2</v>
      </c>
      <c r="T245" s="422">
        <f>+'SEF-29 pg 1-2'!$C$13</f>
        <v>7.6499999999999999E-2</v>
      </c>
      <c r="U245" s="422">
        <f>+'SEF-29 pg 1-2'!$C$13</f>
        <v>7.6499999999999999E-2</v>
      </c>
      <c r="V245" s="422">
        <f>+'SEF-29 pg 1-2'!$C$13</f>
        <v>7.6499999999999999E-2</v>
      </c>
      <c r="W245" s="422">
        <f>+'SEF-29 pg 1-2'!$C$13</f>
        <v>7.6499999999999999E-2</v>
      </c>
      <c r="X245" s="422">
        <f>+'SEF-29 pg 1-2'!$C$13</f>
        <v>7.6499999999999999E-2</v>
      </c>
      <c r="Y245" s="422">
        <f>+'SEF-29 pg 1-2'!$C$13</f>
        <v>7.6499999999999999E-2</v>
      </c>
      <c r="Z245" s="422">
        <f>+'SEF-29 pg 1-2'!$C$13</f>
        <v>7.6499999999999999E-2</v>
      </c>
      <c r="AA245" s="422">
        <f>+'SEF-29 pg 1-2'!$C$13</f>
        <v>7.6499999999999999E-2</v>
      </c>
      <c r="AB245" s="422">
        <f>+'SEF-29 pg 1-2'!$C$13</f>
        <v>7.6499999999999999E-2</v>
      </c>
      <c r="AC245" s="422">
        <f>+'SEF-29 pg 1-2'!$C$13</f>
        <v>7.6499999999999999E-2</v>
      </c>
      <c r="AD245" s="422">
        <f>+'SEF-29 pg 1-2'!$C$13</f>
        <v>7.6499999999999999E-2</v>
      </c>
      <c r="AE245" s="422">
        <f>+'SEF-29 pg 1-2'!$C$13</f>
        <v>7.6499999999999999E-2</v>
      </c>
      <c r="AF245" s="422">
        <f>+'SEF-29 pg 1-2'!$C$13</f>
        <v>7.6499999999999999E-2</v>
      </c>
      <c r="AG245" s="422">
        <f>+'SEF-29 pg 1-2'!$C$13</f>
        <v>7.6499999999999999E-2</v>
      </c>
      <c r="AH245" s="422">
        <f>+'SEF-29 pg 1-2'!$C$13</f>
        <v>7.6499999999999999E-2</v>
      </c>
      <c r="AI245" s="422">
        <f>+'SEF-29 pg 1-2'!$C$13</f>
        <v>7.6499999999999999E-2</v>
      </c>
      <c r="AJ245" s="422">
        <f>+'SEF-29 pg 1-2'!$C$13</f>
        <v>7.6499999999999999E-2</v>
      </c>
      <c r="AK245" s="422">
        <f>+'SEF-29 pg 1-2'!$C$13</f>
        <v>7.6499999999999999E-2</v>
      </c>
      <c r="AL245" s="422">
        <f>+'SEF-29 pg 1-2'!$C$13</f>
        <v>7.6499999999999999E-2</v>
      </c>
      <c r="AM245" s="422">
        <f>+'SEF-29 pg 1-2'!$C$13</f>
        <v>7.6499999999999999E-2</v>
      </c>
      <c r="AN245" s="422">
        <f>+'SEF-29 pg 1-2'!$C$13</f>
        <v>7.6499999999999999E-2</v>
      </c>
      <c r="AO245" s="422">
        <f>+'SEF-29 pg 1-2'!$C$13</f>
        <v>7.6499999999999999E-2</v>
      </c>
      <c r="AP245" s="422">
        <f>+'SEF-29 pg 1-2'!$C$13</f>
        <v>7.6499999999999999E-2</v>
      </c>
      <c r="AQ245" s="422">
        <f>+'SEF-29 pg 1-2'!$C$13</f>
        <v>7.6499999999999999E-2</v>
      </c>
      <c r="AR245" s="422">
        <f>+'SEF-29 pg 1-2'!$C$13</f>
        <v>7.6499999999999999E-2</v>
      </c>
      <c r="AS245" s="422">
        <f>+'SEF-29 pg 1-2'!$C$13</f>
        <v>7.6499999999999999E-2</v>
      </c>
      <c r="AT245" s="422">
        <f>+'SEF-29 pg 1-2'!$C$13</f>
        <v>7.6499999999999999E-2</v>
      </c>
      <c r="AU245" s="422">
        <f>+'SEF-29 pg 1-2'!$C$13</f>
        <v>7.6499999999999999E-2</v>
      </c>
      <c r="AV245" s="422">
        <f>+'SEF-29 pg 1-2'!$C$13</f>
        <v>7.6499999999999999E-2</v>
      </c>
      <c r="AW245" s="422">
        <f>+'SEF-29 pg 1-2'!$C$13</f>
        <v>7.6499999999999999E-2</v>
      </c>
      <c r="AX245" s="422">
        <f>+'SEF-29 pg 1-2'!$C$13</f>
        <v>7.6499999999999999E-2</v>
      </c>
      <c r="AY245" s="422">
        <f>+'SEF-29 pg 1-2'!$C$13</f>
        <v>7.6499999999999999E-2</v>
      </c>
      <c r="AZ245" s="422">
        <f>+'SEF-29 pg 1-2'!$C$13</f>
        <v>7.6499999999999999E-2</v>
      </c>
      <c r="BA245" s="422">
        <f>+'SEF-29 pg 1-2'!$C$13</f>
        <v>7.6499999999999999E-2</v>
      </c>
      <c r="BB245" s="422">
        <f>+'SEF-29 pg 1-2'!$C$13</f>
        <v>7.6499999999999999E-2</v>
      </c>
      <c r="BC245" s="422">
        <f>+'SEF-29 pg 1-2'!$C$13</f>
        <v>7.6499999999999999E-2</v>
      </c>
      <c r="BD245" s="422">
        <f>+'SEF-29 pg 1-2'!$C$13</f>
        <v>7.6499999999999999E-2</v>
      </c>
      <c r="BE245" s="422">
        <f>+'SEF-29 pg 1-2'!$C$13</f>
        <v>7.6499999999999999E-2</v>
      </c>
      <c r="BF245" s="422">
        <f>+'SEF-29 pg 1-2'!$C$13</f>
        <v>7.6499999999999999E-2</v>
      </c>
      <c r="BG245" s="81">
        <f>+'SEF-29 pg 1-2'!$C$13</f>
        <v>7.6499999999999999E-2</v>
      </c>
      <c r="BH245" s="81">
        <f>+'SEF-29 pg 1-2'!$C$13</f>
        <v>7.6499999999999999E-2</v>
      </c>
      <c r="BI245" s="82"/>
      <c r="BJ245" s="356"/>
      <c r="BK245" s="82"/>
    </row>
    <row r="246" spans="1:74" outlineLevel="1" x14ac:dyDescent="0.25">
      <c r="A246" s="317">
        <f t="shared" si="53"/>
        <v>49</v>
      </c>
      <c r="B246" s="365" t="s">
        <v>3</v>
      </c>
      <c r="C246" s="406" t="s">
        <v>162</v>
      </c>
      <c r="D246" s="1271">
        <f>+'SEF-31'!$E$20</f>
        <v>0.75052300000000005</v>
      </c>
      <c r="E246" s="391">
        <f>+'SEF-31'!$E$20</f>
        <v>0.75052300000000005</v>
      </c>
      <c r="F246" s="391">
        <f>+'SEF-31'!$E$20</f>
        <v>0.75052300000000005</v>
      </c>
      <c r="G246" s="391">
        <f>+'SEF-31'!$E$20</f>
        <v>0.75052300000000005</v>
      </c>
      <c r="H246" s="391">
        <f>+'SEF-31'!$E$20</f>
        <v>0.75052300000000005</v>
      </c>
      <c r="I246" s="391">
        <f>+'SEF-31'!$E$20</f>
        <v>0.75052300000000005</v>
      </c>
      <c r="J246" s="391">
        <f>+'SEF-31'!$E$20</f>
        <v>0.75052300000000005</v>
      </c>
      <c r="K246" s="391">
        <f>+'SEF-31'!$E$20</f>
        <v>0.75052300000000005</v>
      </c>
      <c r="L246" s="391">
        <f>+'SEF-31'!$E$20</f>
        <v>0.75052300000000005</v>
      </c>
      <c r="M246" s="391">
        <f>+'SEF-31'!$E$20</f>
        <v>0.75052300000000005</v>
      </c>
      <c r="N246" s="391">
        <f>+'SEF-31'!$E$20</f>
        <v>0.75052300000000005</v>
      </c>
      <c r="O246" s="391">
        <f>+'SEF-31'!$E$20</f>
        <v>0.75052300000000005</v>
      </c>
      <c r="P246" s="391">
        <f>+'SEF-31'!$E$20</f>
        <v>0.75052300000000005</v>
      </c>
      <c r="Q246" s="391">
        <f>+'SEF-31'!$E$20</f>
        <v>0.75052300000000005</v>
      </c>
      <c r="R246" s="391">
        <f>+'SEF-31'!$E$20</f>
        <v>0.75052300000000005</v>
      </c>
      <c r="S246" s="391">
        <f>+'SEF-31'!$E$20</f>
        <v>0.75052300000000005</v>
      </c>
      <c r="T246" s="391">
        <f>+'SEF-31'!$E$20</f>
        <v>0.75052300000000005</v>
      </c>
      <c r="U246" s="391">
        <f>+'SEF-31'!$E$20</f>
        <v>0.75052300000000005</v>
      </c>
      <c r="V246" s="391">
        <f>+'SEF-31'!$E$20</f>
        <v>0.75052300000000005</v>
      </c>
      <c r="W246" s="391">
        <f>+'SEF-31'!$E$20</f>
        <v>0.75052300000000005</v>
      </c>
      <c r="X246" s="391">
        <f>+'SEF-31'!$E$20</f>
        <v>0.75052300000000005</v>
      </c>
      <c r="Y246" s="391">
        <f>+'SEF-31'!$E$20</f>
        <v>0.75052300000000005</v>
      </c>
      <c r="Z246" s="391">
        <f>+'SEF-31'!$E$20</f>
        <v>0.75052300000000005</v>
      </c>
      <c r="AA246" s="391">
        <f>+'SEF-31'!$E$20</f>
        <v>0.75052300000000005</v>
      </c>
      <c r="AB246" s="391">
        <f>+'SEF-31'!$E$20</f>
        <v>0.75052300000000005</v>
      </c>
      <c r="AC246" s="391">
        <f>+'SEF-31'!$E$20</f>
        <v>0.75052300000000005</v>
      </c>
      <c r="AD246" s="391">
        <f>+'SEF-31'!$E$20</f>
        <v>0.75052300000000005</v>
      </c>
      <c r="AE246" s="391">
        <f>+'SEF-31'!$E$20</f>
        <v>0.75052300000000005</v>
      </c>
      <c r="AF246" s="391">
        <f>+'SEF-31'!$E$20</f>
        <v>0.75052300000000005</v>
      </c>
      <c r="AG246" s="391">
        <f>+'SEF-31'!$E$20</f>
        <v>0.75052300000000005</v>
      </c>
      <c r="AH246" s="391">
        <f>+'SEF-31'!$E$20</f>
        <v>0.75052300000000005</v>
      </c>
      <c r="AI246" s="391">
        <f>+'SEF-31'!$E$20</f>
        <v>0.75052300000000005</v>
      </c>
      <c r="AJ246" s="391">
        <f>+'SEF-31'!$E$20</f>
        <v>0.75052300000000005</v>
      </c>
      <c r="AK246" s="391">
        <f>+'SEF-31'!$E$20</f>
        <v>0.75052300000000005</v>
      </c>
      <c r="AL246" s="391">
        <f>+'SEF-31'!$E$20</f>
        <v>0.75052300000000005</v>
      </c>
      <c r="AM246" s="391">
        <f>+'SEF-31'!$E$20</f>
        <v>0.75052300000000005</v>
      </c>
      <c r="AN246" s="391">
        <f>+'SEF-31'!$E$20</f>
        <v>0.75052300000000005</v>
      </c>
      <c r="AO246" s="391">
        <f>+'SEF-31'!$E$20</f>
        <v>0.75052300000000005</v>
      </c>
      <c r="AP246" s="391">
        <f>+'SEF-31'!$E$20</f>
        <v>0.75052300000000005</v>
      </c>
      <c r="AQ246" s="411">
        <f>+'SEF-31'!$E$20</f>
        <v>0.75052300000000005</v>
      </c>
      <c r="AR246" s="411">
        <f>+'SEF-31'!$E$20</f>
        <v>0.75052300000000005</v>
      </c>
      <c r="AS246" s="411">
        <f>+'SEF-31'!$E$20</f>
        <v>0.75052300000000005</v>
      </c>
      <c r="AT246" s="411">
        <f>+'SEF-31'!$E$20</f>
        <v>0.75052300000000005</v>
      </c>
      <c r="AU246" s="411">
        <f>+'SEF-31'!$E$20</f>
        <v>0.75052300000000005</v>
      </c>
      <c r="AV246" s="391">
        <f>+'SEF-31'!$E$20</f>
        <v>0.75052300000000005</v>
      </c>
      <c r="AW246" s="391">
        <f>+'SEF-31'!$E$20</f>
        <v>0.75052300000000005</v>
      </c>
      <c r="AX246" s="391">
        <f>+'SEF-31'!$E$20</f>
        <v>0.75052300000000005</v>
      </c>
      <c r="AY246" s="391">
        <f>+'SEF-31'!$E$20</f>
        <v>0.75052300000000005</v>
      </c>
      <c r="AZ246" s="391">
        <f>+'SEF-31'!$E$20</f>
        <v>0.75052300000000005</v>
      </c>
      <c r="BA246" s="391">
        <f>+'SEF-31'!$E$20</f>
        <v>0.75052300000000005</v>
      </c>
      <c r="BB246" s="391">
        <f>+'SEF-31'!$E$20</f>
        <v>0.75052300000000005</v>
      </c>
      <c r="BC246" s="391">
        <f>+'SEF-31'!$E$20</f>
        <v>0.75052300000000005</v>
      </c>
      <c r="BD246" s="391">
        <f>+'SEF-31'!$E$20</f>
        <v>0.75052300000000005</v>
      </c>
      <c r="BE246" s="391">
        <f>+'SEF-31'!$E$20</f>
        <v>0.75052300000000005</v>
      </c>
      <c r="BF246" s="391">
        <f>+'SEF-31'!$E$20</f>
        <v>0.75052300000000005</v>
      </c>
      <c r="BG246" s="390">
        <f>+'SEF-31'!$E$20</f>
        <v>0.75052300000000005</v>
      </c>
      <c r="BH246" s="390">
        <f>+'SEF-31'!$E$20</f>
        <v>0.75052300000000005</v>
      </c>
      <c r="BI246" s="82"/>
      <c r="BJ246" s="356"/>
      <c r="BK246" s="82"/>
    </row>
    <row r="247" spans="1:74" outlineLevel="1" x14ac:dyDescent="0.25">
      <c r="A247" s="317">
        <f t="shared" si="53"/>
        <v>50</v>
      </c>
      <c r="B247" s="365" t="s">
        <v>152</v>
      </c>
      <c r="C247" s="406" t="s">
        <v>162</v>
      </c>
      <c r="D247" s="1272">
        <f>+D230-(D243*D245)</f>
        <v>-405560310.51649946</v>
      </c>
      <c r="E247" s="392">
        <f t="shared" ref="E247:BF247" si="71">+E230-(E243*E245)</f>
        <v>5864385.0230842121</v>
      </c>
      <c r="F247" s="414">
        <f t="shared" si="71"/>
        <v>0</v>
      </c>
      <c r="G247" s="414">
        <f t="shared" si="71"/>
        <v>0</v>
      </c>
      <c r="H247" s="414">
        <f t="shared" si="71"/>
        <v>455130.5393555006</v>
      </c>
      <c r="I247" s="414">
        <f t="shared" si="71"/>
        <v>835836.62346682185</v>
      </c>
      <c r="J247" s="414">
        <f t="shared" si="71"/>
        <v>0</v>
      </c>
      <c r="K247" s="414">
        <f t="shared" si="71"/>
        <v>0</v>
      </c>
      <c r="L247" s="414">
        <f t="shared" si="71"/>
        <v>0</v>
      </c>
      <c r="M247" s="414">
        <f t="shared" si="71"/>
        <v>0</v>
      </c>
      <c r="N247" s="414">
        <f t="shared" si="71"/>
        <v>0</v>
      </c>
      <c r="O247" s="414">
        <f t="shared" si="71"/>
        <v>-69979.760459128389</v>
      </c>
      <c r="P247" s="414">
        <f t="shared" si="71"/>
        <v>0</v>
      </c>
      <c r="Q247" s="414">
        <f t="shared" si="71"/>
        <v>0</v>
      </c>
      <c r="R247" s="414">
        <f t="shared" si="71"/>
        <v>0</v>
      </c>
      <c r="S247" s="414">
        <f t="shared" si="71"/>
        <v>16099.415266666794</v>
      </c>
      <c r="T247" s="414">
        <f t="shared" si="71"/>
        <v>0</v>
      </c>
      <c r="U247" s="414">
        <f t="shared" si="71"/>
        <v>0</v>
      </c>
      <c r="V247" s="414">
        <f t="shared" si="71"/>
        <v>0</v>
      </c>
      <c r="W247" s="414">
        <f t="shared" si="71"/>
        <v>0</v>
      </c>
      <c r="X247" s="414">
        <f t="shared" si="71"/>
        <v>0</v>
      </c>
      <c r="Y247" s="414">
        <f t="shared" si="71"/>
        <v>0</v>
      </c>
      <c r="Z247" s="414">
        <f t="shared" si="71"/>
        <v>-24075305.605324887</v>
      </c>
      <c r="AA247" s="414">
        <f t="shared" si="71"/>
        <v>0</v>
      </c>
      <c r="AB247" s="414">
        <f t="shared" si="71"/>
        <v>-7645649.3846697286</v>
      </c>
      <c r="AC247" s="414">
        <f t="shared" si="71"/>
        <v>228474.10578381649</v>
      </c>
      <c r="AD247" s="414">
        <f t="shared" si="71"/>
        <v>0</v>
      </c>
      <c r="AE247" s="414">
        <f t="shared" si="71"/>
        <v>19038810.361956622</v>
      </c>
      <c r="AF247" s="414">
        <f t="shared" si="71"/>
        <v>1250411.4543149986</v>
      </c>
      <c r="AG247" s="414">
        <f t="shared" si="71"/>
        <v>-27397079.038220674</v>
      </c>
      <c r="AH247" s="414">
        <f t="shared" si="71"/>
        <v>-7381557.6955000022</v>
      </c>
      <c r="AI247" s="414">
        <f t="shared" si="71"/>
        <v>-5258520.6226749886</v>
      </c>
      <c r="AJ247" s="414">
        <f t="shared" si="71"/>
        <v>-18635975.929541886</v>
      </c>
      <c r="AK247" s="414">
        <f>+AK230-(AK243*AK245)</f>
        <v>0</v>
      </c>
      <c r="AL247" s="392">
        <f>+AL230-(AL243*AL245)</f>
        <v>-8102989.6878311252</v>
      </c>
      <c r="AM247" s="414">
        <f t="shared" ref="AM247:AV247" si="72">+AM230-(AM243*AM245)</f>
        <v>-109020</v>
      </c>
      <c r="AN247" s="414">
        <f t="shared" si="72"/>
        <v>-5698368.7499999646</v>
      </c>
      <c r="AO247" s="414">
        <f t="shared" si="72"/>
        <v>-444846.3825050923</v>
      </c>
      <c r="AP247" s="392">
        <f t="shared" si="72"/>
        <v>-2006100.9934268999</v>
      </c>
      <c r="AQ247" s="414">
        <f t="shared" si="72"/>
        <v>0</v>
      </c>
      <c r="AR247" s="414">
        <f t="shared" si="72"/>
        <v>0</v>
      </c>
      <c r="AS247" s="414">
        <f t="shared" si="72"/>
        <v>0</v>
      </c>
      <c r="AT247" s="414">
        <f t="shared" si="72"/>
        <v>0</v>
      </c>
      <c r="AU247" s="414">
        <f t="shared" si="72"/>
        <v>0</v>
      </c>
      <c r="AV247" s="392">
        <f t="shared" si="72"/>
        <v>-109193701.3612794</v>
      </c>
      <c r="AW247" s="414">
        <f t="shared" si="71"/>
        <v>-3281.7844012500814</v>
      </c>
      <c r="AX247" s="414">
        <f t="shared" si="71"/>
        <v>-806862.43018333323</v>
      </c>
      <c r="AY247" s="414">
        <f t="shared" si="71"/>
        <v>3176479.341721599</v>
      </c>
      <c r="AZ247" s="414">
        <f t="shared" si="71"/>
        <v>0</v>
      </c>
      <c r="BA247" s="414">
        <f t="shared" si="71"/>
        <v>4194471.6992107397</v>
      </c>
      <c r="BB247" s="414">
        <f t="shared" si="71"/>
        <v>0</v>
      </c>
      <c r="BC247" s="414">
        <f t="shared" si="71"/>
        <v>220377.11337000085</v>
      </c>
      <c r="BD247" s="414">
        <f t="shared" si="71"/>
        <v>0</v>
      </c>
      <c r="BE247" s="414">
        <f>+BE230-(BE243*BE245)</f>
        <v>-674489.65728925506</v>
      </c>
      <c r="BF247" s="414">
        <f t="shared" si="71"/>
        <v>-1203226.320895575</v>
      </c>
      <c r="BG247" s="371">
        <f>SUM(E247:BF247)</f>
        <v>-183426479.7266722</v>
      </c>
      <c r="BH247" s="371">
        <f>+BH230-(BH243*BH245)</f>
        <v>-588986790.24317074</v>
      </c>
      <c r="BI247" s="82"/>
      <c r="BJ247" s="356"/>
      <c r="BK247" s="82"/>
    </row>
    <row r="248" spans="1:74" outlineLevel="1" x14ac:dyDescent="0.25">
      <c r="A248" s="317">
        <f t="shared" si="53"/>
        <v>51</v>
      </c>
      <c r="B248" s="365" t="s">
        <v>153</v>
      </c>
      <c r="C248" s="406" t="s">
        <v>162</v>
      </c>
      <c r="D248" s="1272">
        <f>-D247/D246</f>
        <v>540370262.49228799</v>
      </c>
      <c r="E248" s="392">
        <f t="shared" ref="E248:BF248" si="73">-E247/E246</f>
        <v>-7813731.2555167684</v>
      </c>
      <c r="F248" s="414">
        <f t="shared" si="73"/>
        <v>0</v>
      </c>
      <c r="G248" s="414">
        <f t="shared" si="73"/>
        <v>0</v>
      </c>
      <c r="H248" s="392">
        <f t="shared" si="73"/>
        <v>-606417.84376428241</v>
      </c>
      <c r="I248" s="392">
        <f t="shared" si="73"/>
        <v>-1113672.2305203462</v>
      </c>
      <c r="J248" s="414">
        <f t="shared" si="73"/>
        <v>0</v>
      </c>
      <c r="K248" s="414">
        <f t="shared" si="73"/>
        <v>0</v>
      </c>
      <c r="L248" s="414">
        <f t="shared" si="73"/>
        <v>0</v>
      </c>
      <c r="M248" s="414">
        <f t="shared" si="73"/>
        <v>0</v>
      </c>
      <c r="N248" s="414">
        <f t="shared" si="73"/>
        <v>0</v>
      </c>
      <c r="O248" s="392">
        <f t="shared" si="73"/>
        <v>93241.326993481052</v>
      </c>
      <c r="P248" s="414">
        <f t="shared" si="73"/>
        <v>0</v>
      </c>
      <c r="Q248" s="414">
        <f t="shared" si="73"/>
        <v>0</v>
      </c>
      <c r="R248" s="414">
        <f t="shared" si="73"/>
        <v>0</v>
      </c>
      <c r="S248" s="392">
        <f t="shared" si="73"/>
        <v>-21450.928574696303</v>
      </c>
      <c r="T248" s="414">
        <f t="shared" si="73"/>
        <v>0</v>
      </c>
      <c r="U248" s="414">
        <f t="shared" si="73"/>
        <v>0</v>
      </c>
      <c r="V248" s="414">
        <f t="shared" si="73"/>
        <v>0</v>
      </c>
      <c r="W248" s="414">
        <f t="shared" si="73"/>
        <v>0</v>
      </c>
      <c r="X248" s="414">
        <f t="shared" si="73"/>
        <v>0</v>
      </c>
      <c r="Y248" s="414">
        <f t="shared" si="73"/>
        <v>0</v>
      </c>
      <c r="Z248" s="392">
        <f t="shared" si="73"/>
        <v>32078038.388330385</v>
      </c>
      <c r="AA248" s="414">
        <f t="shared" si="73"/>
        <v>0</v>
      </c>
      <c r="AB248" s="392">
        <f t="shared" si="73"/>
        <v>10187095.378382446</v>
      </c>
      <c r="AC248" s="392">
        <f t="shared" si="73"/>
        <v>-304419.85893012804</v>
      </c>
      <c r="AD248" s="414">
        <f t="shared" si="73"/>
        <v>0</v>
      </c>
      <c r="AE248" s="392">
        <f t="shared" si="73"/>
        <v>-25367390.955315989</v>
      </c>
      <c r="AF248" s="392">
        <f t="shared" si="73"/>
        <v>-1666053.4777948158</v>
      </c>
      <c r="AG248" s="392">
        <f t="shared" si="73"/>
        <v>36503983.273291655</v>
      </c>
      <c r="AH248" s="392">
        <f t="shared" si="73"/>
        <v>9835218.5016315319</v>
      </c>
      <c r="AI248" s="392">
        <f t="shared" si="73"/>
        <v>7006474.9816794265</v>
      </c>
      <c r="AJ248" s="392">
        <f t="shared" si="73"/>
        <v>24830652.664264631</v>
      </c>
      <c r="AK248" s="414">
        <f>-AK247/AK246</f>
        <v>0</v>
      </c>
      <c r="AL248" s="392">
        <f>-AL247/AL246</f>
        <v>10796457.520730376</v>
      </c>
      <c r="AM248" s="392">
        <f t="shared" ref="AM248:AV248" si="74">-AM247/AM246</f>
        <v>145258.7062621665</v>
      </c>
      <c r="AN248" s="392">
        <f t="shared" si="74"/>
        <v>7592530.4754150966</v>
      </c>
      <c r="AO248" s="392">
        <f t="shared" si="74"/>
        <v>592715.18994766613</v>
      </c>
      <c r="AP248" s="392">
        <f t="shared" si="74"/>
        <v>2672937.3962248988</v>
      </c>
      <c r="AQ248" s="414">
        <f t="shared" si="74"/>
        <v>0</v>
      </c>
      <c r="AR248" s="414">
        <f t="shared" si="74"/>
        <v>0</v>
      </c>
      <c r="AS248" s="414">
        <f t="shared" si="74"/>
        <v>0</v>
      </c>
      <c r="AT248" s="414">
        <f t="shared" si="74"/>
        <v>0</v>
      </c>
      <c r="AU248" s="414">
        <f t="shared" si="74"/>
        <v>0</v>
      </c>
      <c r="AV248" s="392">
        <f t="shared" si="74"/>
        <v>145490146.68608344</v>
      </c>
      <c r="AW248" s="392">
        <f t="shared" si="73"/>
        <v>4372.663331103885</v>
      </c>
      <c r="AX248" s="392">
        <f t="shared" si="73"/>
        <v>1075066.893597309</v>
      </c>
      <c r="AY248" s="392">
        <f t="shared" si="73"/>
        <v>-4232354.4271416049</v>
      </c>
      <c r="AZ248" s="414">
        <f t="shared" si="73"/>
        <v>0</v>
      </c>
      <c r="BA248" s="392">
        <f t="shared" si="73"/>
        <v>-5588731.72335923</v>
      </c>
      <c r="BB248" s="414">
        <f t="shared" si="73"/>
        <v>0</v>
      </c>
      <c r="BC248" s="392">
        <f t="shared" si="73"/>
        <v>-293631.39220250526</v>
      </c>
      <c r="BD248" s="414">
        <f t="shared" si="73"/>
        <v>0</v>
      </c>
      <c r="BE248" s="392">
        <f>-BE247/BE246</f>
        <v>898692.85456842103</v>
      </c>
      <c r="BF248" s="392">
        <f t="shared" si="73"/>
        <v>1603183.8076855405</v>
      </c>
      <c r="BG248" s="371">
        <f>-BG247/BG246</f>
        <v>244398212.6152992</v>
      </c>
      <c r="BH248" s="371">
        <f>-BH247/BH246</f>
        <v>784768475.10758591</v>
      </c>
      <c r="BI248" s="82"/>
      <c r="BJ248" s="356"/>
      <c r="BK248" s="82"/>
    </row>
    <row r="249" spans="1:74" outlineLevel="1" x14ac:dyDescent="0.25">
      <c r="A249" s="317">
        <f t="shared" si="53"/>
        <v>52</v>
      </c>
      <c r="B249" s="365" t="s">
        <v>128</v>
      </c>
      <c r="C249" s="406" t="s">
        <v>162</v>
      </c>
      <c r="D249" s="1260"/>
      <c r="E249" s="414"/>
      <c r="F249" s="414"/>
      <c r="G249" s="414"/>
      <c r="H249" s="414"/>
      <c r="I249" s="414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  <c r="AA249" s="414"/>
      <c r="AB249" s="414"/>
      <c r="AC249" s="414"/>
      <c r="AD249" s="414"/>
      <c r="AE249" s="414"/>
      <c r="AF249" s="414"/>
      <c r="AG249" s="414"/>
      <c r="AH249" s="414"/>
      <c r="AI249" s="414"/>
      <c r="AJ249" s="414"/>
      <c r="AK249" s="414"/>
      <c r="AL249" s="414"/>
      <c r="AM249" s="414"/>
      <c r="AN249" s="414"/>
      <c r="AO249" s="414"/>
      <c r="AP249" s="414"/>
      <c r="AQ249" s="414"/>
      <c r="AR249" s="414"/>
      <c r="AS249" s="414"/>
      <c r="AT249" s="414"/>
      <c r="AU249" s="414"/>
      <c r="AV249" s="414"/>
      <c r="AW249" s="414"/>
      <c r="AX249" s="414"/>
      <c r="AY249" s="414"/>
      <c r="AZ249" s="414"/>
      <c r="BA249" s="414"/>
      <c r="BB249" s="414"/>
      <c r="BC249" s="414"/>
      <c r="BD249" s="414"/>
      <c r="BE249" s="414"/>
      <c r="BF249" s="414"/>
      <c r="BG249" s="357"/>
      <c r="BH249" s="371">
        <f>BH188</f>
        <v>-392046221.33914036</v>
      </c>
      <c r="BI249" s="82"/>
      <c r="BJ249" s="356"/>
      <c r="BK249" s="82"/>
    </row>
    <row r="250" spans="1:74" outlineLevel="1" x14ac:dyDescent="0.25">
      <c r="A250" s="317">
        <f t="shared" si="53"/>
        <v>53</v>
      </c>
      <c r="B250" s="365" t="s">
        <v>129</v>
      </c>
      <c r="C250" s="406" t="s">
        <v>162</v>
      </c>
      <c r="D250" s="1260"/>
      <c r="E250" s="414"/>
      <c r="F250" s="414"/>
      <c r="G250" s="414"/>
      <c r="H250" s="414"/>
      <c r="I250" s="414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  <c r="AA250" s="414"/>
      <c r="AB250" s="414"/>
      <c r="AC250" s="414"/>
      <c r="AD250" s="414"/>
      <c r="AE250" s="414"/>
      <c r="AF250" s="414"/>
      <c r="AG250" s="414"/>
      <c r="AH250" s="414"/>
      <c r="AI250" s="414"/>
      <c r="AJ250" s="414"/>
      <c r="AK250" s="414"/>
      <c r="AL250" s="414"/>
      <c r="AM250" s="414"/>
      <c r="AN250" s="414"/>
      <c r="AO250" s="414"/>
      <c r="AP250" s="414"/>
      <c r="AQ250" s="414"/>
      <c r="AR250" s="414"/>
      <c r="AS250" s="414"/>
      <c r="AT250" s="414"/>
      <c r="AU250" s="414"/>
      <c r="AV250" s="414"/>
      <c r="AW250" s="414"/>
      <c r="AX250" s="414"/>
      <c r="AY250" s="414"/>
      <c r="AZ250" s="414"/>
      <c r="BA250" s="414"/>
      <c r="BB250" s="414"/>
      <c r="BC250" s="414"/>
      <c r="BD250" s="414"/>
      <c r="BE250" s="414"/>
      <c r="BF250" s="414"/>
      <c r="BG250" s="357"/>
      <c r="BH250" s="371">
        <f>SUM(BH248:BH249)</f>
        <v>392722253.76844555</v>
      </c>
      <c r="BI250" s="82"/>
      <c r="BJ250" s="356"/>
      <c r="BK250" s="82"/>
    </row>
    <row r="251" spans="1:74" outlineLevel="1" x14ac:dyDescent="0.25">
      <c r="A251" s="65" t="s">
        <v>30</v>
      </c>
      <c r="B251" s="365"/>
      <c r="C251" s="406"/>
      <c r="D251" s="1273"/>
      <c r="E251" s="414"/>
      <c r="F251" s="414"/>
      <c r="G251" s="414"/>
      <c r="H251" s="414"/>
      <c r="I251" s="414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  <c r="AA251" s="414"/>
      <c r="AB251" s="414"/>
      <c r="AC251" s="414"/>
      <c r="AD251" s="414"/>
      <c r="AE251" s="414"/>
      <c r="AF251" s="414"/>
      <c r="AG251" s="414"/>
      <c r="AH251" s="414"/>
      <c r="AI251" s="414"/>
      <c r="AJ251" s="414"/>
      <c r="AK251" s="414"/>
      <c r="AL251" s="414"/>
      <c r="AM251" s="414"/>
      <c r="AN251" s="414"/>
      <c r="AO251" s="414"/>
      <c r="AP251" s="414"/>
      <c r="AQ251" s="414"/>
      <c r="AR251" s="414"/>
      <c r="AS251" s="414"/>
      <c r="AT251" s="414"/>
      <c r="AU251" s="414"/>
      <c r="AV251" s="414"/>
      <c r="AW251" s="414"/>
      <c r="AX251" s="414"/>
      <c r="AY251" s="414"/>
      <c r="AZ251" s="414"/>
      <c r="BA251" s="414"/>
      <c r="BB251" s="414"/>
      <c r="BC251" s="414"/>
      <c r="BD251" s="414"/>
      <c r="BE251" s="414"/>
      <c r="BF251" s="414"/>
      <c r="BG251" s="393"/>
      <c r="BH251" s="393"/>
      <c r="BI251" s="82"/>
      <c r="BJ251" s="356"/>
      <c r="BK251" s="82"/>
    </row>
    <row r="252" spans="1:74" outlineLevel="1" x14ac:dyDescent="0.25">
      <c r="B252" s="365"/>
      <c r="C252" s="406"/>
      <c r="D252" s="1274"/>
      <c r="BG252" s="80">
        <f>+'SEF-29 pg 1-2'!$K$24</f>
        <v>7.6499999999999999E-2</v>
      </c>
      <c r="BH252" s="80">
        <f>+'SEF-29 pg 1-2'!$K$24</f>
        <v>7.6499999999999999E-2</v>
      </c>
      <c r="BI252" s="82"/>
      <c r="BJ252" s="356"/>
      <c r="BK252" s="82"/>
    </row>
    <row r="253" spans="1:74" outlineLevel="1" x14ac:dyDescent="0.25">
      <c r="B253" s="395" t="s">
        <v>154</v>
      </c>
      <c r="C253" s="406" t="s">
        <v>162</v>
      </c>
      <c r="D253" s="1275"/>
      <c r="E253" s="397">
        <f>ROUND('SEF-32 pg 1-34, 46'!K82-E230,0)+E232</f>
        <v>0</v>
      </c>
      <c r="F253" s="397">
        <f>ROUND('SEF-32 pg 1-34, 46'!AC76-F230,0)+F232</f>
        <v>0</v>
      </c>
      <c r="G253" s="397">
        <v>0</v>
      </c>
      <c r="H253" s="397">
        <f>ROUND('SEF-32 pg 1-34, 46'!BK24-H230,0)+ROUND('SEF-32 pg 1-34, 46'!BK29-H232,0)</f>
        <v>0</v>
      </c>
      <c r="I253" s="397">
        <f>ROUND('SEF-32 pg 1-34, 46'!CC24-I230,0)+I232</f>
        <v>0</v>
      </c>
      <c r="J253" s="397">
        <f>ROUND('SEF-32 pg 1-34, 46'!CU21-J230,0)+J232</f>
        <v>0</v>
      </c>
      <c r="K253" s="397">
        <f>ROUND('SEF-32 pg 1-34, 46'!DM26-K230,0)+K232</f>
        <v>0</v>
      </c>
      <c r="L253" s="397">
        <f>ROUND('SEF-32 pg 1-34, 46'!EE22-L230,0)+L232</f>
        <v>0</v>
      </c>
      <c r="M253" s="397">
        <f>ROUND('SEF-32 pg 1-34, 46'!EW27-M230,0)+M232</f>
        <v>0</v>
      </c>
      <c r="N253" s="397">
        <f>ROUND('SEF-32 pg 1-34, 46'!FO23-N230,0)+N232</f>
        <v>0</v>
      </c>
      <c r="O253" s="397">
        <f>ROUND('SEF-32 pg 1-34, 46'!GG31-O230,0)+O232</f>
        <v>0</v>
      </c>
      <c r="P253" s="397">
        <f>ROUND('SEF-32 pg 1-34, 46'!GY37-P230,0)+P232</f>
        <v>0</v>
      </c>
      <c r="Q253" s="397">
        <f>ROUND('SEF-32 pg 1-34, 46'!HQ18-Q230,0)+Q232</f>
        <v>0</v>
      </c>
      <c r="R253" s="397">
        <f>ROUND('SEF-32 pg 1-34, 46'!II23-R230,0)+R232</f>
        <v>0</v>
      </c>
      <c r="S253" s="397">
        <f>ROUND('SEF-32 pg 1-34, 46'!JA22-S230,0)+S232</f>
        <v>0</v>
      </c>
      <c r="T253" s="397">
        <f>ROUND('SEF-32 pg 1-34, 46'!JS23-T230,0)+T232</f>
        <v>0</v>
      </c>
      <c r="U253" s="397">
        <f>ROUND('SEF-32 pg 1-34, 46'!KK20-U230,0)+U232</f>
        <v>0</v>
      </c>
      <c r="V253" s="397">
        <f>ROUND('SEF-32 pg 1-34, 46'!LC32-V230,0)+V232</f>
        <v>0</v>
      </c>
      <c r="W253" s="397">
        <f>ROUND('SEF-32 pg 1-34, 46'!LU22-W230,0)+W232</f>
        <v>0</v>
      </c>
      <c r="X253" s="397">
        <f>ROUND('SEF-32 pg 1-34, 46'!MM31-X230,0)+ROUND('SEF-32 pg 1-34, 46'!MM36-X232,0)</f>
        <v>0</v>
      </c>
      <c r="Y253" s="397">
        <f>ROUND('SEF-32 pg 1-34, 46'!NE21-Y230,0)+Y232</f>
        <v>0</v>
      </c>
      <c r="Z253" s="397">
        <f>ROUND('SEF-32 pg 1-34, 46'!NW33-Z230,0)+Z232</f>
        <v>0</v>
      </c>
      <c r="AA253" s="397">
        <f>ROUND('SEF-32 pg 1-34, 46'!OO35-AA230,0)+ROUND('SEF-32 pg 1-34, 46'!OO24-AA232,0)</f>
        <v>0</v>
      </c>
      <c r="AB253" s="397">
        <f>ROUND('SEF-32 pg 1-34, 46'!PG53-AB230,0)+ROUND('SEF-32 pg 1-34, 46'!PG35-AB232,0)</f>
        <v>0</v>
      </c>
      <c r="AC253" s="397">
        <f>ROUND('SEF-32 pg 1-34, 46'!QC21-AC230,0)+AC232</f>
        <v>0</v>
      </c>
      <c r="AD253" s="397">
        <f>+ROUND('SEF-32 pg 1-34, 46'!QU21-AD232,0)+ROUND(-AD230,0)</f>
        <v>0</v>
      </c>
      <c r="AE253" s="397">
        <f>ROUND('SEF-32 pg 1-34, 46'!RM31-AE230,0)+ROUND('SEF-32 pg 1-34, 46'!RM36-AE232,0)</f>
        <v>0</v>
      </c>
      <c r="AF253" s="397">
        <f>ROUND('SEF-32 pg 1-34, 46'!SE30-AF230,0)+ROUND('SEF-32 pg 1-34, 46'!SE35-AF232,0)</f>
        <v>0</v>
      </c>
      <c r="AG253" s="397">
        <f>ROUND('SEF-32 pg 1-34, 46'!SW26-AG230,0)+ROUND('SEF-32 pg 1-34, 46'!SW31-AG232,0)</f>
        <v>0</v>
      </c>
      <c r="AH253" s="397">
        <f>ROUND('SEF-32 pg 1-34, 46'!SW44-AH230,0)+ROUND('SEF-32 pg 1-34, 46'!SW49-AH232,0)</f>
        <v>0</v>
      </c>
      <c r="AI253" s="397">
        <f>ROUND('SEF-32 pg 1-34, 46'!SW62-AI230,0)+ROUND('SEF-32 pg 1-34, 46'!SW67-AI232,0)</f>
        <v>0</v>
      </c>
      <c r="AJ253" s="397">
        <f>ROUND('SEF-32 pg 1-34, 46'!SW80-AJ230,0)+ROUND('SEF-32 pg 1-34, 46'!SW85-AJ232,0)</f>
        <v>0</v>
      </c>
      <c r="AK253" s="397">
        <f>ROUND('SEF-32 pg 1-34, 46'!TP35-AK232,0)+ROUND('SEF-32 pg 1-34, 46'!TP102-AK234,0)</f>
        <v>0</v>
      </c>
      <c r="AL253" s="397">
        <f>ROUND('SEF-32 pg 1-34, 46'!UE27-AL230,0)+ROUND('SEF-32 pg 1-34, 46'!UE19-AL232,0)</f>
        <v>0</v>
      </c>
      <c r="AM253" s="397">
        <f>ROUND('SEF-32 pg 1-34, 46'!UT25-AM230,0)</f>
        <v>0</v>
      </c>
      <c r="AN253" s="397">
        <f>ROUND('SEF-32 pg 1-34, 46'!VI31-AN230,0)+ROUND('SEF-32 pg 1-34, 46'!VI23-AN232,0)</f>
        <v>0</v>
      </c>
      <c r="AO253" s="397">
        <f>ROUND('SEF-32 pg 1-34, 46'!VX21-AO230,0)</f>
        <v>0</v>
      </c>
      <c r="AP253" s="397">
        <f>ROUND('SEF-32 pg 1-34, 46'!WM21-AP230,0)</f>
        <v>0</v>
      </c>
      <c r="AQ253" s="397"/>
      <c r="AR253" s="397"/>
      <c r="AS253" s="397"/>
      <c r="AT253" s="397"/>
      <c r="AU253" s="397"/>
      <c r="AV253" s="397">
        <f>ROUND('SEF-32 pg 35-45'!K$41-'SEF-30 pg 2 - 36 '!AV230,0)+AV232</f>
        <v>0</v>
      </c>
      <c r="AW253" s="397">
        <f>ROUND('SEF-32 pg 35-45'!AU$29-'SEF-30 pg 2 - 36 '!AW230,0)+ROUND('SEF-32 pg 35-45'!AU$21-'SEF-30 pg 2 - 36 '!AW232,0)</f>
        <v>0</v>
      </c>
      <c r="AX253" s="397">
        <f>ROUND('SEF-32 pg 35-45'!BM$30-'SEF-30 pg 2 - 36 '!AX230,0)+AX232</f>
        <v>0</v>
      </c>
      <c r="AY253" s="397">
        <f>ROUND('SEF-32 pg 35-45'!CE$32-AY232,0)+ROUND('SEF-32 pg 35-45'!CE$66-AY230,0)</f>
        <v>0</v>
      </c>
      <c r="AZ253" s="397">
        <f>ROUND('SEF-32 pg 35-45'!CW$29-'SEF-30 pg 2 - 36 '!AZ230,0)+ROUND('SEF-32 pg 35-45'!CW$21-'SEF-30 pg 2 - 36 '!AZ232,0)</f>
        <v>0</v>
      </c>
      <c r="BA253" s="397">
        <f>ROUND('SEF-32 pg 35-45'!DO$30-'SEF-30 pg 2 - 36 '!BA230,0)+BA232</f>
        <v>0</v>
      </c>
      <c r="BB253" s="397">
        <f>'SEF-32 pg 35-45'!EG55+'SEF-32 pg 35-45'!EG75-BB243-BB230</f>
        <v>0</v>
      </c>
      <c r="BC253" s="397">
        <f>ROUND('SEF-32 pg 35-45'!EY$42-'SEF-30 pg 2 - 36 '!BC230,0)+ROUND('SEF-32 pg 35-45'!EY$31-'SEF-30 pg 2 - 36 '!BC232,0)</f>
        <v>0</v>
      </c>
      <c r="BD253" s="397">
        <f>ROUND('SEF-32 pg 35-45'!FQ$24-'SEF-30 pg 2 - 36 '!BD230,0)+BD232</f>
        <v>0</v>
      </c>
      <c r="BE253" s="397">
        <f>ROUND('SEF-32 pg 35-45'!GI$42-'SEF-30 pg 2 - 36 '!BE230,0)+ROUND('SEF-32 pg 35-45'!GI$32-'SEF-30 pg 2 - 36 '!BE232,0)</f>
        <v>0</v>
      </c>
      <c r="BF253" s="397">
        <f>ROUND('SEF-32 pg 35-45'!HA37-'SEF-30 pg 2 - 36 '!BF230,0)</f>
        <v>0</v>
      </c>
      <c r="BG253" s="398"/>
      <c r="BH253" s="398"/>
      <c r="BI253" s="82"/>
      <c r="BK253" s="82"/>
    </row>
    <row r="254" spans="1:74" outlineLevel="1" x14ac:dyDescent="0.25">
      <c r="B254" s="395" t="s">
        <v>155</v>
      </c>
      <c r="C254" s="406" t="s">
        <v>162</v>
      </c>
      <c r="D254" s="1276">
        <f>'SEF-30 pg 1'!I47-D230</f>
        <v>0</v>
      </c>
      <c r="BH254" s="397">
        <f>'SEF-30 pg 1'!K47-BH230</f>
        <v>0</v>
      </c>
      <c r="BI254" s="82"/>
      <c r="BK254" s="82"/>
    </row>
    <row r="255" spans="1:74" outlineLevel="1" x14ac:dyDescent="0.25">
      <c r="B255" s="395" t="s">
        <v>156</v>
      </c>
      <c r="C255" s="406" t="s">
        <v>162</v>
      </c>
      <c r="D255" s="1276">
        <f>'SEF-30 pg 1'!I58-D243</f>
        <v>0</v>
      </c>
      <c r="BH255" s="397">
        <f>'SEF-30 pg 1'!K58-BH243</f>
        <v>0</v>
      </c>
      <c r="BI255" s="82"/>
      <c r="BK255" s="82"/>
    </row>
    <row r="256" spans="1:74" x14ac:dyDescent="0.25">
      <c r="B256" s="461"/>
      <c r="C256" s="350"/>
      <c r="D256" s="1257"/>
      <c r="BH256" s="1248"/>
      <c r="BI256" s="82"/>
      <c r="BK256" s="82"/>
      <c r="BO256" s="19"/>
      <c r="BP256" s="19"/>
      <c r="BQ256" s="19"/>
      <c r="BR256" s="19"/>
      <c r="BS256" s="19"/>
      <c r="BT256" s="19"/>
      <c r="BU256" s="19"/>
      <c r="BV256" s="19"/>
    </row>
    <row r="257" spans="1:74" outlineLevel="1" x14ac:dyDescent="0.25">
      <c r="B257" s="399"/>
      <c r="C257" s="1246" t="s">
        <v>163</v>
      </c>
      <c r="D257" s="1256"/>
      <c r="E257" s="326">
        <v>46357</v>
      </c>
      <c r="F257" s="326">
        <v>46357</v>
      </c>
      <c r="G257" s="326">
        <v>46357</v>
      </c>
      <c r="H257" s="326">
        <v>46357</v>
      </c>
      <c r="I257" s="326">
        <v>46357</v>
      </c>
      <c r="J257" s="326">
        <v>46357</v>
      </c>
      <c r="K257" s="326">
        <v>46357</v>
      </c>
      <c r="L257" s="326">
        <v>46357</v>
      </c>
      <c r="M257" s="326">
        <v>46357</v>
      </c>
      <c r="N257" s="326">
        <v>46357</v>
      </c>
      <c r="O257" s="326">
        <v>46357</v>
      </c>
      <c r="P257" s="326">
        <v>46357</v>
      </c>
      <c r="Q257" s="326">
        <v>46357</v>
      </c>
      <c r="R257" s="326">
        <v>46357</v>
      </c>
      <c r="S257" s="326">
        <v>46357</v>
      </c>
      <c r="T257" s="326">
        <v>46357</v>
      </c>
      <c r="U257" s="326">
        <v>46357</v>
      </c>
      <c r="V257" s="326">
        <v>46357</v>
      </c>
      <c r="W257" s="326">
        <v>46357</v>
      </c>
      <c r="X257" s="326">
        <v>46357</v>
      </c>
      <c r="Y257" s="326">
        <v>46357</v>
      </c>
      <c r="Z257" s="326">
        <v>46357</v>
      </c>
      <c r="AA257" s="326">
        <v>46357</v>
      </c>
      <c r="AB257" s="326">
        <v>46357</v>
      </c>
      <c r="AC257" s="326">
        <v>46357</v>
      </c>
      <c r="AD257" s="326">
        <v>46357</v>
      </c>
      <c r="AE257" s="326">
        <v>46357</v>
      </c>
      <c r="AF257" s="326">
        <v>46357</v>
      </c>
      <c r="AG257" s="326">
        <v>46357</v>
      </c>
      <c r="AH257" s="326">
        <v>46357</v>
      </c>
      <c r="AI257" s="326">
        <v>46357</v>
      </c>
      <c r="AJ257" s="326">
        <v>46357</v>
      </c>
      <c r="AK257" s="326">
        <v>46357</v>
      </c>
      <c r="AL257" s="326">
        <v>46357</v>
      </c>
      <c r="AM257" s="326">
        <v>46357</v>
      </c>
      <c r="AN257" s="326">
        <v>46357</v>
      </c>
      <c r="AO257" s="326">
        <v>46357</v>
      </c>
      <c r="AP257" s="326">
        <v>46357</v>
      </c>
      <c r="AQ257" s="326">
        <v>46357</v>
      </c>
      <c r="AR257" s="326">
        <v>46357</v>
      </c>
      <c r="AS257" s="326">
        <v>46357</v>
      </c>
      <c r="AT257" s="326">
        <v>46357</v>
      </c>
      <c r="AU257" s="326">
        <v>46357</v>
      </c>
      <c r="AV257" s="326">
        <v>46357</v>
      </c>
      <c r="AW257" s="326">
        <v>46357</v>
      </c>
      <c r="AX257" s="326">
        <v>46357</v>
      </c>
      <c r="AY257" s="326">
        <v>46357</v>
      </c>
      <c r="AZ257" s="326">
        <v>46357</v>
      </c>
      <c r="BA257" s="326">
        <v>46357</v>
      </c>
      <c r="BB257" s="326">
        <v>46357</v>
      </c>
      <c r="BC257" s="326">
        <v>46357</v>
      </c>
      <c r="BD257" s="326">
        <v>46357</v>
      </c>
      <c r="BE257" s="326">
        <v>46357</v>
      </c>
      <c r="BF257" s="326">
        <v>46357</v>
      </c>
      <c r="BH257" s="1248"/>
      <c r="BI257" s="82"/>
      <c r="BK257" s="82"/>
      <c r="BO257" s="19"/>
      <c r="BP257" s="19"/>
      <c r="BQ257" s="19"/>
      <c r="BR257" s="19"/>
      <c r="BS257" s="19"/>
      <c r="BT257" s="19"/>
      <c r="BU257" s="19"/>
      <c r="BV257" s="19"/>
    </row>
    <row r="258" spans="1:74" outlineLevel="1" x14ac:dyDescent="0.25">
      <c r="B258" s="399"/>
      <c r="C258" s="1246">
        <v>2025</v>
      </c>
      <c r="D258" s="1257"/>
      <c r="E258" s="1249"/>
      <c r="F258" s="1249"/>
      <c r="G258" s="1249"/>
      <c r="H258" s="1249"/>
      <c r="I258" s="1249"/>
      <c r="J258" s="1249"/>
      <c r="K258" s="1249"/>
      <c r="L258" s="1249"/>
      <c r="M258" s="1249"/>
      <c r="N258" s="1249"/>
      <c r="O258" s="1249"/>
      <c r="P258" s="1249"/>
      <c r="Q258" s="1249"/>
      <c r="R258" s="1249"/>
      <c r="S258" s="1249"/>
      <c r="T258" s="1249"/>
      <c r="U258" s="1249"/>
      <c r="V258" s="1249"/>
      <c r="W258" s="1249"/>
      <c r="X258" s="1249"/>
      <c r="Y258" s="1249"/>
      <c r="Z258" s="1249"/>
      <c r="AA258" s="1249"/>
      <c r="AB258" s="1249"/>
      <c r="AC258" s="1249"/>
      <c r="AD258" s="1249"/>
      <c r="AE258" s="1249"/>
      <c r="AF258" s="1249"/>
      <c r="AG258" s="1249"/>
      <c r="AH258" s="1249"/>
      <c r="AI258" s="1249"/>
      <c r="AJ258" s="1249"/>
      <c r="AK258" s="1249"/>
      <c r="AL258" s="1249"/>
      <c r="AM258" s="1249"/>
      <c r="AN258" s="1249"/>
      <c r="AO258" s="1249"/>
      <c r="AP258" s="1249"/>
      <c r="AQ258" s="1249"/>
      <c r="AR258" s="1249"/>
      <c r="AS258" s="1249"/>
      <c r="AT258" s="1249"/>
      <c r="AU258" s="1249"/>
      <c r="AV258" s="1249"/>
      <c r="AW258" s="1249"/>
      <c r="AX258" s="1249"/>
      <c r="AY258" s="1249"/>
      <c r="AZ258" s="1249"/>
      <c r="BA258" s="1249"/>
      <c r="BB258" s="1249"/>
      <c r="BC258" s="1249"/>
      <c r="BD258" s="1249"/>
      <c r="BE258" s="1249"/>
      <c r="BF258" s="1249"/>
      <c r="BH258" s="1248"/>
      <c r="BI258" s="82"/>
      <c r="BK258" s="82"/>
      <c r="BO258" s="19"/>
      <c r="BP258" s="19"/>
      <c r="BQ258" s="19"/>
      <c r="BR258" s="19"/>
      <c r="BS258" s="19"/>
      <c r="BT258" s="19"/>
      <c r="BU258" s="19"/>
      <c r="BV258" s="19"/>
    </row>
    <row r="259" spans="1:74" outlineLevel="1" x14ac:dyDescent="0.25">
      <c r="A259" s="317">
        <v>1</v>
      </c>
      <c r="B259" s="349" t="s">
        <v>81</v>
      </c>
      <c r="C259" s="350" t="s">
        <v>164</v>
      </c>
      <c r="D259" s="1262"/>
      <c r="BG259" s="352"/>
      <c r="BH259" s="352"/>
      <c r="BI259" s="82"/>
      <c r="BK259" s="82"/>
    </row>
    <row r="260" spans="1:74" outlineLevel="1" x14ac:dyDescent="0.25">
      <c r="A260" s="317">
        <v>2</v>
      </c>
      <c r="B260" s="349" t="s">
        <v>82</v>
      </c>
      <c r="C260" s="350" t="s">
        <v>164</v>
      </c>
      <c r="D260" s="1259">
        <f>+BH199</f>
        <v>2118175192.6556613</v>
      </c>
      <c r="E260" s="407">
        <f>'SEF-32 pg 1-34, 46'!M$46-E261</f>
        <v>22389080.988265514</v>
      </c>
      <c r="F260" s="407"/>
      <c r="G260" s="407"/>
      <c r="H260" s="407"/>
      <c r="I260" s="407"/>
      <c r="J260" s="407"/>
      <c r="K260" s="407"/>
      <c r="L260" s="407"/>
      <c r="M260" s="407"/>
      <c r="N260" s="407"/>
      <c r="O260" s="407"/>
      <c r="P260" s="407"/>
      <c r="Q260" s="407"/>
      <c r="R260" s="407"/>
      <c r="S260" s="407"/>
      <c r="T260" s="407"/>
      <c r="U260" s="407"/>
      <c r="V260" s="407"/>
      <c r="W260" s="407"/>
      <c r="X260" s="407"/>
      <c r="Y260" s="407"/>
      <c r="Z260" s="407"/>
      <c r="AA260" s="407"/>
      <c r="AB260" s="407"/>
      <c r="AC260" s="407"/>
      <c r="AD260" s="407"/>
      <c r="AE260" s="407"/>
      <c r="AF260" s="407"/>
      <c r="AG260" s="407"/>
      <c r="AH260" s="407"/>
      <c r="AI260" s="407"/>
      <c r="AJ260" s="407"/>
      <c r="AK260" s="407"/>
      <c r="AL260" s="407"/>
      <c r="AM260" s="407"/>
      <c r="AN260" s="407"/>
      <c r="AO260" s="407"/>
      <c r="AP260" s="407"/>
      <c r="AQ260" s="407"/>
      <c r="AR260" s="407"/>
      <c r="AS260" s="407"/>
      <c r="AT260" s="407"/>
      <c r="AU260" s="407"/>
      <c r="AV260" s="407"/>
      <c r="AW260" s="407"/>
      <c r="AX260" s="407"/>
      <c r="AY260" s="407"/>
      <c r="AZ260" s="407"/>
      <c r="BA260" s="407"/>
      <c r="BB260" s="407"/>
      <c r="BC260" s="407"/>
      <c r="BD260" s="407"/>
      <c r="BE260" s="407"/>
      <c r="BF260" s="407"/>
      <c r="BG260" s="352">
        <f>SUM(E260:BF260)</f>
        <v>22389080.988265514</v>
      </c>
      <c r="BH260" s="352">
        <f>+BG260+D260</f>
        <v>2140564273.6439269</v>
      </c>
      <c r="BI260" s="82"/>
      <c r="BJ260" s="356"/>
      <c r="BK260" s="82"/>
    </row>
    <row r="261" spans="1:74" outlineLevel="1" x14ac:dyDescent="0.25">
      <c r="A261" s="317">
        <v>3</v>
      </c>
      <c r="B261" s="349" t="s">
        <v>83</v>
      </c>
      <c r="C261" s="350" t="s">
        <v>164</v>
      </c>
      <c r="D261" s="1260">
        <f>+BH200</f>
        <v>434445.04000000004</v>
      </c>
      <c r="E261" s="408">
        <f>'SEF-32 pg 1-34, 46'!M$45</f>
        <v>0</v>
      </c>
      <c r="F261" s="408"/>
      <c r="G261" s="408"/>
      <c r="H261" s="408"/>
      <c r="I261" s="408"/>
      <c r="J261" s="408"/>
      <c r="K261" s="408"/>
      <c r="L261" s="408"/>
      <c r="M261" s="408"/>
      <c r="N261" s="408"/>
      <c r="O261" s="408"/>
      <c r="P261" s="408"/>
      <c r="Q261" s="408"/>
      <c r="R261" s="408"/>
      <c r="S261" s="408"/>
      <c r="T261" s="408"/>
      <c r="U261" s="408"/>
      <c r="V261" s="408"/>
      <c r="W261" s="408"/>
      <c r="X261" s="408"/>
      <c r="Y261" s="408"/>
      <c r="Z261" s="408"/>
      <c r="AA261" s="408"/>
      <c r="AB261" s="408"/>
      <c r="AC261" s="408"/>
      <c r="AD261" s="408"/>
      <c r="AE261" s="408"/>
      <c r="AF261" s="408"/>
      <c r="AG261" s="408"/>
      <c r="AH261" s="408"/>
      <c r="AI261" s="408"/>
      <c r="AJ261" s="408"/>
      <c r="AK261" s="408"/>
      <c r="AL261" s="408"/>
      <c r="AM261" s="408"/>
      <c r="AN261" s="408"/>
      <c r="AO261" s="408"/>
      <c r="AP261" s="408"/>
      <c r="AQ261" s="408"/>
      <c r="AR261" s="408"/>
      <c r="AS261" s="408"/>
      <c r="AT261" s="408"/>
      <c r="AU261" s="408"/>
      <c r="AV261" s="408"/>
      <c r="AW261" s="408"/>
      <c r="AX261" s="408"/>
      <c r="AY261" s="408"/>
      <c r="AZ261" s="408"/>
      <c r="BA261" s="408"/>
      <c r="BB261" s="408"/>
      <c r="BC261" s="408"/>
      <c r="BD261" s="408"/>
      <c r="BE261" s="408"/>
      <c r="BF261" s="408"/>
      <c r="BG261" s="357">
        <f>SUM(E261:BF261)</f>
        <v>0</v>
      </c>
      <c r="BH261" s="357">
        <f>+BG261+D261</f>
        <v>434445.04000000004</v>
      </c>
      <c r="BI261" s="82"/>
      <c r="BJ261" s="356"/>
      <c r="BK261" s="82"/>
    </row>
    <row r="262" spans="1:74" outlineLevel="1" x14ac:dyDescent="0.25">
      <c r="A262" s="317">
        <v>4</v>
      </c>
      <c r="B262" s="349" t="s">
        <v>84</v>
      </c>
      <c r="C262" s="350" t="s">
        <v>164</v>
      </c>
      <c r="D262" s="1272">
        <f>+BH201</f>
        <v>516269299.46756464</v>
      </c>
      <c r="E262" s="408"/>
      <c r="F262" s="408"/>
      <c r="G262" s="408"/>
      <c r="H262" s="408"/>
      <c r="I262" s="408"/>
      <c r="J262" s="408"/>
      <c r="K262" s="408"/>
      <c r="L262" s="408"/>
      <c r="M262" s="408"/>
      <c r="N262" s="408"/>
      <c r="O262" s="408"/>
      <c r="P262" s="408"/>
      <c r="Q262" s="408"/>
      <c r="R262" s="408"/>
      <c r="S262" s="408"/>
      <c r="T262" s="408"/>
      <c r="U262" s="408"/>
      <c r="V262" s="408"/>
      <c r="W262" s="408"/>
      <c r="X262" s="408"/>
      <c r="Y262" s="408"/>
      <c r="Z262" s="408"/>
      <c r="AA262" s="408"/>
      <c r="AB262" s="408"/>
      <c r="AC262" s="408"/>
      <c r="AD262" s="408"/>
      <c r="AE262" s="408"/>
      <c r="AF262" s="408"/>
      <c r="AG262" s="408"/>
      <c r="AH262" s="408"/>
      <c r="AI262" s="408"/>
      <c r="AJ262" s="408"/>
      <c r="AK262" s="408"/>
      <c r="AL262" s="408"/>
      <c r="AM262" s="408"/>
      <c r="AN262" s="408"/>
      <c r="AO262" s="408"/>
      <c r="AP262" s="408"/>
      <c r="AQ262" s="408"/>
      <c r="AR262" s="408"/>
      <c r="AS262" s="408"/>
      <c r="AT262" s="408"/>
      <c r="AU262" s="408"/>
      <c r="AV262" s="370">
        <f>-'SEF-32 pg 35-45'!M25</f>
        <v>-196233863.38509595</v>
      </c>
      <c r="AW262" s="408"/>
      <c r="AX262" s="408"/>
      <c r="AY262" s="408"/>
      <c r="AZ262" s="408"/>
      <c r="BA262" s="408"/>
      <c r="BB262" s="408"/>
      <c r="BC262" s="408"/>
      <c r="BD262" s="408"/>
      <c r="BE262" s="408"/>
      <c r="BF262" s="408"/>
      <c r="BG262" s="371">
        <f>SUM(E262:BF262)</f>
        <v>-196233863.38509595</v>
      </c>
      <c r="BH262" s="371">
        <f>+BG262+D262</f>
        <v>320035436.08246869</v>
      </c>
      <c r="BI262" s="82"/>
      <c r="BJ262" s="356"/>
      <c r="BK262" s="82"/>
    </row>
    <row r="263" spans="1:74" outlineLevel="1" x14ac:dyDescent="0.25">
      <c r="A263" s="317">
        <v>5</v>
      </c>
      <c r="B263" s="349" t="s">
        <v>85</v>
      </c>
      <c r="C263" s="350" t="s">
        <v>164</v>
      </c>
      <c r="D263" s="1272">
        <f>+BH202</f>
        <v>174954544.49015278</v>
      </c>
      <c r="E263" s="408">
        <f>'SEF-32 pg 1-34, 46'!M$62</f>
        <v>4841336.3654877078</v>
      </c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08"/>
      <c r="V263" s="408"/>
      <c r="W263" s="408"/>
      <c r="X263" s="408"/>
      <c r="Y263" s="408"/>
      <c r="Z263" s="408"/>
      <c r="AA263" s="408"/>
      <c r="AB263" s="408">
        <f>'SEF-32 pg 1-34, 46'!PI48</f>
        <v>0</v>
      </c>
      <c r="AC263" s="408"/>
      <c r="AD263" s="408"/>
      <c r="AE263" s="408"/>
      <c r="AF263" s="408"/>
      <c r="AG263" s="408"/>
      <c r="AH263" s="408"/>
      <c r="AI263" s="408"/>
      <c r="AJ263" s="408"/>
      <c r="AK263" s="408"/>
      <c r="AL263" s="408"/>
      <c r="AM263" s="408"/>
      <c r="AN263" s="408"/>
      <c r="AO263" s="408"/>
      <c r="AP263" s="408"/>
      <c r="AQ263" s="408"/>
      <c r="AR263" s="408"/>
      <c r="AS263" s="408"/>
      <c r="AT263" s="408"/>
      <c r="AU263" s="408"/>
      <c r="AV263" s="370">
        <f>-SUM('SEF-32 pg 35-45'!M26,'SEF-32 pg 35-45'!M32)</f>
        <v>-7577378.2523418954</v>
      </c>
      <c r="AW263" s="408"/>
      <c r="AX263" s="408"/>
      <c r="AY263" s="408">
        <f>-'SEF-32 pg 35-45'!CG51</f>
        <v>2536629.9764896259</v>
      </c>
      <c r="AZ263" s="408"/>
      <c r="BA263" s="408"/>
      <c r="BB263" s="408"/>
      <c r="BC263" s="408"/>
      <c r="BD263" s="408"/>
      <c r="BE263" s="408"/>
      <c r="BF263" s="408"/>
      <c r="BG263" s="371">
        <f>SUM(E263:BF263)</f>
        <v>-199411.91036456171</v>
      </c>
      <c r="BH263" s="371">
        <f>+BG263+D263</f>
        <v>174755132.57978821</v>
      </c>
      <c r="BI263" s="82"/>
      <c r="BJ263" s="356"/>
      <c r="BK263" s="82"/>
    </row>
    <row r="264" spans="1:74" outlineLevel="1" x14ac:dyDescent="0.25">
      <c r="A264" s="317">
        <v>6</v>
      </c>
      <c r="B264" s="349" t="s">
        <v>86</v>
      </c>
      <c r="C264" s="350" t="s">
        <v>164</v>
      </c>
      <c r="D264" s="1280">
        <f>SUM(D260:D263)</f>
        <v>2809833481.653379</v>
      </c>
      <c r="E264" s="410">
        <f>SUM(E260:E263)</f>
        <v>27230417.353753224</v>
      </c>
      <c r="F264" s="410">
        <f t="shared" ref="F264:BF264" si="75">SUM(F260:F263)</f>
        <v>0</v>
      </c>
      <c r="G264" s="410">
        <f t="shared" si="75"/>
        <v>0</v>
      </c>
      <c r="H264" s="410">
        <f t="shared" si="75"/>
        <v>0</v>
      </c>
      <c r="I264" s="410">
        <f t="shared" si="75"/>
        <v>0</v>
      </c>
      <c r="J264" s="410">
        <f t="shared" si="75"/>
        <v>0</v>
      </c>
      <c r="K264" s="410">
        <f t="shared" si="75"/>
        <v>0</v>
      </c>
      <c r="L264" s="410">
        <f t="shared" si="75"/>
        <v>0</v>
      </c>
      <c r="M264" s="410">
        <f t="shared" si="75"/>
        <v>0</v>
      </c>
      <c r="N264" s="410">
        <f t="shared" si="75"/>
        <v>0</v>
      </c>
      <c r="O264" s="410">
        <f t="shared" si="75"/>
        <v>0</v>
      </c>
      <c r="P264" s="410">
        <f t="shared" si="75"/>
        <v>0</v>
      </c>
      <c r="Q264" s="410">
        <f t="shared" si="75"/>
        <v>0</v>
      </c>
      <c r="R264" s="410">
        <f t="shared" si="75"/>
        <v>0</v>
      </c>
      <c r="S264" s="410">
        <f t="shared" si="75"/>
        <v>0</v>
      </c>
      <c r="T264" s="410">
        <f t="shared" si="75"/>
        <v>0</v>
      </c>
      <c r="U264" s="410">
        <f t="shared" si="75"/>
        <v>0</v>
      </c>
      <c r="V264" s="410">
        <f t="shared" si="75"/>
        <v>0</v>
      </c>
      <c r="W264" s="410">
        <f t="shared" si="75"/>
        <v>0</v>
      </c>
      <c r="X264" s="410">
        <f t="shared" si="75"/>
        <v>0</v>
      </c>
      <c r="Y264" s="410">
        <f t="shared" si="75"/>
        <v>0</v>
      </c>
      <c r="Z264" s="410">
        <f t="shared" si="75"/>
        <v>0</v>
      </c>
      <c r="AA264" s="410">
        <f t="shared" si="75"/>
        <v>0</v>
      </c>
      <c r="AB264" s="410">
        <f t="shared" si="75"/>
        <v>0</v>
      </c>
      <c r="AC264" s="410">
        <f t="shared" si="75"/>
        <v>0</v>
      </c>
      <c r="AD264" s="410">
        <f t="shared" si="75"/>
        <v>0</v>
      </c>
      <c r="AE264" s="410">
        <f t="shared" si="75"/>
        <v>0</v>
      </c>
      <c r="AF264" s="410">
        <f t="shared" si="75"/>
        <v>0</v>
      </c>
      <c r="AG264" s="410">
        <f t="shared" si="75"/>
        <v>0</v>
      </c>
      <c r="AH264" s="410">
        <f t="shared" si="75"/>
        <v>0</v>
      </c>
      <c r="AI264" s="410">
        <f t="shared" si="75"/>
        <v>0</v>
      </c>
      <c r="AJ264" s="410">
        <f t="shared" si="75"/>
        <v>0</v>
      </c>
      <c r="AK264" s="410">
        <f>SUM(AK260:AK263)</f>
        <v>0</v>
      </c>
      <c r="AL264" s="410">
        <f>SUM(AL260:AL263)</f>
        <v>0</v>
      </c>
      <c r="AM264" s="410">
        <f>SUM(AM260:AM263)</f>
        <v>0</v>
      </c>
      <c r="AN264" s="410">
        <f t="shared" ref="AN264:AU264" si="76">SUM(AN260:AN263)</f>
        <v>0</v>
      </c>
      <c r="AO264" s="410">
        <f t="shared" si="76"/>
        <v>0</v>
      </c>
      <c r="AP264" s="410">
        <f t="shared" si="76"/>
        <v>0</v>
      </c>
      <c r="AQ264" s="410">
        <f t="shared" si="76"/>
        <v>0</v>
      </c>
      <c r="AR264" s="410">
        <f t="shared" si="76"/>
        <v>0</v>
      </c>
      <c r="AS264" s="410">
        <f t="shared" si="76"/>
        <v>0</v>
      </c>
      <c r="AT264" s="410">
        <f t="shared" si="76"/>
        <v>0</v>
      </c>
      <c r="AU264" s="410">
        <f t="shared" si="76"/>
        <v>0</v>
      </c>
      <c r="AV264" s="361">
        <f t="shared" si="75"/>
        <v>-203811241.63743785</v>
      </c>
      <c r="AW264" s="410">
        <f t="shared" si="75"/>
        <v>0</v>
      </c>
      <c r="AX264" s="410">
        <f t="shared" si="75"/>
        <v>0</v>
      </c>
      <c r="AY264" s="410">
        <f t="shared" si="75"/>
        <v>2536629.9764896259</v>
      </c>
      <c r="AZ264" s="410">
        <f t="shared" si="75"/>
        <v>0</v>
      </c>
      <c r="BA264" s="410">
        <f t="shared" si="75"/>
        <v>0</v>
      </c>
      <c r="BB264" s="410">
        <f t="shared" si="75"/>
        <v>0</v>
      </c>
      <c r="BC264" s="410">
        <f t="shared" si="75"/>
        <v>0</v>
      </c>
      <c r="BD264" s="410">
        <f t="shared" si="75"/>
        <v>0</v>
      </c>
      <c r="BE264" s="410">
        <f>SUM(BE260:BE263)</f>
        <v>0</v>
      </c>
      <c r="BF264" s="410">
        <f t="shared" si="75"/>
        <v>0</v>
      </c>
      <c r="BG264" s="362">
        <f>SUM(BG260:BG263)</f>
        <v>-174044194.30719501</v>
      </c>
      <c r="BH264" s="362">
        <f>SUM(BH260:BH263)</f>
        <v>2635789287.3461838</v>
      </c>
      <c r="BI264" s="82"/>
      <c r="BJ264" s="356"/>
      <c r="BK264" s="82"/>
    </row>
    <row r="265" spans="1:74" outlineLevel="1" x14ac:dyDescent="0.25">
      <c r="A265" s="317">
        <v>7</v>
      </c>
      <c r="B265" s="363"/>
      <c r="C265" s="350" t="s">
        <v>164</v>
      </c>
      <c r="D265" s="1260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08"/>
      <c r="V265" s="408"/>
      <c r="W265" s="408"/>
      <c r="X265" s="408"/>
      <c r="Y265" s="408"/>
      <c r="Z265" s="408"/>
      <c r="AA265" s="408"/>
      <c r="AB265" s="408"/>
      <c r="AC265" s="408"/>
      <c r="AD265" s="408"/>
      <c r="AE265" s="408"/>
      <c r="AF265" s="408"/>
      <c r="AG265" s="408"/>
      <c r="AH265" s="408"/>
      <c r="AI265" s="408"/>
      <c r="AJ265" s="408"/>
      <c r="AK265" s="408"/>
      <c r="AL265" s="408"/>
      <c r="AM265" s="408"/>
      <c r="AN265" s="408"/>
      <c r="AO265" s="408"/>
      <c r="AP265" s="408"/>
      <c r="AQ265" s="408"/>
      <c r="AR265" s="408"/>
      <c r="AS265" s="408"/>
      <c r="AT265" s="408"/>
      <c r="AU265" s="408"/>
      <c r="AV265" s="408"/>
      <c r="AW265" s="408"/>
      <c r="AX265" s="408"/>
      <c r="AY265" s="408"/>
      <c r="AZ265" s="408"/>
      <c r="BA265" s="408"/>
      <c r="BB265" s="408"/>
      <c r="BC265" s="408"/>
      <c r="BD265" s="408"/>
      <c r="BE265" s="408"/>
      <c r="BF265" s="408"/>
      <c r="BG265" s="357"/>
      <c r="BH265" s="357"/>
      <c r="BI265" s="82"/>
      <c r="BJ265" s="356"/>
      <c r="BK265" s="82"/>
    </row>
    <row r="266" spans="1:74" outlineLevel="1" x14ac:dyDescent="0.25">
      <c r="A266" s="317">
        <v>8</v>
      </c>
      <c r="B266" s="349" t="s">
        <v>87</v>
      </c>
      <c r="C266" s="350" t="s">
        <v>164</v>
      </c>
      <c r="D266" s="1258"/>
      <c r="E266" s="411"/>
      <c r="F266" s="411"/>
      <c r="G266" s="411"/>
      <c r="H266" s="411"/>
      <c r="I266" s="411"/>
      <c r="J266" s="411"/>
      <c r="K266" s="411"/>
      <c r="L266" s="411"/>
      <c r="M266" s="411"/>
      <c r="N266" s="411"/>
      <c r="O266" s="411"/>
      <c r="P266" s="411"/>
      <c r="Q266" s="411"/>
      <c r="R266" s="411"/>
      <c r="S266" s="411"/>
      <c r="T266" s="411"/>
      <c r="U266" s="411"/>
      <c r="V266" s="411"/>
      <c r="W266" s="411"/>
      <c r="X266" s="411"/>
      <c r="Y266" s="411"/>
      <c r="Z266" s="411"/>
      <c r="AA266" s="411"/>
      <c r="AB266" s="411"/>
      <c r="AC266" s="411"/>
      <c r="AD266" s="411"/>
      <c r="AE266" s="411"/>
      <c r="AF266" s="411"/>
      <c r="AG266" s="411"/>
      <c r="AH266" s="411"/>
      <c r="AI266" s="411"/>
      <c r="AJ266" s="411"/>
      <c r="AK266" s="411"/>
      <c r="AL266" s="411"/>
      <c r="AM266" s="411"/>
      <c r="AN266" s="411"/>
      <c r="AO266" s="411"/>
      <c r="AP266" s="411"/>
      <c r="AQ266" s="411"/>
      <c r="AR266" s="411"/>
      <c r="AS266" s="411"/>
      <c r="AT266" s="411"/>
      <c r="AU266" s="411"/>
      <c r="AV266" s="411"/>
      <c r="AW266" s="411"/>
      <c r="AX266" s="411"/>
      <c r="AY266" s="411"/>
      <c r="AZ266" s="411"/>
      <c r="BA266" s="411"/>
      <c r="BB266" s="411"/>
      <c r="BC266" s="411"/>
      <c r="BD266" s="411"/>
      <c r="BE266" s="411"/>
      <c r="BF266" s="411"/>
      <c r="BG266" s="351"/>
      <c r="BH266" s="351"/>
      <c r="BI266" s="82"/>
      <c r="BJ266" s="356"/>
      <c r="BK266" s="82"/>
    </row>
    <row r="267" spans="1:74" outlineLevel="1" x14ac:dyDescent="0.25">
      <c r="A267" s="317">
        <v>9</v>
      </c>
      <c r="B267" s="365"/>
      <c r="C267" s="350" t="s">
        <v>164</v>
      </c>
      <c r="D267" s="1258"/>
      <c r="E267" s="411"/>
      <c r="F267" s="411"/>
      <c r="G267" s="411"/>
      <c r="H267" s="411"/>
      <c r="I267" s="411"/>
      <c r="J267" s="411"/>
      <c r="K267" s="411"/>
      <c r="L267" s="411"/>
      <c r="M267" s="411"/>
      <c r="N267" s="411"/>
      <c r="O267" s="411"/>
      <c r="P267" s="411"/>
      <c r="Q267" s="411"/>
      <c r="R267" s="411"/>
      <c r="S267" s="411"/>
      <c r="T267" s="411"/>
      <c r="U267" s="411"/>
      <c r="V267" s="411"/>
      <c r="W267" s="411"/>
      <c r="X267" s="411"/>
      <c r="Y267" s="411"/>
      <c r="Z267" s="411"/>
      <c r="AA267" s="411"/>
      <c r="AB267" s="411"/>
      <c r="AC267" s="411"/>
      <c r="AD267" s="411"/>
      <c r="AE267" s="411"/>
      <c r="AF267" s="411"/>
      <c r="AG267" s="411"/>
      <c r="AH267" s="411"/>
      <c r="AI267" s="411"/>
      <c r="AJ267" s="411"/>
      <c r="AK267" s="411"/>
      <c r="AL267" s="411"/>
      <c r="AM267" s="411"/>
      <c r="AN267" s="411"/>
      <c r="AO267" s="411"/>
      <c r="AP267" s="411"/>
      <c r="AQ267" s="411"/>
      <c r="AR267" s="411"/>
      <c r="AS267" s="411"/>
      <c r="AT267" s="411"/>
      <c r="AU267" s="411"/>
      <c r="AV267" s="411"/>
      <c r="AW267" s="411"/>
      <c r="AX267" s="411"/>
      <c r="AY267" s="411"/>
      <c r="AZ267" s="411"/>
      <c r="BA267" s="411"/>
      <c r="BB267" s="411"/>
      <c r="BC267" s="411"/>
      <c r="BD267" s="411"/>
      <c r="BE267" s="411"/>
      <c r="BF267" s="411"/>
      <c r="BG267" s="351"/>
      <c r="BH267" s="351"/>
      <c r="BI267" s="82"/>
      <c r="BJ267" s="356"/>
      <c r="BK267" s="82"/>
    </row>
    <row r="268" spans="1:74" outlineLevel="1" x14ac:dyDescent="0.25">
      <c r="A268" s="317">
        <v>10</v>
      </c>
      <c r="B268" s="349" t="s">
        <v>88</v>
      </c>
      <c r="C268" s="350" t="s">
        <v>164</v>
      </c>
      <c r="D268" s="1258"/>
      <c r="E268" s="411"/>
      <c r="F268" s="411"/>
      <c r="G268" s="411"/>
      <c r="H268" s="411"/>
      <c r="I268" s="411"/>
      <c r="J268" s="411"/>
      <c r="K268" s="411"/>
      <c r="L268" s="411"/>
      <c r="M268" s="411"/>
      <c r="N268" s="411"/>
      <c r="O268" s="411"/>
      <c r="P268" s="411"/>
      <c r="Q268" s="411"/>
      <c r="R268" s="411"/>
      <c r="S268" s="411"/>
      <c r="T268" s="411"/>
      <c r="U268" s="411"/>
      <c r="V268" s="411"/>
      <c r="W268" s="411"/>
      <c r="X268" s="411"/>
      <c r="Y268" s="411"/>
      <c r="Z268" s="411"/>
      <c r="AA268" s="411"/>
      <c r="AB268" s="411"/>
      <c r="AC268" s="411"/>
      <c r="AD268" s="411"/>
      <c r="AE268" s="411"/>
      <c r="AF268" s="411"/>
      <c r="AG268" s="411"/>
      <c r="AH268" s="411"/>
      <c r="AI268" s="411"/>
      <c r="AJ268" s="411"/>
      <c r="AK268" s="411"/>
      <c r="AL268" s="411"/>
      <c r="AM268" s="411"/>
      <c r="AN268" s="411"/>
      <c r="AO268" s="411"/>
      <c r="AP268" s="411"/>
      <c r="AQ268" s="411"/>
      <c r="AR268" s="411"/>
      <c r="AS268" s="411"/>
      <c r="AT268" s="411"/>
      <c r="AU268" s="411"/>
      <c r="AV268" s="411"/>
      <c r="AW268" s="411"/>
      <c r="AX268" s="411"/>
      <c r="AY268" s="411"/>
      <c r="AZ268" s="411"/>
      <c r="BA268" s="411"/>
      <c r="BB268" s="411"/>
      <c r="BC268" s="411"/>
      <c r="BD268" s="411"/>
      <c r="BE268" s="411"/>
      <c r="BF268" s="411"/>
      <c r="BG268" s="351"/>
      <c r="BH268" s="351"/>
      <c r="BI268" s="82"/>
      <c r="BJ268" s="356"/>
      <c r="BK268" s="82"/>
    </row>
    <row r="269" spans="1:74" outlineLevel="1" x14ac:dyDescent="0.25">
      <c r="A269" s="317">
        <v>11</v>
      </c>
      <c r="B269" s="349" t="s">
        <v>89</v>
      </c>
      <c r="C269" s="350" t="s">
        <v>164</v>
      </c>
      <c r="D269" s="1287">
        <f>+BH208</f>
        <v>522650184.84921533</v>
      </c>
      <c r="E269" s="412"/>
      <c r="F269" s="412"/>
      <c r="G269" s="412"/>
      <c r="H269" s="412"/>
      <c r="I269" s="412"/>
      <c r="J269" s="412"/>
      <c r="K269" s="412"/>
      <c r="L269" s="412"/>
      <c r="M269" s="412"/>
      <c r="N269" s="412"/>
      <c r="O269" s="412"/>
      <c r="P269" s="412"/>
      <c r="Q269" s="412"/>
      <c r="R269" s="412"/>
      <c r="S269" s="412"/>
      <c r="T269" s="412"/>
      <c r="U269" s="412"/>
      <c r="V269" s="412"/>
      <c r="W269" s="412"/>
      <c r="X269" s="412"/>
      <c r="Y269" s="412"/>
      <c r="Z269" s="412"/>
      <c r="AA269" s="412"/>
      <c r="AB269" s="412"/>
      <c r="AC269" s="412"/>
      <c r="AD269" s="412"/>
      <c r="AE269" s="412"/>
      <c r="AF269" s="412"/>
      <c r="AG269" s="412"/>
      <c r="AH269" s="412"/>
      <c r="AI269" s="412"/>
      <c r="AJ269" s="412"/>
      <c r="AK269" s="412"/>
      <c r="AL269" s="412"/>
      <c r="AM269" s="412"/>
      <c r="AN269" s="412"/>
      <c r="AO269" s="412"/>
      <c r="AP269" s="412"/>
      <c r="AQ269" s="412"/>
      <c r="AR269" s="412"/>
      <c r="AS269" s="412"/>
      <c r="AT269" s="412"/>
      <c r="AU269" s="412"/>
      <c r="AV269" s="423">
        <f>SUM('SEF-32 pg 35-45'!M18:M19)</f>
        <v>23424874.808651142</v>
      </c>
      <c r="AW269" s="412"/>
      <c r="AX269" s="412"/>
      <c r="AY269" s="412"/>
      <c r="AZ269" s="412"/>
      <c r="BA269" s="412"/>
      <c r="BB269" s="412"/>
      <c r="BC269" s="412"/>
      <c r="BD269" s="412"/>
      <c r="BE269" s="412"/>
      <c r="BF269" s="412"/>
      <c r="BG269" s="413">
        <f>SUM(E269:BF269)</f>
        <v>23424874.808651142</v>
      </c>
      <c r="BH269" s="413">
        <f>+BG269+D269</f>
        <v>546075059.65786648</v>
      </c>
      <c r="BI269" s="82"/>
      <c r="BJ269" s="356"/>
      <c r="BK269" s="82"/>
    </row>
    <row r="270" spans="1:74" outlineLevel="1" x14ac:dyDescent="0.25">
      <c r="A270" s="317">
        <v>12</v>
      </c>
      <c r="B270" s="349" t="s">
        <v>90</v>
      </c>
      <c r="C270" s="350" t="s">
        <v>164</v>
      </c>
      <c r="D270" s="1272">
        <f>+BH209</f>
        <v>1098275264.7155819</v>
      </c>
      <c r="E270" s="408"/>
      <c r="F270" s="408"/>
      <c r="G270" s="408"/>
      <c r="H270" s="408"/>
      <c r="I270" s="408"/>
      <c r="J270" s="408"/>
      <c r="K270" s="408"/>
      <c r="L270" s="408"/>
      <c r="M270" s="408"/>
      <c r="N270" s="408"/>
      <c r="O270" s="408">
        <f>'SEF-32 pg 1-34, 46'!GI17</f>
        <v>350.74588561290875</v>
      </c>
      <c r="P270" s="408"/>
      <c r="Q270" s="408"/>
      <c r="R270" s="408"/>
      <c r="S270" s="408"/>
      <c r="T270" s="408"/>
      <c r="U270" s="408"/>
      <c r="V270" s="408"/>
      <c r="W270" s="408"/>
      <c r="X270" s="408"/>
      <c r="Y270" s="408"/>
      <c r="Z270" s="408"/>
      <c r="AA270" s="408"/>
      <c r="AB270" s="408"/>
      <c r="AC270" s="408"/>
      <c r="AD270" s="408"/>
      <c r="AE270" s="408"/>
      <c r="AF270" s="408"/>
      <c r="AG270" s="408"/>
      <c r="AH270" s="408"/>
      <c r="AI270" s="408"/>
      <c r="AJ270" s="408"/>
      <c r="AK270" s="408"/>
      <c r="AL270" s="408"/>
      <c r="AM270" s="408"/>
      <c r="AN270" s="408"/>
      <c r="AO270" s="408"/>
      <c r="AP270" s="408"/>
      <c r="AQ270" s="408"/>
      <c r="AR270" s="408"/>
      <c r="AS270" s="408"/>
      <c r="AT270" s="408"/>
      <c r="AU270" s="408"/>
      <c r="AV270" s="370">
        <f>SUM('SEF-32 pg 35-45'!M20:M23,'SEF-32 pg 35-45'!M33,'SEF-32 pg 35-45'!M34)</f>
        <v>-208293457.67753768</v>
      </c>
      <c r="AW270" s="408"/>
      <c r="AX270" s="408"/>
      <c r="AY270" s="408"/>
      <c r="AZ270" s="408"/>
      <c r="BA270" s="408"/>
      <c r="BB270" s="408"/>
      <c r="BC270" s="408"/>
      <c r="BD270" s="408"/>
      <c r="BE270" s="408"/>
      <c r="BF270" s="408"/>
      <c r="BG270" s="371">
        <f>SUM(E270:BF270)</f>
        <v>-208293106.93165207</v>
      </c>
      <c r="BH270" s="371">
        <f>+BG270+D270</f>
        <v>889982157.78392982</v>
      </c>
      <c r="BI270" s="82"/>
      <c r="BJ270" s="356"/>
      <c r="BK270" s="82"/>
    </row>
    <row r="271" spans="1:74" outlineLevel="1" x14ac:dyDescent="0.25">
      <c r="A271" s="317">
        <v>13</v>
      </c>
      <c r="B271" s="349" t="s">
        <v>91</v>
      </c>
      <c r="C271" s="350" t="s">
        <v>164</v>
      </c>
      <c r="D271" s="1272">
        <f>+BH210</f>
        <v>178866167.32235354</v>
      </c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08"/>
      <c r="V271" s="408"/>
      <c r="W271" s="408"/>
      <c r="X271" s="408"/>
      <c r="Y271" s="408"/>
      <c r="Z271" s="408"/>
      <c r="AA271" s="408"/>
      <c r="AB271" s="408"/>
      <c r="AC271" s="408"/>
      <c r="AD271" s="408"/>
      <c r="AE271" s="408"/>
      <c r="AF271" s="408"/>
      <c r="AG271" s="408"/>
      <c r="AH271" s="408"/>
      <c r="AI271" s="408"/>
      <c r="AJ271" s="408"/>
      <c r="AK271" s="408"/>
      <c r="AL271" s="408"/>
      <c r="AM271" s="408"/>
      <c r="AN271" s="408"/>
      <c r="AO271" s="408"/>
      <c r="AP271" s="408"/>
      <c r="AQ271" s="408"/>
      <c r="AR271" s="408"/>
      <c r="AS271" s="408"/>
      <c r="AT271" s="408"/>
      <c r="AU271" s="408"/>
      <c r="AV271" s="370">
        <f>+'SEF-32 pg 35-45'!M24</f>
        <v>4343819.612462908</v>
      </c>
      <c r="AW271" s="408"/>
      <c r="AX271" s="408"/>
      <c r="AY271" s="408"/>
      <c r="AZ271" s="408"/>
      <c r="BA271" s="408"/>
      <c r="BB271" s="408"/>
      <c r="BC271" s="408"/>
      <c r="BD271" s="408"/>
      <c r="BE271" s="408"/>
      <c r="BF271" s="408"/>
      <c r="BG271" s="371">
        <f>SUM(E271:BF271)</f>
        <v>4343819.612462908</v>
      </c>
      <c r="BH271" s="371">
        <f>+BG271+D271</f>
        <v>183209986.93481645</v>
      </c>
      <c r="BI271" s="82"/>
      <c r="BJ271" s="356"/>
      <c r="BK271" s="82"/>
    </row>
    <row r="272" spans="1:74" outlineLevel="1" x14ac:dyDescent="0.25">
      <c r="A272" s="317">
        <v>14</v>
      </c>
      <c r="B272" s="365" t="s">
        <v>92</v>
      </c>
      <c r="C272" s="350" t="s">
        <v>164</v>
      </c>
      <c r="D272" s="1260">
        <f>+BH211</f>
        <v>0</v>
      </c>
      <c r="E272" s="408"/>
      <c r="F272" s="408"/>
      <c r="G272" s="408"/>
      <c r="H272" s="408"/>
      <c r="I272" s="408"/>
      <c r="J272" s="408"/>
      <c r="K272" s="408"/>
      <c r="L272" s="408"/>
      <c r="M272" s="408"/>
      <c r="N272" s="408"/>
      <c r="O272" s="408"/>
      <c r="P272" s="408"/>
      <c r="Q272" s="408"/>
      <c r="R272" s="408"/>
      <c r="S272" s="408"/>
      <c r="T272" s="408"/>
      <c r="U272" s="408"/>
      <c r="V272" s="408"/>
      <c r="W272" s="408"/>
      <c r="X272" s="408"/>
      <c r="Y272" s="408"/>
      <c r="Z272" s="408"/>
      <c r="AA272" s="408"/>
      <c r="AB272" s="408"/>
      <c r="AC272" s="408"/>
      <c r="AD272" s="408"/>
      <c r="AE272" s="408"/>
      <c r="AF272" s="408"/>
      <c r="AG272" s="408"/>
      <c r="AH272" s="408"/>
      <c r="AI272" s="408"/>
      <c r="AJ272" s="408"/>
      <c r="AK272" s="408"/>
      <c r="AL272" s="408"/>
      <c r="AM272" s="408"/>
      <c r="AN272" s="408"/>
      <c r="AO272" s="408"/>
      <c r="AP272" s="408"/>
      <c r="AQ272" s="408"/>
      <c r="AR272" s="408"/>
      <c r="AS272" s="408"/>
      <c r="AT272" s="408"/>
      <c r="AU272" s="408"/>
      <c r="AV272" s="408"/>
      <c r="AW272" s="408"/>
      <c r="AX272" s="408"/>
      <c r="AY272" s="408"/>
      <c r="AZ272" s="408"/>
      <c r="BA272" s="408"/>
      <c r="BB272" s="408"/>
      <c r="BC272" s="408"/>
      <c r="BD272" s="408"/>
      <c r="BE272" s="408"/>
      <c r="BF272" s="408"/>
      <c r="BG272" s="357">
        <f>SUM(E272:BF272)</f>
        <v>0</v>
      </c>
      <c r="BH272" s="357">
        <f>+BG272+D272</f>
        <v>0</v>
      </c>
      <c r="BI272" s="82"/>
      <c r="BJ272" s="356"/>
      <c r="BK272" s="82"/>
    </row>
    <row r="273" spans="1:63" outlineLevel="1" x14ac:dyDescent="0.25">
      <c r="A273" s="317">
        <v>15</v>
      </c>
      <c r="B273" s="349" t="s">
        <v>93</v>
      </c>
      <c r="C273" s="350" t="s">
        <v>164</v>
      </c>
      <c r="D273" s="1281">
        <f>SUM(D268:D272)</f>
        <v>1799791616.8871508</v>
      </c>
      <c r="E273" s="409">
        <f>SUM(E268:E272)</f>
        <v>0</v>
      </c>
      <c r="F273" s="409">
        <f t="shared" ref="F273:BF273" si="77">SUM(F268:F272)</f>
        <v>0</v>
      </c>
      <c r="G273" s="409">
        <f t="shared" si="77"/>
        <v>0</v>
      </c>
      <c r="H273" s="409">
        <f t="shared" si="77"/>
        <v>0</v>
      </c>
      <c r="I273" s="409">
        <f t="shared" si="77"/>
        <v>0</v>
      </c>
      <c r="J273" s="409">
        <f t="shared" si="77"/>
        <v>0</v>
      </c>
      <c r="K273" s="409">
        <f t="shared" si="77"/>
        <v>0</v>
      </c>
      <c r="L273" s="409">
        <f t="shared" si="77"/>
        <v>0</v>
      </c>
      <c r="M273" s="409">
        <f t="shared" si="77"/>
        <v>0</v>
      </c>
      <c r="N273" s="409">
        <f t="shared" si="77"/>
        <v>0</v>
      </c>
      <c r="O273" s="409">
        <f t="shared" si="77"/>
        <v>350.74588561290875</v>
      </c>
      <c r="P273" s="409">
        <f t="shared" si="77"/>
        <v>0</v>
      </c>
      <c r="Q273" s="409">
        <f t="shared" si="77"/>
        <v>0</v>
      </c>
      <c r="R273" s="409">
        <f t="shared" si="77"/>
        <v>0</v>
      </c>
      <c r="S273" s="409">
        <f t="shared" si="77"/>
        <v>0</v>
      </c>
      <c r="T273" s="409">
        <f t="shared" si="77"/>
        <v>0</v>
      </c>
      <c r="U273" s="409">
        <f t="shared" si="77"/>
        <v>0</v>
      </c>
      <c r="V273" s="409">
        <f t="shared" si="77"/>
        <v>0</v>
      </c>
      <c r="W273" s="409">
        <f t="shared" si="77"/>
        <v>0</v>
      </c>
      <c r="X273" s="409">
        <f t="shared" si="77"/>
        <v>0</v>
      </c>
      <c r="Y273" s="409">
        <f t="shared" si="77"/>
        <v>0</v>
      </c>
      <c r="Z273" s="409">
        <f t="shared" si="77"/>
        <v>0</v>
      </c>
      <c r="AA273" s="409">
        <f t="shared" si="77"/>
        <v>0</v>
      </c>
      <c r="AB273" s="409">
        <f t="shared" si="77"/>
        <v>0</v>
      </c>
      <c r="AC273" s="409">
        <f t="shared" si="77"/>
        <v>0</v>
      </c>
      <c r="AD273" s="409">
        <f t="shared" si="77"/>
        <v>0</v>
      </c>
      <c r="AE273" s="409">
        <f t="shared" si="77"/>
        <v>0</v>
      </c>
      <c r="AF273" s="409">
        <f t="shared" si="77"/>
        <v>0</v>
      </c>
      <c r="AG273" s="409">
        <f t="shared" si="77"/>
        <v>0</v>
      </c>
      <c r="AH273" s="409">
        <f t="shared" si="77"/>
        <v>0</v>
      </c>
      <c r="AI273" s="409">
        <f t="shared" si="77"/>
        <v>0</v>
      </c>
      <c r="AJ273" s="409">
        <f t="shared" si="77"/>
        <v>0</v>
      </c>
      <c r="AK273" s="409">
        <f>SUM(AK268:AK272)</f>
        <v>0</v>
      </c>
      <c r="AL273" s="409">
        <f>SUM(AL268:AL272)</f>
        <v>0</v>
      </c>
      <c r="AM273" s="409">
        <f>SUM(AM268:AM272)</f>
        <v>0</v>
      </c>
      <c r="AN273" s="409">
        <f t="shared" ref="AN273:AV273" si="78">SUM(AN268:AN272)</f>
        <v>0</v>
      </c>
      <c r="AO273" s="409">
        <f t="shared" si="78"/>
        <v>0</v>
      </c>
      <c r="AP273" s="409">
        <f t="shared" si="78"/>
        <v>0</v>
      </c>
      <c r="AQ273" s="409">
        <f t="shared" si="78"/>
        <v>0</v>
      </c>
      <c r="AR273" s="409">
        <f t="shared" si="78"/>
        <v>0</v>
      </c>
      <c r="AS273" s="409">
        <f t="shared" si="78"/>
        <v>0</v>
      </c>
      <c r="AT273" s="409">
        <f t="shared" si="78"/>
        <v>0</v>
      </c>
      <c r="AU273" s="409">
        <f t="shared" si="78"/>
        <v>0</v>
      </c>
      <c r="AV273" s="372">
        <f t="shared" si="78"/>
        <v>-180524763.25642362</v>
      </c>
      <c r="AW273" s="409">
        <f t="shared" si="77"/>
        <v>0</v>
      </c>
      <c r="AX273" s="409">
        <f t="shared" si="77"/>
        <v>0</v>
      </c>
      <c r="AY273" s="409">
        <f t="shared" si="77"/>
        <v>0</v>
      </c>
      <c r="AZ273" s="409">
        <f t="shared" si="77"/>
        <v>0</v>
      </c>
      <c r="BA273" s="409">
        <f t="shared" si="77"/>
        <v>0</v>
      </c>
      <c r="BB273" s="409">
        <f t="shared" si="77"/>
        <v>0</v>
      </c>
      <c r="BC273" s="409">
        <f t="shared" si="77"/>
        <v>0</v>
      </c>
      <c r="BD273" s="409">
        <f t="shared" si="77"/>
        <v>0</v>
      </c>
      <c r="BE273" s="409">
        <f>SUM(BE268:BE272)</f>
        <v>0</v>
      </c>
      <c r="BF273" s="409">
        <f t="shared" si="77"/>
        <v>0</v>
      </c>
      <c r="BG273" s="373">
        <f>SUM(BG268:BG272)</f>
        <v>-180524412.51053801</v>
      </c>
      <c r="BH273" s="373">
        <f>SUM(BH268:BH272)</f>
        <v>1619267204.3766127</v>
      </c>
      <c r="BI273" s="82"/>
      <c r="BJ273" s="356"/>
      <c r="BK273" s="82"/>
    </row>
    <row r="274" spans="1:63" outlineLevel="1" x14ac:dyDescent="0.25">
      <c r="A274" s="317">
        <v>16</v>
      </c>
      <c r="B274" s="349"/>
      <c r="C274" s="350" t="s">
        <v>164</v>
      </c>
      <c r="D274" s="1262"/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/>
      <c r="P274" s="412"/>
      <c r="Q274" s="412"/>
      <c r="R274" s="412"/>
      <c r="S274" s="412"/>
      <c r="T274" s="412"/>
      <c r="U274" s="412"/>
      <c r="V274" s="412"/>
      <c r="W274" s="412"/>
      <c r="X274" s="412"/>
      <c r="Y274" s="412"/>
      <c r="Z274" s="412"/>
      <c r="AA274" s="412"/>
      <c r="AB274" s="412"/>
      <c r="AC274" s="412"/>
      <c r="AD274" s="412"/>
      <c r="AE274" s="412"/>
      <c r="AF274" s="412"/>
      <c r="AG274" s="412"/>
      <c r="AH274" s="412"/>
      <c r="AI274" s="412"/>
      <c r="AJ274" s="412"/>
      <c r="AK274" s="412"/>
      <c r="AL274" s="412"/>
      <c r="AM274" s="412"/>
      <c r="AN274" s="412"/>
      <c r="AO274" s="412"/>
      <c r="AP274" s="412"/>
      <c r="AQ274" s="412"/>
      <c r="AR274" s="412"/>
      <c r="AS274" s="412"/>
      <c r="AT274" s="412"/>
      <c r="AU274" s="412"/>
      <c r="AV274" s="412"/>
      <c r="AW274" s="412"/>
      <c r="AX274" s="412"/>
      <c r="AY274" s="412"/>
      <c r="AZ274" s="412"/>
      <c r="BA274" s="412"/>
      <c r="BB274" s="412"/>
      <c r="BC274" s="412"/>
      <c r="BD274" s="412"/>
      <c r="BE274" s="412"/>
      <c r="BF274" s="412"/>
      <c r="BG274" s="366"/>
      <c r="BH274" s="366"/>
      <c r="BI274" s="82"/>
      <c r="BJ274" s="356"/>
      <c r="BK274" s="82"/>
    </row>
    <row r="275" spans="1:63" outlineLevel="1" x14ac:dyDescent="0.25">
      <c r="A275" s="317">
        <v>17</v>
      </c>
      <c r="B275" s="369" t="s">
        <v>94</v>
      </c>
      <c r="C275" s="350" t="s">
        <v>164</v>
      </c>
      <c r="D275" s="1260">
        <f t="shared" ref="D275:D288" si="79">+BH214</f>
        <v>99929274.275017902</v>
      </c>
      <c r="E275" s="412"/>
      <c r="F275" s="412"/>
      <c r="G275" s="412"/>
      <c r="H275" s="412"/>
      <c r="I275" s="412"/>
      <c r="J275" s="412"/>
      <c r="K275" s="412"/>
      <c r="L275" s="412"/>
      <c r="M275" s="412"/>
      <c r="N275" s="412"/>
      <c r="O275" s="408">
        <f>'SEF-32 pg 1-34, 46'!GI18</f>
        <v>0</v>
      </c>
      <c r="P275" s="412"/>
      <c r="Q275" s="412"/>
      <c r="R275" s="412"/>
      <c r="S275" s="412"/>
      <c r="T275" s="412"/>
      <c r="U275" s="412"/>
      <c r="V275" s="412"/>
      <c r="W275" s="412"/>
      <c r="X275" s="412"/>
      <c r="Y275" s="412"/>
      <c r="Z275" s="408">
        <f>'SEF-32 pg 1-34, 46'!NY18</f>
        <v>0</v>
      </c>
      <c r="AA275" s="412"/>
      <c r="AB275" s="412"/>
      <c r="AC275" s="412"/>
      <c r="AD275" s="412"/>
      <c r="AE275" s="412"/>
      <c r="AF275" s="412"/>
      <c r="AG275" s="412"/>
      <c r="AH275" s="412"/>
      <c r="AI275" s="412"/>
      <c r="AJ275" s="412"/>
      <c r="AK275" s="412"/>
      <c r="AL275" s="412"/>
      <c r="AM275" s="412"/>
      <c r="AN275" s="412"/>
      <c r="AO275" s="412"/>
      <c r="AP275" s="412"/>
      <c r="AQ275" s="412"/>
      <c r="AR275" s="412"/>
      <c r="AS275" s="412"/>
      <c r="AT275" s="412"/>
      <c r="AU275" s="412"/>
      <c r="AV275" s="412">
        <f>+'SEF-32 pg 35-45'!M30</f>
        <v>9528835.464643538</v>
      </c>
      <c r="AW275" s="412"/>
      <c r="AX275" s="412"/>
      <c r="AY275" s="412"/>
      <c r="AZ275" s="412"/>
      <c r="BA275" s="412"/>
      <c r="BB275" s="412">
        <f>'SEF-32 pg 35-45'!EI61</f>
        <v>0</v>
      </c>
      <c r="BC275" s="412"/>
      <c r="BD275" s="412"/>
      <c r="BE275" s="412"/>
      <c r="BF275" s="412">
        <f>'SEF-32 pg 35-45'!HC23</f>
        <v>0</v>
      </c>
      <c r="BG275" s="357">
        <f t="shared" ref="BG275:BG288" si="80">SUM(E275:BF275)</f>
        <v>9528835.464643538</v>
      </c>
      <c r="BH275" s="366">
        <f t="shared" ref="BH275:BH288" si="81">+BG275+D275</f>
        <v>109458109.73966144</v>
      </c>
      <c r="BI275" s="82"/>
      <c r="BJ275" s="356"/>
      <c r="BK275" s="82"/>
    </row>
    <row r="276" spans="1:63" outlineLevel="1" x14ac:dyDescent="0.25">
      <c r="A276" s="317">
        <v>18</v>
      </c>
      <c r="B276" s="349" t="s">
        <v>95</v>
      </c>
      <c r="C276" s="350" t="s">
        <v>164</v>
      </c>
      <c r="D276" s="1260">
        <f t="shared" si="79"/>
        <v>32880915.318407286</v>
      </c>
      <c r="E276" s="408"/>
      <c r="F276" s="408"/>
      <c r="G276" s="408"/>
      <c r="H276" s="408"/>
      <c r="I276" s="408"/>
      <c r="J276" s="408"/>
      <c r="K276" s="408"/>
      <c r="L276" s="408"/>
      <c r="M276" s="408"/>
      <c r="N276" s="408"/>
      <c r="O276" s="408">
        <f>'SEF-32 pg 1-34, 46'!GI19</f>
        <v>504.5588854966918</v>
      </c>
      <c r="P276" s="408"/>
      <c r="Q276" s="408"/>
      <c r="R276" s="408"/>
      <c r="S276" s="408"/>
      <c r="T276" s="408"/>
      <c r="U276" s="408"/>
      <c r="V276" s="408"/>
      <c r="W276" s="408"/>
      <c r="X276" s="408"/>
      <c r="Y276" s="408"/>
      <c r="Z276" s="408">
        <f>'SEF-32 pg 1-34, 46'!NY19</f>
        <v>4098306.9804259613</v>
      </c>
      <c r="AA276" s="408"/>
      <c r="AB276" s="408"/>
      <c r="AC276" s="408"/>
      <c r="AD276" s="408"/>
      <c r="AE276" s="408"/>
      <c r="AF276" s="408"/>
      <c r="AG276" s="408"/>
      <c r="AH276" s="408"/>
      <c r="AI276" s="408"/>
      <c r="AJ276" s="408"/>
      <c r="AK276" s="408"/>
      <c r="AL276" s="408"/>
      <c r="AM276" s="408"/>
      <c r="AN276" s="408"/>
      <c r="AO276" s="408"/>
      <c r="AP276" s="408"/>
      <c r="AQ276" s="408"/>
      <c r="AR276" s="408"/>
      <c r="AS276" s="408"/>
      <c r="AT276" s="408"/>
      <c r="AU276" s="408"/>
      <c r="AV276" s="408"/>
      <c r="AW276" s="408"/>
      <c r="AX276" s="408"/>
      <c r="AY276" s="408"/>
      <c r="AZ276" s="408"/>
      <c r="BA276" s="408"/>
      <c r="BB276" s="408"/>
      <c r="BC276" s="408"/>
      <c r="BD276" s="408"/>
      <c r="BE276" s="408"/>
      <c r="BF276" s="408"/>
      <c r="BG276" s="357">
        <f t="shared" si="80"/>
        <v>4098811.5393114579</v>
      </c>
      <c r="BH276" s="357">
        <f t="shared" si="81"/>
        <v>36979726.857718743</v>
      </c>
      <c r="BI276" s="82"/>
      <c r="BJ276" s="356"/>
      <c r="BK276" s="82"/>
    </row>
    <row r="277" spans="1:63" outlineLevel="1" x14ac:dyDescent="0.25">
      <c r="A277" s="317">
        <v>19</v>
      </c>
      <c r="B277" s="349" t="s">
        <v>96</v>
      </c>
      <c r="C277" s="350" t="s">
        <v>164</v>
      </c>
      <c r="D277" s="1260">
        <f t="shared" si="79"/>
        <v>122850764.9671983</v>
      </c>
      <c r="E277" s="408"/>
      <c r="F277" s="408"/>
      <c r="G277" s="408"/>
      <c r="H277" s="408"/>
      <c r="I277" s="408"/>
      <c r="J277" s="408"/>
      <c r="K277" s="408"/>
      <c r="L277" s="408"/>
      <c r="M277" s="408"/>
      <c r="N277" s="408"/>
      <c r="O277" s="408">
        <f>'SEF-32 pg 1-34, 46'!GI20</f>
        <v>1540.7422927264124</v>
      </c>
      <c r="P277" s="408"/>
      <c r="Q277" s="408"/>
      <c r="R277" s="408"/>
      <c r="S277" s="408"/>
      <c r="T277" s="408"/>
      <c r="U277" s="408"/>
      <c r="V277" s="408"/>
      <c r="W277" s="408"/>
      <c r="X277" s="408"/>
      <c r="Y277" s="408"/>
      <c r="Z277" s="408">
        <f>'SEF-32 pg 1-34, 46'!NY20</f>
        <v>6949344.2104498893</v>
      </c>
      <c r="AA277" s="408"/>
      <c r="AB277" s="408"/>
      <c r="AC277" s="408"/>
      <c r="AD277" s="408"/>
      <c r="AE277" s="408"/>
      <c r="AF277" s="408"/>
      <c r="AG277" s="408"/>
      <c r="AH277" s="408"/>
      <c r="AI277" s="408"/>
      <c r="AJ277" s="408"/>
      <c r="AK277" s="408"/>
      <c r="AL277" s="408"/>
      <c r="AM277" s="408"/>
      <c r="AN277" s="408"/>
      <c r="AO277" s="408"/>
      <c r="AP277" s="408"/>
      <c r="AQ277" s="408"/>
      <c r="AR277" s="408"/>
      <c r="AS277" s="408"/>
      <c r="AT277" s="408"/>
      <c r="AU277" s="408"/>
      <c r="AV277" s="408"/>
      <c r="AW277" s="408"/>
      <c r="AX277" s="408"/>
      <c r="AY277" s="408"/>
      <c r="AZ277" s="408"/>
      <c r="BA277" s="408"/>
      <c r="BB277" s="408"/>
      <c r="BC277" s="408"/>
      <c r="BD277" s="408"/>
      <c r="BE277" s="408"/>
      <c r="BF277" s="408"/>
      <c r="BG277" s="357">
        <f t="shared" si="80"/>
        <v>6950884.9527426157</v>
      </c>
      <c r="BH277" s="357">
        <f t="shared" si="81"/>
        <v>129801649.91994092</v>
      </c>
      <c r="BI277" s="82"/>
      <c r="BJ277" s="356"/>
      <c r="BK277" s="82"/>
    </row>
    <row r="278" spans="1:63" outlineLevel="1" x14ac:dyDescent="0.25">
      <c r="A278" s="317">
        <v>20</v>
      </c>
      <c r="B278" s="349" t="s">
        <v>97</v>
      </c>
      <c r="C278" s="350" t="s">
        <v>164</v>
      </c>
      <c r="D278" s="1260">
        <f t="shared" si="79"/>
        <v>42287096.854057647</v>
      </c>
      <c r="E278" s="408">
        <f>'SEF-32 pg 1-34, 46'!M$74</f>
        <v>176670.94779115092</v>
      </c>
      <c r="F278" s="408"/>
      <c r="G278" s="408"/>
      <c r="H278" s="408"/>
      <c r="I278" s="408"/>
      <c r="J278" s="408"/>
      <c r="K278" s="408"/>
      <c r="L278" s="408"/>
      <c r="M278" s="408"/>
      <c r="N278" s="408"/>
      <c r="O278" s="408">
        <f>'SEF-32 pg 1-34, 46'!GI21</f>
        <v>372.13262209284585</v>
      </c>
      <c r="P278" s="408"/>
      <c r="Q278" s="408"/>
      <c r="R278" s="408"/>
      <c r="S278" s="408"/>
      <c r="T278" s="408"/>
      <c r="U278" s="408"/>
      <c r="V278" s="408"/>
      <c r="W278" s="408"/>
      <c r="X278" s="408"/>
      <c r="Y278" s="408"/>
      <c r="Z278" s="408">
        <f>'SEF-32 pg 1-34, 46'!NY21</f>
        <v>-629248.44066616148</v>
      </c>
      <c r="AA278" s="408"/>
      <c r="AB278" s="408"/>
      <c r="AC278" s="408"/>
      <c r="AD278" s="408"/>
      <c r="AE278" s="408"/>
      <c r="AF278" s="408"/>
      <c r="AG278" s="408"/>
      <c r="AH278" s="408"/>
      <c r="AI278" s="408"/>
      <c r="AJ278" s="408"/>
      <c r="AK278" s="408"/>
      <c r="AL278" s="408"/>
      <c r="AM278" s="408"/>
      <c r="AN278" s="408"/>
      <c r="AO278" s="408"/>
      <c r="AP278" s="408"/>
      <c r="AQ278" s="408"/>
      <c r="AR278" s="408"/>
      <c r="AS278" s="408"/>
      <c r="AT278" s="408"/>
      <c r="AU278" s="408"/>
      <c r="AV278" s="408"/>
      <c r="AW278" s="408"/>
      <c r="AX278" s="408"/>
      <c r="AY278" s="408"/>
      <c r="AZ278" s="408"/>
      <c r="BA278" s="408"/>
      <c r="BB278" s="408"/>
      <c r="BC278" s="408"/>
      <c r="BD278" s="408"/>
      <c r="BE278" s="408"/>
      <c r="BF278" s="408"/>
      <c r="BG278" s="357">
        <f t="shared" si="80"/>
        <v>-452205.36025291774</v>
      </c>
      <c r="BH278" s="357">
        <f t="shared" si="81"/>
        <v>41834891.49380473</v>
      </c>
      <c r="BI278" s="82"/>
      <c r="BJ278" s="356"/>
      <c r="BK278" s="82"/>
    </row>
    <row r="279" spans="1:63" outlineLevel="1" x14ac:dyDescent="0.25">
      <c r="A279" s="317">
        <v>21</v>
      </c>
      <c r="B279" s="349" t="s">
        <v>98</v>
      </c>
      <c r="C279" s="350" t="s">
        <v>164</v>
      </c>
      <c r="D279" s="1260">
        <f t="shared" si="79"/>
        <v>3685283.1755402656</v>
      </c>
      <c r="E279" s="408"/>
      <c r="F279" s="408"/>
      <c r="G279" s="408"/>
      <c r="H279" s="408"/>
      <c r="I279" s="408"/>
      <c r="J279" s="408"/>
      <c r="K279" s="408"/>
      <c r="L279" s="408"/>
      <c r="M279" s="408"/>
      <c r="N279" s="408"/>
      <c r="O279" s="408">
        <f>'SEF-32 pg 1-34, 46'!GI22</f>
        <v>100.11900269344915</v>
      </c>
      <c r="P279" s="408"/>
      <c r="Q279" s="408"/>
      <c r="R279" s="408"/>
      <c r="S279" s="408"/>
      <c r="T279" s="408"/>
      <c r="U279" s="408"/>
      <c r="V279" s="408"/>
      <c r="W279" s="408"/>
      <c r="X279" s="408"/>
      <c r="Y279" s="408"/>
      <c r="Z279" s="408">
        <f>'SEF-32 pg 1-34, 46'!NY22</f>
        <v>115434.57597841276</v>
      </c>
      <c r="AA279" s="408"/>
      <c r="AB279" s="408"/>
      <c r="AC279" s="408"/>
      <c r="AD279" s="408"/>
      <c r="AE279" s="408"/>
      <c r="AF279" s="408"/>
      <c r="AG279" s="408"/>
      <c r="AH279" s="408"/>
      <c r="AI279" s="408"/>
      <c r="AJ279" s="408"/>
      <c r="AK279" s="408"/>
      <c r="AL279" s="408"/>
      <c r="AM279" s="408"/>
      <c r="AN279" s="408"/>
      <c r="AO279" s="408"/>
      <c r="AP279" s="408"/>
      <c r="AQ279" s="408"/>
      <c r="AR279" s="408"/>
      <c r="AS279" s="408"/>
      <c r="AT279" s="408"/>
      <c r="AU279" s="408"/>
      <c r="AV279" s="408"/>
      <c r="AW279" s="408"/>
      <c r="AX279" s="408"/>
      <c r="AY279" s="408"/>
      <c r="AZ279" s="408"/>
      <c r="BA279" s="408"/>
      <c r="BB279" s="408"/>
      <c r="BC279" s="408"/>
      <c r="BD279" s="408"/>
      <c r="BE279" s="408"/>
      <c r="BF279" s="408"/>
      <c r="BG279" s="357">
        <f t="shared" si="80"/>
        <v>115534.69498110621</v>
      </c>
      <c r="BH279" s="357">
        <f t="shared" si="81"/>
        <v>3800817.8705213717</v>
      </c>
      <c r="BI279" s="82"/>
      <c r="BJ279" s="356"/>
      <c r="BK279" s="82"/>
    </row>
    <row r="280" spans="1:63" outlineLevel="1" x14ac:dyDescent="0.25">
      <c r="A280" s="317">
        <v>22</v>
      </c>
      <c r="B280" s="349" t="s">
        <v>99</v>
      </c>
      <c r="C280" s="350" t="s">
        <v>164</v>
      </c>
      <c r="D280" s="1260">
        <f t="shared" si="79"/>
        <v>0</v>
      </c>
      <c r="E280" s="408"/>
      <c r="F280" s="408"/>
      <c r="G280" s="408"/>
      <c r="H280" s="408"/>
      <c r="I280" s="408"/>
      <c r="J280" s="408"/>
      <c r="K280" s="408"/>
      <c r="L280" s="408"/>
      <c r="M280" s="408"/>
      <c r="N280" s="408"/>
      <c r="O280" s="408"/>
      <c r="P280" s="408"/>
      <c r="Q280" s="408"/>
      <c r="R280" s="408"/>
      <c r="S280" s="408"/>
      <c r="T280" s="408"/>
      <c r="U280" s="408"/>
      <c r="V280" s="408"/>
      <c r="W280" s="408"/>
      <c r="X280" s="408"/>
      <c r="Y280" s="408"/>
      <c r="Z280" s="408"/>
      <c r="AA280" s="408"/>
      <c r="AB280" s="408"/>
      <c r="AC280" s="408"/>
      <c r="AD280" s="408"/>
      <c r="AE280" s="408"/>
      <c r="AF280" s="408"/>
      <c r="AG280" s="408"/>
      <c r="AH280" s="408"/>
      <c r="AI280" s="408"/>
      <c r="AJ280" s="408"/>
      <c r="AK280" s="408"/>
      <c r="AL280" s="408"/>
      <c r="AM280" s="408"/>
      <c r="AN280" s="408"/>
      <c r="AO280" s="408"/>
      <c r="AP280" s="408"/>
      <c r="AQ280" s="408"/>
      <c r="AR280" s="408"/>
      <c r="AS280" s="408"/>
      <c r="AT280" s="408"/>
      <c r="AU280" s="408"/>
      <c r="AV280" s="408"/>
      <c r="AW280" s="408"/>
      <c r="AX280" s="408"/>
      <c r="AY280" s="408"/>
      <c r="AZ280" s="408"/>
      <c r="BA280" s="408"/>
      <c r="BB280" s="408"/>
      <c r="BC280" s="408"/>
      <c r="BD280" s="408"/>
      <c r="BE280" s="408"/>
      <c r="BF280" s="408"/>
      <c r="BG280" s="357">
        <f t="shared" si="80"/>
        <v>0</v>
      </c>
      <c r="BH280" s="357">
        <f t="shared" si="81"/>
        <v>0</v>
      </c>
      <c r="BI280" s="82"/>
      <c r="BJ280" s="356"/>
      <c r="BK280" s="82"/>
    </row>
    <row r="281" spans="1:63" outlineLevel="1" x14ac:dyDescent="0.25">
      <c r="A281" s="317">
        <v>23</v>
      </c>
      <c r="B281" s="349" t="s">
        <v>100</v>
      </c>
      <c r="C281" s="350" t="s">
        <v>164</v>
      </c>
      <c r="D281" s="1272">
        <f t="shared" si="79"/>
        <v>194960254.39883822</v>
      </c>
      <c r="E281" s="370">
        <f>'SEF-32 pg 1-34, 46'!M$75</f>
        <v>136152.08676876611</v>
      </c>
      <c r="F281" s="408"/>
      <c r="G281" s="408"/>
      <c r="H281" s="408"/>
      <c r="I281" s="408"/>
      <c r="J281" s="408"/>
      <c r="K281" s="408"/>
      <c r="L281" s="408"/>
      <c r="M281" s="408"/>
      <c r="N281" s="408"/>
      <c r="O281" s="408">
        <f>'SEF-32 pg 1-34, 46'!GI23+'SEF-32 pg 1-34, 46'!GI24</f>
        <v>1866.5917882340655</v>
      </c>
      <c r="P281" s="408"/>
      <c r="Q281" s="408"/>
      <c r="R281" s="408"/>
      <c r="S281" s="408"/>
      <c r="T281" s="408"/>
      <c r="U281" s="408"/>
      <c r="V281" s="408"/>
      <c r="W281" s="408"/>
      <c r="X281" s="408"/>
      <c r="Y281" s="408"/>
      <c r="Z281" s="408">
        <f>'SEF-32 pg 1-34, 46'!NY24</f>
        <v>8835898.097527802</v>
      </c>
      <c r="AA281" s="408"/>
      <c r="AB281" s="408"/>
      <c r="AC281" s="408"/>
      <c r="AD281" s="408"/>
      <c r="AE281" s="408"/>
      <c r="AF281" s="408"/>
      <c r="AG281" s="408"/>
      <c r="AH281" s="408"/>
      <c r="AI281" s="408"/>
      <c r="AJ281" s="408"/>
      <c r="AK281" s="408"/>
      <c r="AL281" s="408"/>
      <c r="AM281" s="408"/>
      <c r="AN281" s="408"/>
      <c r="AO281" s="408">
        <f>'SEF-32 pg 1-34, 46'!VZ18</f>
        <v>19708.384035035502</v>
      </c>
      <c r="AP281" s="408"/>
      <c r="AQ281" s="408"/>
      <c r="AR281" s="408"/>
      <c r="AS281" s="408"/>
      <c r="AT281" s="408"/>
      <c r="AU281" s="408"/>
      <c r="AV281" s="408"/>
      <c r="AW281" s="408"/>
      <c r="AX281" s="408"/>
      <c r="AY281" s="408"/>
      <c r="AZ281" s="408">
        <f>+'SEF-32 pg 35-45'!CY25</f>
        <v>0</v>
      </c>
      <c r="BA281" s="408"/>
      <c r="BB281" s="408">
        <f>'SEF-32 pg 35-45'!EI66</f>
        <v>0</v>
      </c>
      <c r="BC281" s="408"/>
      <c r="BD281" s="408"/>
      <c r="BE281" s="408"/>
      <c r="BF281" s="408"/>
      <c r="BG281" s="371">
        <f t="shared" si="80"/>
        <v>8993625.160119839</v>
      </c>
      <c r="BH281" s="371">
        <f t="shared" si="81"/>
        <v>203953879.55895805</v>
      </c>
      <c r="BI281" s="82"/>
      <c r="BJ281" s="356"/>
      <c r="BK281" s="82"/>
    </row>
    <row r="282" spans="1:63" outlineLevel="1" x14ac:dyDescent="0.25">
      <c r="A282" s="317">
        <v>24</v>
      </c>
      <c r="B282" s="349" t="s">
        <v>101</v>
      </c>
      <c r="C282" s="350" t="s">
        <v>164</v>
      </c>
      <c r="D282" s="1260">
        <f t="shared" si="79"/>
        <v>420242105.84289968</v>
      </c>
      <c r="E282" s="408"/>
      <c r="F282" s="411"/>
      <c r="G282" s="411"/>
      <c r="H282" s="411"/>
      <c r="I282" s="411"/>
      <c r="J282" s="411"/>
      <c r="K282" s="411"/>
      <c r="L282" s="411"/>
      <c r="M282" s="411"/>
      <c r="N282" s="411"/>
      <c r="O282" s="408"/>
      <c r="P282" s="411"/>
      <c r="Q282" s="411"/>
      <c r="R282" s="411"/>
      <c r="S282" s="411"/>
      <c r="T282" s="411"/>
      <c r="U282" s="411"/>
      <c r="V282" s="411"/>
      <c r="W282" s="411"/>
      <c r="X282" s="411"/>
      <c r="Y282" s="408"/>
      <c r="Z282" s="411"/>
      <c r="AA282" s="408"/>
      <c r="AB282" s="411"/>
      <c r="AC282" s="411"/>
      <c r="AD282" s="411"/>
      <c r="AE282" s="414">
        <f>'SEF-32 pg 1-34, 46'!$RO$17+'SEF-32 pg 1-34, 46'!$RO$18+'SEF-32 pg 1-34, 46'!RO22+'SEF-32 pg 1-34, 46'!RO23</f>
        <v>-13572607.091725051</v>
      </c>
      <c r="AF282" s="414">
        <f>'SEF-32 pg 1-34, 46'!$SG$16+'SEF-32 pg 1-34, 46'!$SG$17</f>
        <v>-1738872.7200000081</v>
      </c>
      <c r="AG282" s="414">
        <f>'SEF-32 pg 1-34, 46'!$SY$16+'SEF-32 pg 1-34, 46'!$SY$17</f>
        <v>18982296.764365014</v>
      </c>
      <c r="AH282" s="414">
        <f>'SEF-32 pg 1-34, 46'!$SY$34+'SEF-32 pg 1-34, 46'!$SY$35</f>
        <v>3997892.6900000004</v>
      </c>
      <c r="AI282" s="414">
        <f>'SEF-32 pg 1-34, 46'!$SY$52+'SEF-32 pg 1-34, 46'!$SY$53</f>
        <v>10196902.229999997</v>
      </c>
      <c r="AJ282" s="414">
        <f>'SEF-32 pg 1-34, 46'!$SY$70+'SEF-32 pg 1-34, 46'!$SY$71</f>
        <v>9593805.6330499947</v>
      </c>
      <c r="AK282" s="414"/>
      <c r="AL282" s="414"/>
      <c r="AM282" s="414"/>
      <c r="AN282" s="414"/>
      <c r="AO282" s="414"/>
      <c r="AP282" s="414"/>
      <c r="AQ282" s="414"/>
      <c r="AR282" s="414"/>
      <c r="AS282" s="414"/>
      <c r="AT282" s="414"/>
      <c r="AU282" s="414"/>
      <c r="AV282" s="414"/>
      <c r="AW282" s="411"/>
      <c r="AX282" s="411"/>
      <c r="AY282" s="411"/>
      <c r="AZ282" s="412"/>
      <c r="BA282" s="411"/>
      <c r="BB282" s="408">
        <f>'SEF-32 pg 35-45'!EI62</f>
        <v>0</v>
      </c>
      <c r="BC282" s="411"/>
      <c r="BD282" s="411"/>
      <c r="BE282" s="411"/>
      <c r="BF282" s="408">
        <f>'SEF-32 pg 35-45'!HC17+'SEF-32 pg 35-45'!HC18</f>
        <v>0</v>
      </c>
      <c r="BG282" s="357">
        <f t="shared" si="80"/>
        <v>27459417.505689945</v>
      </c>
      <c r="BH282" s="357">
        <f t="shared" si="81"/>
        <v>447701523.3485896</v>
      </c>
      <c r="BI282" s="82"/>
      <c r="BJ282" s="356"/>
      <c r="BK282" s="82"/>
    </row>
    <row r="283" spans="1:63" outlineLevel="1" x14ac:dyDescent="0.25">
      <c r="A283" s="317">
        <v>25</v>
      </c>
      <c r="B283" s="349" t="s">
        <v>102</v>
      </c>
      <c r="C283" s="350" t="s">
        <v>164</v>
      </c>
      <c r="D283" s="1260">
        <f t="shared" si="79"/>
        <v>91254916.592169851</v>
      </c>
      <c r="E283" s="408"/>
      <c r="F283" s="408"/>
      <c r="G283" s="408"/>
      <c r="H283" s="408"/>
      <c r="I283" s="408"/>
      <c r="J283" s="408"/>
      <c r="K283" s="408"/>
      <c r="L283" s="408"/>
      <c r="M283" s="408"/>
      <c r="N283" s="408"/>
      <c r="O283" s="408"/>
      <c r="P283" s="408"/>
      <c r="Q283" s="408"/>
      <c r="R283" s="408"/>
      <c r="S283" s="408"/>
      <c r="T283" s="408"/>
      <c r="U283" s="408"/>
      <c r="V283" s="408"/>
      <c r="W283" s="408"/>
      <c r="X283" s="408"/>
      <c r="Y283" s="408"/>
      <c r="Z283" s="408"/>
      <c r="AA283" s="408"/>
      <c r="AB283" s="408"/>
      <c r="AC283" s="408"/>
      <c r="AD283" s="408"/>
      <c r="AE283" s="408">
        <f>'SEF-32 pg 1-34, 46'!$RO$19+'SEF-32 pg 1-34, 46'!$RO$20</f>
        <v>-8400529.4607799351</v>
      </c>
      <c r="AF283" s="408">
        <f>'SEF-32 pg 1-34, 46'!$SG$18+'SEF-32 pg 1-34, 46'!$SG$19</f>
        <v>0</v>
      </c>
      <c r="AG283" s="408">
        <f>'SEF-32 pg 1-34, 46'!$SY$18+'SEF-32 pg 1-34, 46'!$SY$19</f>
        <v>7153293.2943749987</v>
      </c>
      <c r="AH283" s="408">
        <f>'SEF-32 pg 1-34, 46'!$SY$36+'SEF-32 pg 1-34, 46'!$SY$37</f>
        <v>88036.5</v>
      </c>
      <c r="AI283" s="408">
        <f>'SEF-32 pg 1-34, 46'!$SY$54+'SEF-32 pg 1-34, 46'!$SY$55</f>
        <v>461782.42264</v>
      </c>
      <c r="AJ283" s="408">
        <f>'SEF-32 pg 1-34, 46'!$SY$72+'SEF-32 pg 1-34, 46'!$SY$73</f>
        <v>20278769.423565</v>
      </c>
      <c r="AK283" s="408"/>
      <c r="AL283" s="408"/>
      <c r="AM283" s="408"/>
      <c r="AN283" s="408"/>
      <c r="AO283" s="408"/>
      <c r="AP283" s="408"/>
      <c r="AQ283" s="408"/>
      <c r="AR283" s="408"/>
      <c r="AS283" s="408"/>
      <c r="AT283" s="408"/>
      <c r="AU283" s="408"/>
      <c r="AV283" s="408"/>
      <c r="AW283" s="408"/>
      <c r="AX283" s="408"/>
      <c r="AY283" s="408"/>
      <c r="AZ283" s="408">
        <f>+'SEF-32 pg 35-45'!CY24</f>
        <v>0</v>
      </c>
      <c r="BA283" s="408"/>
      <c r="BB283" s="408"/>
      <c r="BC283" s="408">
        <f>'SEF-32 pg 35-45'!FA37</f>
        <v>-1.1175870895385742E-8</v>
      </c>
      <c r="BD283" s="408"/>
      <c r="BE283" s="408"/>
      <c r="BF283" s="408">
        <f>'SEF-32 pg 35-45'!HC19+'SEF-32 pg 35-45'!HC20</f>
        <v>0</v>
      </c>
      <c r="BG283" s="357">
        <f t="shared" si="80"/>
        <v>19581352.179800052</v>
      </c>
      <c r="BH283" s="357">
        <f t="shared" si="81"/>
        <v>110836268.7719699</v>
      </c>
      <c r="BI283" s="82"/>
      <c r="BJ283" s="356"/>
      <c r="BK283" s="82"/>
    </row>
    <row r="284" spans="1:63" outlineLevel="1" x14ac:dyDescent="0.25">
      <c r="A284" s="317">
        <v>26</v>
      </c>
      <c r="B284" s="369" t="s">
        <v>103</v>
      </c>
      <c r="C284" s="350" t="s">
        <v>164</v>
      </c>
      <c r="D284" s="1260">
        <f t="shared" si="79"/>
        <v>28935630.602752648</v>
      </c>
      <c r="E284" s="408"/>
      <c r="F284" s="408"/>
      <c r="G284" s="408"/>
      <c r="H284" s="408"/>
      <c r="I284" s="408"/>
      <c r="J284" s="408"/>
      <c r="K284" s="408"/>
      <c r="L284" s="408"/>
      <c r="M284" s="408"/>
      <c r="N284" s="408"/>
      <c r="O284" s="408"/>
      <c r="P284" s="408"/>
      <c r="Q284" s="408"/>
      <c r="R284" s="408"/>
      <c r="S284" s="408"/>
      <c r="T284" s="408"/>
      <c r="U284" s="408"/>
      <c r="V284" s="408"/>
      <c r="W284" s="408"/>
      <c r="X284" s="408"/>
      <c r="Y284" s="408"/>
      <c r="Z284" s="408"/>
      <c r="AA284" s="408"/>
      <c r="AB284" s="408"/>
      <c r="AC284" s="408"/>
      <c r="AD284" s="408"/>
      <c r="AE284" s="408"/>
      <c r="AF284" s="408"/>
      <c r="AG284" s="408"/>
      <c r="AH284" s="408"/>
      <c r="AI284" s="408"/>
      <c r="AJ284" s="408"/>
      <c r="AK284" s="408"/>
      <c r="AL284" s="408"/>
      <c r="AM284" s="408"/>
      <c r="AN284" s="408"/>
      <c r="AO284" s="408"/>
      <c r="AP284" s="370"/>
      <c r="AQ284" s="408"/>
      <c r="AR284" s="408"/>
      <c r="AS284" s="408"/>
      <c r="AT284" s="408"/>
      <c r="AU284" s="408"/>
      <c r="AV284" s="408"/>
      <c r="AW284" s="408"/>
      <c r="AX284" s="408"/>
      <c r="AY284" s="408"/>
      <c r="AZ284" s="408"/>
      <c r="BA284" s="408">
        <f>'SEF-32 pg 35-45'!DQ$26</f>
        <v>-9923258.5858978108</v>
      </c>
      <c r="BB284" s="408"/>
      <c r="BC284" s="408"/>
      <c r="BD284" s="408"/>
      <c r="BE284" s="408"/>
      <c r="BF284" s="408"/>
      <c r="BG284" s="357">
        <f t="shared" si="80"/>
        <v>-9923258.5858978108</v>
      </c>
      <c r="BH284" s="357">
        <f t="shared" si="81"/>
        <v>19012372.016854838</v>
      </c>
      <c r="BI284" s="82"/>
      <c r="BJ284" s="356"/>
      <c r="BK284" s="82"/>
    </row>
    <row r="285" spans="1:63" outlineLevel="1" x14ac:dyDescent="0.25">
      <c r="A285" s="317">
        <v>27</v>
      </c>
      <c r="B285" s="349" t="s">
        <v>104</v>
      </c>
      <c r="C285" s="350" t="s">
        <v>164</v>
      </c>
      <c r="D285" s="1272">
        <f t="shared" si="79"/>
        <v>47757576.427233785</v>
      </c>
      <c r="E285" s="408">
        <f>'SEF-32 pg 1-34, 46'!M$72</f>
        <v>0</v>
      </c>
      <c r="F285" s="408"/>
      <c r="G285" s="408"/>
      <c r="H285" s="408"/>
      <c r="I285" s="408"/>
      <c r="J285" s="408"/>
      <c r="K285" s="408"/>
      <c r="L285" s="408"/>
      <c r="M285" s="408"/>
      <c r="N285" s="408"/>
      <c r="O285" s="408"/>
      <c r="P285" s="408"/>
      <c r="Q285" s="408"/>
      <c r="R285" s="408"/>
      <c r="S285" s="408"/>
      <c r="T285" s="408"/>
      <c r="U285" s="408"/>
      <c r="V285" s="408"/>
      <c r="W285" s="408"/>
      <c r="X285" s="408"/>
      <c r="Y285" s="408"/>
      <c r="Z285" s="408"/>
      <c r="AA285" s="408"/>
      <c r="AB285" s="408"/>
      <c r="AC285" s="408">
        <f>'SEF-32 pg 1-34, 46'!QE17</f>
        <v>-495824.02999999997</v>
      </c>
      <c r="AD285" s="408"/>
      <c r="AE285" s="408"/>
      <c r="AF285" s="408"/>
      <c r="AG285" s="408"/>
      <c r="AH285" s="408"/>
      <c r="AI285" s="408"/>
      <c r="AJ285" s="408"/>
      <c r="AK285" s="408"/>
      <c r="AL285" s="408">
        <f>'SEF-32 pg 1-34, 46'!UG24</f>
        <v>0</v>
      </c>
      <c r="AM285" s="408"/>
      <c r="AN285" s="408"/>
      <c r="AO285" s="408"/>
      <c r="AP285" s="370">
        <f>'SEF-32 pg 1-34, 46'!WO16</f>
        <v>1268961.0834900001</v>
      </c>
      <c r="AQ285" s="408"/>
      <c r="AR285" s="408"/>
      <c r="AS285" s="408"/>
      <c r="AT285" s="408"/>
      <c r="AU285" s="408"/>
      <c r="AV285" s="408"/>
      <c r="AW285" s="408"/>
      <c r="AX285" s="408"/>
      <c r="AY285" s="408">
        <f>'SEF-32 pg 35-45'!CG62-'SEF-32 pg 35-45'!CG51</f>
        <v>-6313923.655531453</v>
      </c>
      <c r="AZ285" s="408"/>
      <c r="BA285" s="408"/>
      <c r="BB285" s="408"/>
      <c r="BC285" s="408"/>
      <c r="BD285" s="408"/>
      <c r="BE285" s="408"/>
      <c r="BF285" s="408"/>
      <c r="BG285" s="371">
        <f t="shared" si="80"/>
        <v>-5540786.6020414531</v>
      </c>
      <c r="BH285" s="371">
        <f t="shared" si="81"/>
        <v>42216789.825192332</v>
      </c>
      <c r="BI285" s="82"/>
      <c r="BJ285" s="356"/>
      <c r="BK285" s="82"/>
    </row>
    <row r="286" spans="1:63" outlineLevel="1" x14ac:dyDescent="0.25">
      <c r="A286" s="317">
        <v>28</v>
      </c>
      <c r="B286" s="349" t="s">
        <v>105</v>
      </c>
      <c r="C286" s="350" t="s">
        <v>164</v>
      </c>
      <c r="D286" s="1260">
        <f t="shared" si="79"/>
        <v>96434214.943440288</v>
      </c>
      <c r="E286" s="408">
        <f>'SEF-32 pg 1-34, 46'!M$76</f>
        <v>1047908.1510244854</v>
      </c>
      <c r="F286" s="408"/>
      <c r="G286" s="408"/>
      <c r="H286" s="408"/>
      <c r="I286" s="408"/>
      <c r="J286" s="408"/>
      <c r="K286" s="408"/>
      <c r="L286" s="408"/>
      <c r="M286" s="408"/>
      <c r="N286" s="408"/>
      <c r="O286" s="408">
        <f>'SEF-32 pg 1-34, 46'!GI27</f>
        <v>416.19901798632878</v>
      </c>
      <c r="P286" s="408"/>
      <c r="Q286" s="408"/>
      <c r="R286" s="408"/>
      <c r="S286" s="408"/>
      <c r="T286" s="408"/>
      <c r="U286" s="408"/>
      <c r="V286" s="408"/>
      <c r="W286" s="408"/>
      <c r="X286" s="408"/>
      <c r="Y286" s="408"/>
      <c r="Z286" s="408">
        <f>'SEF-32 pg 1-34, 46'!NY25</f>
        <v>1362567.1796614379</v>
      </c>
      <c r="AA286" s="408"/>
      <c r="AB286" s="408"/>
      <c r="AC286" s="408"/>
      <c r="AD286" s="408"/>
      <c r="AE286" s="408"/>
      <c r="AF286" s="408"/>
      <c r="AG286" s="408"/>
      <c r="AH286" s="408"/>
      <c r="AI286" s="408"/>
      <c r="AJ286" s="408"/>
      <c r="AK286" s="408"/>
      <c r="AL286" s="408"/>
      <c r="AM286" s="408"/>
      <c r="AN286" s="408"/>
      <c r="AO286" s="408"/>
      <c r="AP286" s="370"/>
      <c r="AQ286" s="408"/>
      <c r="AR286" s="408"/>
      <c r="AS286" s="408"/>
      <c r="AT286" s="408"/>
      <c r="AU286" s="408"/>
      <c r="AV286" s="408">
        <f>+'SEF-32 pg 35-45'!M37</f>
        <v>9509.5590706465646</v>
      </c>
      <c r="AW286" s="408"/>
      <c r="AX286" s="408"/>
      <c r="AY286" s="408"/>
      <c r="AZ286" s="408"/>
      <c r="BA286" s="408"/>
      <c r="BB286" s="408">
        <f>'SEF-32 pg 35-45'!EI69</f>
        <v>0</v>
      </c>
      <c r="BC286" s="408"/>
      <c r="BD286" s="408"/>
      <c r="BE286" s="408"/>
      <c r="BF286" s="408"/>
      <c r="BG286" s="357">
        <f t="shared" si="80"/>
        <v>2420401.0887745563</v>
      </c>
      <c r="BH286" s="357">
        <f t="shared" si="81"/>
        <v>98854616.03221485</v>
      </c>
      <c r="BI286" s="82"/>
      <c r="BJ286" s="356"/>
      <c r="BK286" s="82"/>
    </row>
    <row r="287" spans="1:63" outlineLevel="1" x14ac:dyDescent="0.25">
      <c r="A287" s="317">
        <v>29</v>
      </c>
      <c r="B287" s="349" t="s">
        <v>106</v>
      </c>
      <c r="C287" s="350" t="s">
        <v>164</v>
      </c>
      <c r="D287" s="1272">
        <f t="shared" si="79"/>
        <v>-41173989.675152674</v>
      </c>
      <c r="E287" s="370">
        <f>'SEF-32 pg 1-34, 46'!M$81</f>
        <v>5432634.0953154517</v>
      </c>
      <c r="F287" s="408"/>
      <c r="G287" s="408"/>
      <c r="H287" s="408">
        <f>+'SEF-32 pg 1-34, 46'!BM16</f>
        <v>0</v>
      </c>
      <c r="I287" s="408">
        <f>+'SEF-32 pg 1-34, 46'!CE23</f>
        <v>-3921908.0189300617</v>
      </c>
      <c r="J287" s="408"/>
      <c r="K287" s="408"/>
      <c r="L287" s="408"/>
      <c r="M287" s="408"/>
      <c r="N287" s="408"/>
      <c r="O287" s="408">
        <f>'SEF-32 pg 1-34, 46'!GI30</f>
        <v>-1081.7287939169673</v>
      </c>
      <c r="P287" s="408"/>
      <c r="Q287" s="408"/>
      <c r="R287" s="408"/>
      <c r="S287" s="408"/>
      <c r="T287" s="408"/>
      <c r="U287" s="408"/>
      <c r="V287" s="408"/>
      <c r="W287" s="408"/>
      <c r="X287" s="408"/>
      <c r="Y287" s="408"/>
      <c r="Z287" s="408">
        <f>'SEF-32 pg 1-34, 46'!NY32</f>
        <v>-4353783.5467092413</v>
      </c>
      <c r="AA287" s="408"/>
      <c r="AB287" s="408">
        <f>'SEF-32 pg 1-34, 46'!PI52</f>
        <v>0</v>
      </c>
      <c r="AC287" s="408">
        <f>'SEF-32 pg 1-34, 46'!QE20</f>
        <v>104123.04629999999</v>
      </c>
      <c r="AD287" s="408"/>
      <c r="AE287" s="408">
        <f>'SEF-32 pg 1-34, 46'!$RO$29</f>
        <v>4614358.6760260472</v>
      </c>
      <c r="AF287" s="408">
        <f>'SEF-32 pg 1-34, 46'!$SG$28</f>
        <v>365163.27120000171</v>
      </c>
      <c r="AG287" s="408">
        <f>'SEF-32 pg 1-34, 46'!$SY$24</f>
        <v>-5488473.9123354023</v>
      </c>
      <c r="AH287" s="408">
        <f>'SEF-32 pg 1-34, 46'!$SY$42</f>
        <v>-858045.12990000006</v>
      </c>
      <c r="AI287" s="408">
        <f>'SEF-32 pg 1-34, 46'!$SY$60</f>
        <v>-2238323.7770543993</v>
      </c>
      <c r="AJ287" s="408">
        <f>'SEF-32 pg 1-34, 46'!$SY$78</f>
        <v>-6273240.7618891485</v>
      </c>
      <c r="AK287" s="408"/>
      <c r="AL287" s="408">
        <f>'SEF-32 pg 1-34, 46'!UG26</f>
        <v>0</v>
      </c>
      <c r="AM287" s="408"/>
      <c r="AN287" s="408"/>
      <c r="AO287" s="408">
        <f>'SEF-32 pg 1-34, 46'!VZ20</f>
        <v>-4138.7606473574551</v>
      </c>
      <c r="AP287" s="370">
        <f>'SEF-32 pg 1-34, 46'!WO20</f>
        <v>-266481.82753290003</v>
      </c>
      <c r="AQ287" s="408"/>
      <c r="AR287" s="408"/>
      <c r="AS287" s="408"/>
      <c r="AT287" s="408"/>
      <c r="AU287" s="408"/>
      <c r="AV287" s="370">
        <f>+'SEF-32 pg 35-45'!M40</f>
        <v>-6893212.9149929667</v>
      </c>
      <c r="AW287" s="408"/>
      <c r="AX287" s="408"/>
      <c r="AY287" s="408">
        <f>'SEF-32 pg 35-45'!CG64</f>
        <v>1858616.2627244266</v>
      </c>
      <c r="AZ287" s="416">
        <f>+'SEF-32 pg 35-45'!CY28</f>
        <v>0</v>
      </c>
      <c r="BA287" s="416">
        <f>'SEF-32 pg 35-45'!DQ$28</f>
        <v>2083884.3030385403</v>
      </c>
      <c r="BB287" s="408">
        <f>'SEF-32 pg 35-45'!EI70+'SEF-32 pg 35-45'!EI73+'SEF-32 pg 35-45'!EI75</f>
        <v>0</v>
      </c>
      <c r="BC287" s="408">
        <f>'SEF-32 pg 35-45'!EY41</f>
        <v>0</v>
      </c>
      <c r="BD287" s="408"/>
      <c r="BE287" s="408"/>
      <c r="BF287" s="408">
        <f>'SEF-32 pg 35-45'!HC27</f>
        <v>0</v>
      </c>
      <c r="BG287" s="371">
        <f t="shared" si="80"/>
        <v>-15839910.724180929</v>
      </c>
      <c r="BH287" s="371">
        <f t="shared" si="81"/>
        <v>-57013900.399333604</v>
      </c>
      <c r="BI287" s="82"/>
      <c r="BJ287" s="356"/>
      <c r="BK287" s="82"/>
    </row>
    <row r="288" spans="1:63" outlineLevel="1" x14ac:dyDescent="0.25">
      <c r="A288" s="317">
        <v>30</v>
      </c>
      <c r="B288" s="365" t="s">
        <v>107</v>
      </c>
      <c r="C288" s="350" t="s">
        <v>164</v>
      </c>
      <c r="D288" s="1260">
        <f t="shared" si="79"/>
        <v>-46405199.207410902</v>
      </c>
      <c r="E288" s="408"/>
      <c r="F288" s="408"/>
      <c r="G288" s="408"/>
      <c r="H288" s="408">
        <f>SUM('SEF-32 pg 1-34, 46'!BM17:BM21)</f>
        <v>-560044.45140025904</v>
      </c>
      <c r="I288" s="408"/>
      <c r="J288" s="408"/>
      <c r="K288" s="408"/>
      <c r="L288" s="408"/>
      <c r="M288" s="408"/>
      <c r="N288" s="408"/>
      <c r="O288" s="408"/>
      <c r="P288" s="408"/>
      <c r="Q288" s="408"/>
      <c r="R288" s="408"/>
      <c r="S288" s="408"/>
      <c r="T288" s="408"/>
      <c r="U288" s="408"/>
      <c r="V288" s="408"/>
      <c r="W288" s="408"/>
      <c r="X288" s="408"/>
      <c r="Y288" s="408"/>
      <c r="Z288" s="408"/>
      <c r="AA288" s="408"/>
      <c r="AB288" s="408"/>
      <c r="AC288" s="408"/>
      <c r="AD288" s="408"/>
      <c r="AE288" s="408"/>
      <c r="AF288" s="408"/>
      <c r="AG288" s="408"/>
      <c r="AH288" s="408"/>
      <c r="AI288" s="408"/>
      <c r="AJ288" s="408"/>
      <c r="AK288" s="408"/>
      <c r="AL288" s="408"/>
      <c r="AM288" s="408"/>
      <c r="AN288" s="408"/>
      <c r="AO288" s="408"/>
      <c r="AP288" s="370"/>
      <c r="AQ288" s="408"/>
      <c r="AR288" s="408"/>
      <c r="AS288" s="408"/>
      <c r="AT288" s="408"/>
      <c r="AU288" s="408"/>
      <c r="AV288" s="408"/>
      <c r="AW288" s="408"/>
      <c r="AX288" s="408"/>
      <c r="AY288" s="408"/>
      <c r="AZ288" s="408"/>
      <c r="BA288" s="408"/>
      <c r="BB288" s="408"/>
      <c r="BC288" s="408"/>
      <c r="BD288" s="408"/>
      <c r="BE288" s="408"/>
      <c r="BF288" s="408"/>
      <c r="BG288" s="357">
        <f t="shared" si="80"/>
        <v>-560044.45140025904</v>
      </c>
      <c r="BH288" s="357">
        <f t="shared" si="81"/>
        <v>-46965243.658811159</v>
      </c>
      <c r="BI288" s="82"/>
      <c r="BJ288" s="356"/>
      <c r="BK288" s="82"/>
    </row>
    <row r="289" spans="1:63" outlineLevel="1" x14ac:dyDescent="0.25">
      <c r="A289" s="317">
        <v>31</v>
      </c>
      <c r="B289" s="349" t="s">
        <v>109</v>
      </c>
      <c r="C289" s="350" t="s">
        <v>164</v>
      </c>
      <c r="D289" s="1281">
        <f>SUM(D273:D288)</f>
        <v>2893430461.402143</v>
      </c>
      <c r="E289" s="372">
        <f t="shared" ref="E289:BF289" si="82">SUM(E273:E288)</f>
        <v>6793365.2808998544</v>
      </c>
      <c r="F289" s="409">
        <f t="shared" si="82"/>
        <v>0</v>
      </c>
      <c r="G289" s="409">
        <f t="shared" si="82"/>
        <v>0</v>
      </c>
      <c r="H289" s="409">
        <f t="shared" si="82"/>
        <v>-560044.45140025904</v>
      </c>
      <c r="I289" s="409">
        <f t="shared" si="82"/>
        <v>-3921908.0189300617</v>
      </c>
      <c r="J289" s="409">
        <f t="shared" si="82"/>
        <v>0</v>
      </c>
      <c r="K289" s="409">
        <f t="shared" si="82"/>
        <v>0</v>
      </c>
      <c r="L289" s="409">
        <f t="shared" si="82"/>
        <v>0</v>
      </c>
      <c r="M289" s="409">
        <f t="shared" si="82"/>
        <v>0</v>
      </c>
      <c r="N289" s="409">
        <f t="shared" si="82"/>
        <v>0</v>
      </c>
      <c r="O289" s="409">
        <f t="shared" si="82"/>
        <v>4069.3607009257348</v>
      </c>
      <c r="P289" s="409">
        <f t="shared" si="82"/>
        <v>0</v>
      </c>
      <c r="Q289" s="409">
        <f t="shared" si="82"/>
        <v>0</v>
      </c>
      <c r="R289" s="409">
        <f t="shared" si="82"/>
        <v>0</v>
      </c>
      <c r="S289" s="409">
        <f t="shared" si="82"/>
        <v>0</v>
      </c>
      <c r="T289" s="409">
        <f t="shared" si="82"/>
        <v>0</v>
      </c>
      <c r="U289" s="409">
        <f t="shared" si="82"/>
        <v>0</v>
      </c>
      <c r="V289" s="409">
        <f t="shared" si="82"/>
        <v>0</v>
      </c>
      <c r="W289" s="409">
        <f t="shared" si="82"/>
        <v>0</v>
      </c>
      <c r="X289" s="409">
        <f t="shared" si="82"/>
        <v>0</v>
      </c>
      <c r="Y289" s="409">
        <f t="shared" si="82"/>
        <v>0</v>
      </c>
      <c r="Z289" s="409">
        <f t="shared" si="82"/>
        <v>16378519.056668101</v>
      </c>
      <c r="AA289" s="409">
        <f t="shared" si="82"/>
        <v>0</v>
      </c>
      <c r="AB289" s="409">
        <f t="shared" si="82"/>
        <v>0</v>
      </c>
      <c r="AC289" s="409">
        <f t="shared" si="82"/>
        <v>-391700.98369999998</v>
      </c>
      <c r="AD289" s="409">
        <f t="shared" si="82"/>
        <v>0</v>
      </c>
      <c r="AE289" s="409">
        <f t="shared" si="82"/>
        <v>-17358777.87647894</v>
      </c>
      <c r="AF289" s="409">
        <f t="shared" si="82"/>
        <v>-1373709.4488000064</v>
      </c>
      <c r="AG289" s="409">
        <f t="shared" si="82"/>
        <v>20647116.146404609</v>
      </c>
      <c r="AH289" s="409">
        <f t="shared" si="82"/>
        <v>3227884.0601000004</v>
      </c>
      <c r="AI289" s="409">
        <f t="shared" si="82"/>
        <v>8420360.875585597</v>
      </c>
      <c r="AJ289" s="409">
        <f t="shared" si="82"/>
        <v>23599334.294725846</v>
      </c>
      <c r="AK289" s="409">
        <f>SUM(AK273:AK288)</f>
        <v>0</v>
      </c>
      <c r="AL289" s="409">
        <f>SUM(AL273:AL288)</f>
        <v>0</v>
      </c>
      <c r="AM289" s="409">
        <f>SUM(AM273:AM288)</f>
        <v>0</v>
      </c>
      <c r="AN289" s="409">
        <f t="shared" ref="AN289:AV289" si="83">SUM(AN273:AN288)</f>
        <v>0</v>
      </c>
      <c r="AO289" s="409">
        <f t="shared" si="83"/>
        <v>15569.623387678046</v>
      </c>
      <c r="AP289" s="372">
        <f t="shared" si="83"/>
        <v>1002479.2559571001</v>
      </c>
      <c r="AQ289" s="409">
        <f t="shared" si="83"/>
        <v>0</v>
      </c>
      <c r="AR289" s="409">
        <f t="shared" si="83"/>
        <v>0</v>
      </c>
      <c r="AS289" s="409">
        <f t="shared" si="83"/>
        <v>0</v>
      </c>
      <c r="AT289" s="409">
        <f t="shared" si="83"/>
        <v>0</v>
      </c>
      <c r="AU289" s="409">
        <f t="shared" si="83"/>
        <v>0</v>
      </c>
      <c r="AV289" s="372">
        <f t="shared" si="83"/>
        <v>-177879631.1477024</v>
      </c>
      <c r="AW289" s="409">
        <f t="shared" si="82"/>
        <v>0</v>
      </c>
      <c r="AX289" s="409">
        <f t="shared" si="82"/>
        <v>0</v>
      </c>
      <c r="AY289" s="409">
        <f t="shared" si="82"/>
        <v>-4455307.3928070264</v>
      </c>
      <c r="AZ289" s="409">
        <f t="shared" si="82"/>
        <v>0</v>
      </c>
      <c r="BA289" s="409">
        <f t="shared" si="82"/>
        <v>-7839374.2828592705</v>
      </c>
      <c r="BB289" s="409">
        <f t="shared" si="82"/>
        <v>0</v>
      </c>
      <c r="BC289" s="409">
        <f t="shared" si="82"/>
        <v>-1.1175870895385742E-8</v>
      </c>
      <c r="BD289" s="409">
        <f t="shared" si="82"/>
        <v>0</v>
      </c>
      <c r="BE289" s="409">
        <f>SUM(BE273:BE288)</f>
        <v>0</v>
      </c>
      <c r="BF289" s="409">
        <f t="shared" si="82"/>
        <v>0</v>
      </c>
      <c r="BG289" s="373">
        <f>SUM(BG273:BG288)</f>
        <v>-133691755.6482483</v>
      </c>
      <c r="BH289" s="373">
        <f>SUM(BH273:BH288)</f>
        <v>2759738705.7538943</v>
      </c>
      <c r="BI289" s="82"/>
      <c r="BJ289" s="356"/>
      <c r="BK289" s="82"/>
    </row>
    <row r="290" spans="1:63" outlineLevel="1" x14ac:dyDescent="0.25">
      <c r="A290" s="317">
        <v>32</v>
      </c>
      <c r="B290" s="365"/>
      <c r="C290" s="350" t="s">
        <v>164</v>
      </c>
      <c r="D290" s="1264"/>
      <c r="E290" s="417"/>
      <c r="F290" s="417"/>
      <c r="G290" s="417"/>
      <c r="H290" s="417"/>
      <c r="I290" s="417"/>
      <c r="J290" s="417"/>
      <c r="K290" s="417"/>
      <c r="L290" s="417"/>
      <c r="M290" s="417"/>
      <c r="N290" s="417"/>
      <c r="O290" s="417"/>
      <c r="P290" s="417"/>
      <c r="Q290" s="417"/>
      <c r="R290" s="417"/>
      <c r="S290" s="417"/>
      <c r="T290" s="417"/>
      <c r="U290" s="417"/>
      <c r="V290" s="417"/>
      <c r="W290" s="417"/>
      <c r="X290" s="417"/>
      <c r="Y290" s="417"/>
      <c r="Z290" s="417"/>
      <c r="AA290" s="417"/>
      <c r="AB290" s="417"/>
      <c r="AC290" s="417"/>
      <c r="AD290" s="417"/>
      <c r="AE290" s="417"/>
      <c r="AF290" s="417"/>
      <c r="AG290" s="417"/>
      <c r="AH290" s="417"/>
      <c r="AI290" s="417"/>
      <c r="AJ290" s="417"/>
      <c r="AK290" s="417"/>
      <c r="AL290" s="417"/>
      <c r="AM290" s="417"/>
      <c r="AN290" s="417"/>
      <c r="AO290" s="417"/>
      <c r="AP290" s="418"/>
      <c r="AQ290" s="417"/>
      <c r="AR290" s="417"/>
      <c r="AS290" s="417"/>
      <c r="AT290" s="417"/>
      <c r="AU290" s="417"/>
      <c r="AV290" s="417"/>
      <c r="AW290" s="417"/>
      <c r="AX290" s="417"/>
      <c r="AY290" s="417"/>
      <c r="AZ290" s="417"/>
      <c r="BA290" s="417"/>
      <c r="BB290" s="417"/>
      <c r="BC290" s="417"/>
      <c r="BD290" s="417"/>
      <c r="BE290" s="417"/>
      <c r="BF290" s="417"/>
      <c r="BG290" s="374"/>
      <c r="BH290" s="374"/>
      <c r="BI290" s="82"/>
      <c r="BJ290" s="356"/>
      <c r="BK290" s="82"/>
    </row>
    <row r="291" spans="1:63" ht="15.75" outlineLevel="1" thickBot="1" x14ac:dyDescent="0.3">
      <c r="A291" s="317">
        <v>33</v>
      </c>
      <c r="B291" s="365" t="s">
        <v>110</v>
      </c>
      <c r="C291" s="350" t="s">
        <v>164</v>
      </c>
      <c r="D291" s="1282">
        <f>+D264-D289</f>
        <v>-83596979.748764038</v>
      </c>
      <c r="E291" s="377">
        <f t="shared" ref="E291:BF291" si="84">+E264-E289</f>
        <v>20437052.072853372</v>
      </c>
      <c r="F291" s="419">
        <f t="shared" si="84"/>
        <v>0</v>
      </c>
      <c r="G291" s="419">
        <f t="shared" si="84"/>
        <v>0</v>
      </c>
      <c r="H291" s="419">
        <f t="shared" si="84"/>
        <v>560044.45140025904</v>
      </c>
      <c r="I291" s="419">
        <f t="shared" si="84"/>
        <v>3921908.0189300617</v>
      </c>
      <c r="J291" s="419">
        <f t="shared" si="84"/>
        <v>0</v>
      </c>
      <c r="K291" s="419">
        <f t="shared" si="84"/>
        <v>0</v>
      </c>
      <c r="L291" s="419">
        <f t="shared" si="84"/>
        <v>0</v>
      </c>
      <c r="M291" s="419">
        <f t="shared" si="84"/>
        <v>0</v>
      </c>
      <c r="N291" s="419">
        <f t="shared" si="84"/>
        <v>0</v>
      </c>
      <c r="O291" s="419">
        <f t="shared" si="84"/>
        <v>-4069.3607009257348</v>
      </c>
      <c r="P291" s="419">
        <f t="shared" si="84"/>
        <v>0</v>
      </c>
      <c r="Q291" s="419">
        <f t="shared" si="84"/>
        <v>0</v>
      </c>
      <c r="R291" s="419">
        <f t="shared" si="84"/>
        <v>0</v>
      </c>
      <c r="S291" s="419">
        <f t="shared" si="84"/>
        <v>0</v>
      </c>
      <c r="T291" s="419">
        <f t="shared" si="84"/>
        <v>0</v>
      </c>
      <c r="U291" s="419">
        <f t="shared" si="84"/>
        <v>0</v>
      </c>
      <c r="V291" s="419">
        <f t="shared" si="84"/>
        <v>0</v>
      </c>
      <c r="W291" s="419">
        <f t="shared" si="84"/>
        <v>0</v>
      </c>
      <c r="X291" s="419">
        <f t="shared" si="84"/>
        <v>0</v>
      </c>
      <c r="Y291" s="419">
        <f t="shared" si="84"/>
        <v>0</v>
      </c>
      <c r="Z291" s="419">
        <f t="shared" si="84"/>
        <v>-16378519.056668101</v>
      </c>
      <c r="AA291" s="419">
        <f t="shared" si="84"/>
        <v>0</v>
      </c>
      <c r="AB291" s="419">
        <f t="shared" si="84"/>
        <v>0</v>
      </c>
      <c r="AC291" s="419">
        <f t="shared" si="84"/>
        <v>391700.98369999998</v>
      </c>
      <c r="AD291" s="419">
        <f t="shared" si="84"/>
        <v>0</v>
      </c>
      <c r="AE291" s="419">
        <f t="shared" si="84"/>
        <v>17358777.87647894</v>
      </c>
      <c r="AF291" s="419">
        <f t="shared" si="84"/>
        <v>1373709.4488000064</v>
      </c>
      <c r="AG291" s="419">
        <f t="shared" si="84"/>
        <v>-20647116.146404609</v>
      </c>
      <c r="AH291" s="419">
        <f t="shared" si="84"/>
        <v>-3227884.0601000004</v>
      </c>
      <c r="AI291" s="419">
        <f t="shared" si="84"/>
        <v>-8420360.875585597</v>
      </c>
      <c r="AJ291" s="419">
        <f t="shared" si="84"/>
        <v>-23599334.294725846</v>
      </c>
      <c r="AK291" s="419">
        <f>+AK264-AK289</f>
        <v>0</v>
      </c>
      <c r="AL291" s="419">
        <f>+AL264-AL289</f>
        <v>0</v>
      </c>
      <c r="AM291" s="419">
        <f>+AM264-AM289</f>
        <v>0</v>
      </c>
      <c r="AN291" s="419">
        <f t="shared" ref="AN291:AV291" si="85">+AN264-AN289</f>
        <v>0</v>
      </c>
      <c r="AO291" s="419">
        <f t="shared" si="85"/>
        <v>-15569.623387678046</v>
      </c>
      <c r="AP291" s="377">
        <f t="shared" si="85"/>
        <v>-1002479.2559571001</v>
      </c>
      <c r="AQ291" s="419">
        <f t="shared" si="85"/>
        <v>0</v>
      </c>
      <c r="AR291" s="419">
        <f t="shared" si="85"/>
        <v>0</v>
      </c>
      <c r="AS291" s="419">
        <f t="shared" si="85"/>
        <v>0</v>
      </c>
      <c r="AT291" s="419">
        <f t="shared" si="85"/>
        <v>0</v>
      </c>
      <c r="AU291" s="419">
        <f t="shared" si="85"/>
        <v>0</v>
      </c>
      <c r="AV291" s="377">
        <f t="shared" si="85"/>
        <v>-25931610.489735454</v>
      </c>
      <c r="AW291" s="419">
        <f t="shared" si="84"/>
        <v>0</v>
      </c>
      <c r="AX291" s="419">
        <f t="shared" si="84"/>
        <v>0</v>
      </c>
      <c r="AY291" s="419">
        <f t="shared" si="84"/>
        <v>6991937.3692966523</v>
      </c>
      <c r="AZ291" s="419">
        <f t="shared" si="84"/>
        <v>0</v>
      </c>
      <c r="BA291" s="419">
        <f t="shared" si="84"/>
        <v>7839374.2828592705</v>
      </c>
      <c r="BB291" s="419">
        <f t="shared" si="84"/>
        <v>0</v>
      </c>
      <c r="BC291" s="419">
        <f t="shared" si="84"/>
        <v>1.1175870895385742E-8</v>
      </c>
      <c r="BD291" s="419">
        <f t="shared" si="84"/>
        <v>0</v>
      </c>
      <c r="BE291" s="419">
        <f>+BE264-BE289</f>
        <v>0</v>
      </c>
      <c r="BF291" s="419">
        <f t="shared" si="84"/>
        <v>0</v>
      </c>
      <c r="BG291" s="379">
        <f>+BG264-BG289</f>
        <v>-40352438.658946708</v>
      </c>
      <c r="BH291" s="379">
        <f>+BH264-BH289</f>
        <v>-123949418.40771055</v>
      </c>
      <c r="BI291" s="82"/>
      <c r="BJ291" s="356"/>
      <c r="BK291" s="82"/>
    </row>
    <row r="292" spans="1:63" ht="12" customHeight="1" outlineLevel="1" thickTop="1" x14ac:dyDescent="0.25">
      <c r="A292" s="317">
        <v>34</v>
      </c>
      <c r="B292" s="18"/>
      <c r="C292" s="350" t="s">
        <v>164</v>
      </c>
      <c r="D292" s="1266"/>
      <c r="E292" s="420"/>
      <c r="F292" s="420"/>
      <c r="G292" s="420"/>
      <c r="H292" s="420"/>
      <c r="I292" s="420"/>
      <c r="J292" s="420"/>
      <c r="K292" s="420"/>
      <c r="L292" s="420"/>
      <c r="M292" s="420"/>
      <c r="N292" s="420"/>
      <c r="O292" s="420"/>
      <c r="P292" s="420"/>
      <c r="Q292" s="420"/>
      <c r="R292" s="420"/>
      <c r="S292" s="420"/>
      <c r="T292" s="420"/>
      <c r="U292" s="420"/>
      <c r="V292" s="420"/>
      <c r="W292" s="420"/>
      <c r="X292" s="420"/>
      <c r="Y292" s="420"/>
      <c r="Z292" s="420"/>
      <c r="AA292" s="420"/>
      <c r="AB292" s="420"/>
      <c r="AC292" s="420"/>
      <c r="AD292" s="420"/>
      <c r="AE292" s="420"/>
      <c r="AF292" s="420"/>
      <c r="AG292" s="420"/>
      <c r="AH292" s="420"/>
      <c r="AI292" s="420"/>
      <c r="AJ292" s="420"/>
      <c r="AK292" s="420"/>
      <c r="AL292" s="420"/>
      <c r="AM292" s="420"/>
      <c r="AN292" s="420"/>
      <c r="AO292" s="420"/>
      <c r="AP292" s="420"/>
      <c r="AQ292" s="420"/>
      <c r="AR292" s="420"/>
      <c r="AS292" s="420"/>
      <c r="AT292" s="420"/>
      <c r="AU292" s="420"/>
      <c r="AV292" s="420"/>
      <c r="AW292" s="420"/>
      <c r="AX292" s="420"/>
      <c r="AY292" s="420"/>
      <c r="AZ292" s="420"/>
      <c r="BA292" s="420"/>
      <c r="BB292" s="420"/>
      <c r="BC292" s="420"/>
      <c r="BD292" s="420"/>
      <c r="BE292" s="420"/>
      <c r="BF292" s="420"/>
      <c r="BG292" s="380"/>
      <c r="BH292" s="380"/>
      <c r="BI292" s="82"/>
      <c r="BJ292" s="356"/>
      <c r="BK292" s="82"/>
    </row>
    <row r="293" spans="1:63" outlineLevel="1" x14ac:dyDescent="0.25">
      <c r="A293" s="317">
        <v>35</v>
      </c>
      <c r="B293" s="349" t="s">
        <v>145</v>
      </c>
      <c r="C293" s="350" t="s">
        <v>164</v>
      </c>
      <c r="D293" s="1262">
        <f>D304</f>
        <v>6606402751.560873</v>
      </c>
      <c r="E293" s="412">
        <f t="shared" ref="E293:BF293" si="86">E304</f>
        <v>0</v>
      </c>
      <c r="F293" s="412">
        <f t="shared" si="86"/>
        <v>0</v>
      </c>
      <c r="G293" s="412">
        <f t="shared" si="86"/>
        <v>0</v>
      </c>
      <c r="H293" s="412">
        <f t="shared" si="86"/>
        <v>0</v>
      </c>
      <c r="I293" s="412">
        <f t="shared" si="86"/>
        <v>0</v>
      </c>
      <c r="J293" s="412">
        <f t="shared" si="86"/>
        <v>0</v>
      </c>
      <c r="K293" s="412">
        <f t="shared" si="86"/>
        <v>0</v>
      </c>
      <c r="L293" s="412">
        <f t="shared" si="86"/>
        <v>0</v>
      </c>
      <c r="M293" s="412">
        <f t="shared" si="86"/>
        <v>0</v>
      </c>
      <c r="N293" s="412">
        <f t="shared" si="86"/>
        <v>0</v>
      </c>
      <c r="O293" s="412">
        <f t="shared" si="86"/>
        <v>0</v>
      </c>
      <c r="P293" s="412">
        <f t="shared" si="86"/>
        <v>0</v>
      </c>
      <c r="Q293" s="412">
        <f t="shared" si="86"/>
        <v>0</v>
      </c>
      <c r="R293" s="412">
        <f t="shared" si="86"/>
        <v>0</v>
      </c>
      <c r="S293" s="412">
        <f t="shared" si="86"/>
        <v>0</v>
      </c>
      <c r="T293" s="412">
        <f t="shared" si="86"/>
        <v>0</v>
      </c>
      <c r="U293" s="412">
        <f t="shared" si="86"/>
        <v>0</v>
      </c>
      <c r="V293" s="412">
        <f t="shared" si="86"/>
        <v>0</v>
      </c>
      <c r="W293" s="412">
        <f t="shared" si="86"/>
        <v>0</v>
      </c>
      <c r="X293" s="412">
        <f t="shared" si="86"/>
        <v>0</v>
      </c>
      <c r="Y293" s="412">
        <f t="shared" si="86"/>
        <v>0</v>
      </c>
      <c r="Z293" s="412">
        <f t="shared" si="86"/>
        <v>0</v>
      </c>
      <c r="AA293" s="412"/>
      <c r="AB293" s="412">
        <f t="shared" si="86"/>
        <v>0</v>
      </c>
      <c r="AC293" s="412">
        <f t="shared" si="86"/>
        <v>0</v>
      </c>
      <c r="AD293" s="412">
        <f t="shared" si="86"/>
        <v>0</v>
      </c>
      <c r="AE293" s="412">
        <f t="shared" si="86"/>
        <v>-352250228.54315853</v>
      </c>
      <c r="AF293" s="412">
        <f t="shared" si="86"/>
        <v>4335624.6499999985</v>
      </c>
      <c r="AG293" s="412">
        <f t="shared" si="86"/>
        <v>418971407.62234509</v>
      </c>
      <c r="AH293" s="412">
        <f t="shared" si="86"/>
        <v>125773794.9999999</v>
      </c>
      <c r="AI293" s="412">
        <f t="shared" si="86"/>
        <v>419038070.00017005</v>
      </c>
      <c r="AJ293" s="412">
        <f t="shared" si="86"/>
        <v>230764921.507195</v>
      </c>
      <c r="AK293" s="412"/>
      <c r="AL293" s="412">
        <f>AL304</f>
        <v>0</v>
      </c>
      <c r="AM293" s="412">
        <f>AM304</f>
        <v>0</v>
      </c>
      <c r="AN293" s="412">
        <f t="shared" ref="AN293:AV293" si="87">AN304</f>
        <v>-5924999.9999999665</v>
      </c>
      <c r="AO293" s="412">
        <f t="shared" si="87"/>
        <v>0</v>
      </c>
      <c r="AP293" s="412">
        <f t="shared" si="87"/>
        <v>0</v>
      </c>
      <c r="AQ293" s="412">
        <f t="shared" si="87"/>
        <v>0</v>
      </c>
      <c r="AR293" s="412">
        <f t="shared" si="87"/>
        <v>0</v>
      </c>
      <c r="AS293" s="412">
        <f t="shared" si="87"/>
        <v>0</v>
      </c>
      <c r="AT293" s="412">
        <f t="shared" si="87"/>
        <v>0</v>
      </c>
      <c r="AU293" s="412">
        <f t="shared" si="87"/>
        <v>0</v>
      </c>
      <c r="AV293" s="412">
        <f t="shared" si="87"/>
        <v>0</v>
      </c>
      <c r="AW293" s="412">
        <f t="shared" si="86"/>
        <v>42899.142500001384</v>
      </c>
      <c r="AX293" s="412">
        <f t="shared" si="86"/>
        <v>0</v>
      </c>
      <c r="AY293" s="412">
        <f t="shared" si="86"/>
        <v>-24066779.190046482</v>
      </c>
      <c r="AZ293" s="412">
        <f t="shared" si="86"/>
        <v>0</v>
      </c>
      <c r="BA293" s="412">
        <f t="shared" si="86"/>
        <v>0</v>
      </c>
      <c r="BB293" s="412">
        <f t="shared" si="86"/>
        <v>0</v>
      </c>
      <c r="BC293" s="412">
        <f t="shared" si="86"/>
        <v>-5761493.1600000188</v>
      </c>
      <c r="BD293" s="412">
        <f t="shared" si="86"/>
        <v>0</v>
      </c>
      <c r="BE293" s="412">
        <f>BE304</f>
        <v>-340951.94460000005</v>
      </c>
      <c r="BF293" s="412">
        <f t="shared" si="86"/>
        <v>0</v>
      </c>
      <c r="BG293" s="366">
        <f>BG304</f>
        <v>810582265.08440506</v>
      </c>
      <c r="BH293" s="366">
        <f>BH304</f>
        <v>7416985016.6452789</v>
      </c>
      <c r="BI293" s="82"/>
      <c r="BJ293" s="356"/>
      <c r="BK293" s="82"/>
    </row>
    <row r="294" spans="1:63" outlineLevel="1" x14ac:dyDescent="0.25">
      <c r="A294" s="317">
        <v>36</v>
      </c>
      <c r="B294" s="365"/>
      <c r="C294" s="350" t="s">
        <v>164</v>
      </c>
      <c r="D294" s="1258"/>
      <c r="E294" s="411"/>
      <c r="F294" s="411"/>
      <c r="G294" s="411"/>
      <c r="H294" s="411"/>
      <c r="I294" s="411"/>
      <c r="J294" s="411"/>
      <c r="K294" s="411"/>
      <c r="L294" s="411"/>
      <c r="M294" s="411"/>
      <c r="N294" s="411"/>
      <c r="O294" s="411"/>
      <c r="P294" s="411"/>
      <c r="Q294" s="411"/>
      <c r="R294" s="411"/>
      <c r="S294" s="411"/>
      <c r="T294" s="411"/>
      <c r="U294" s="411"/>
      <c r="V294" s="411"/>
      <c r="W294" s="411"/>
      <c r="X294" s="411"/>
      <c r="Y294" s="411"/>
      <c r="Z294" s="411"/>
      <c r="AA294" s="411"/>
      <c r="AB294" s="411"/>
      <c r="AC294" s="411"/>
      <c r="AD294" s="411"/>
      <c r="AE294" s="411"/>
      <c r="AF294" s="411"/>
      <c r="AG294" s="411"/>
      <c r="AH294" s="411"/>
      <c r="AI294" s="411"/>
      <c r="AJ294" s="411"/>
      <c r="AK294" s="411"/>
      <c r="AL294" s="411"/>
      <c r="AM294" s="411"/>
      <c r="AN294" s="411"/>
      <c r="AO294" s="411"/>
      <c r="AP294" s="411"/>
      <c r="AQ294" s="411"/>
      <c r="AR294" s="411"/>
      <c r="AS294" s="411"/>
      <c r="AT294" s="411"/>
      <c r="AU294" s="411"/>
      <c r="AV294" s="411"/>
      <c r="AW294" s="411"/>
      <c r="AX294" s="411"/>
      <c r="AY294" s="411"/>
      <c r="AZ294" s="411"/>
      <c r="BA294" s="411"/>
      <c r="BB294" s="411"/>
      <c r="BC294" s="411"/>
      <c r="BD294" s="411"/>
      <c r="BE294" s="411"/>
      <c r="BF294" s="411"/>
      <c r="BG294" s="351"/>
      <c r="BH294" s="351"/>
      <c r="BI294" s="82"/>
      <c r="BJ294" s="356"/>
      <c r="BK294" s="82"/>
    </row>
    <row r="295" spans="1:63" outlineLevel="1" x14ac:dyDescent="0.25">
      <c r="A295" s="317">
        <v>37</v>
      </c>
      <c r="B295" s="349" t="s">
        <v>18</v>
      </c>
      <c r="C295" s="350" t="s">
        <v>164</v>
      </c>
      <c r="D295" s="1283">
        <f>+D291/D293</f>
        <v>-1.265393329660576E-2</v>
      </c>
      <c r="E295" s="408"/>
      <c r="F295" s="408"/>
      <c r="G295" s="408"/>
      <c r="H295" s="408"/>
      <c r="I295" s="408"/>
      <c r="J295" s="408"/>
      <c r="K295" s="408"/>
      <c r="L295" s="408"/>
      <c r="M295" s="408"/>
      <c r="N295" s="408"/>
      <c r="O295" s="408"/>
      <c r="P295" s="408"/>
      <c r="Q295" s="408"/>
      <c r="R295" s="408"/>
      <c r="S295" s="408"/>
      <c r="T295" s="408"/>
      <c r="U295" s="408"/>
      <c r="V295" s="408"/>
      <c r="W295" s="408"/>
      <c r="X295" s="408"/>
      <c r="Y295" s="408"/>
      <c r="Z295" s="408"/>
      <c r="AA295" s="408"/>
      <c r="AB295" s="408"/>
      <c r="AC295" s="408"/>
      <c r="AD295" s="408"/>
      <c r="AE295" s="408"/>
      <c r="AF295" s="408"/>
      <c r="AG295" s="408"/>
      <c r="AH295" s="408"/>
      <c r="AI295" s="408"/>
      <c r="AJ295" s="408"/>
      <c r="AK295" s="408"/>
      <c r="AL295" s="408"/>
      <c r="AM295" s="408"/>
      <c r="AN295" s="408"/>
      <c r="AO295" s="408"/>
      <c r="AP295" s="408"/>
      <c r="AQ295" s="408"/>
      <c r="AR295" s="408"/>
      <c r="AS295" s="408"/>
      <c r="AT295" s="408"/>
      <c r="AU295" s="408"/>
      <c r="AV295" s="408"/>
      <c r="AW295" s="408"/>
      <c r="AX295" s="408"/>
      <c r="AY295" s="408"/>
      <c r="AZ295" s="408"/>
      <c r="BA295" s="408"/>
      <c r="BB295" s="408"/>
      <c r="BC295" s="408"/>
      <c r="BD295" s="408"/>
      <c r="BE295" s="408"/>
      <c r="BF295" s="408"/>
      <c r="BG295" s="383"/>
      <c r="BH295" s="403">
        <f>+BH291/BH293</f>
        <v>-1.6711563813266699E-2</v>
      </c>
      <c r="BI295" s="82"/>
      <c r="BJ295" s="356"/>
      <c r="BK295" s="82"/>
    </row>
    <row r="296" spans="1:63" outlineLevel="1" x14ac:dyDescent="0.25">
      <c r="A296" s="317">
        <v>38</v>
      </c>
      <c r="B296" s="365"/>
      <c r="C296" s="350" t="s">
        <v>164</v>
      </c>
      <c r="D296" s="1260"/>
      <c r="E296" s="408"/>
      <c r="F296" s="408"/>
      <c r="G296" s="408"/>
      <c r="H296" s="408"/>
      <c r="I296" s="408"/>
      <c r="J296" s="408"/>
      <c r="K296" s="408"/>
      <c r="L296" s="408"/>
      <c r="M296" s="408"/>
      <c r="N296" s="408"/>
      <c r="O296" s="408"/>
      <c r="P296" s="408"/>
      <c r="Q296" s="408"/>
      <c r="R296" s="408"/>
      <c r="S296" s="408"/>
      <c r="T296" s="408"/>
      <c r="U296" s="408"/>
      <c r="V296" s="408"/>
      <c r="W296" s="408"/>
      <c r="X296" s="408"/>
      <c r="Y296" s="408"/>
      <c r="Z296" s="408"/>
      <c r="AA296" s="408"/>
      <c r="AB296" s="408"/>
      <c r="AC296" s="408"/>
      <c r="AD296" s="408"/>
      <c r="AE296" s="408"/>
      <c r="AF296" s="408"/>
      <c r="AG296" s="408"/>
      <c r="AH296" s="408"/>
      <c r="AI296" s="408"/>
      <c r="AJ296" s="408"/>
      <c r="AK296" s="408"/>
      <c r="AL296" s="408"/>
      <c r="AM296" s="408"/>
      <c r="AN296" s="408"/>
      <c r="AO296" s="408"/>
      <c r="AP296" s="408"/>
      <c r="AQ296" s="408"/>
      <c r="AR296" s="408"/>
      <c r="AS296" s="408"/>
      <c r="AT296" s="408"/>
      <c r="AU296" s="408"/>
      <c r="AV296" s="408"/>
      <c r="AW296" s="408"/>
      <c r="AX296" s="408"/>
      <c r="AY296" s="408"/>
      <c r="AZ296" s="408"/>
      <c r="BA296" s="408"/>
      <c r="BB296" s="408"/>
      <c r="BC296" s="408"/>
      <c r="BD296" s="408"/>
      <c r="BE296" s="408"/>
      <c r="BF296" s="408"/>
      <c r="BG296" s="357"/>
      <c r="BH296" s="357"/>
      <c r="BI296" s="82"/>
      <c r="BJ296" s="356"/>
      <c r="BK296" s="82"/>
    </row>
    <row r="297" spans="1:63" outlineLevel="1" x14ac:dyDescent="0.25">
      <c r="A297" s="317">
        <v>39</v>
      </c>
      <c r="B297" s="365" t="s">
        <v>146</v>
      </c>
      <c r="C297" s="350" t="s">
        <v>164</v>
      </c>
      <c r="D297" s="1260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08"/>
      <c r="V297" s="408"/>
      <c r="W297" s="408"/>
      <c r="X297" s="408"/>
      <c r="Y297" s="408"/>
      <c r="Z297" s="408"/>
      <c r="AA297" s="408"/>
      <c r="AB297" s="408"/>
      <c r="AC297" s="408"/>
      <c r="AD297" s="408"/>
      <c r="AE297" s="408"/>
      <c r="AF297" s="408"/>
      <c r="AG297" s="408"/>
      <c r="AH297" s="408"/>
      <c r="AI297" s="408"/>
      <c r="AJ297" s="408"/>
      <c r="AK297" s="408"/>
      <c r="AL297" s="408"/>
      <c r="AM297" s="408"/>
      <c r="AN297" s="408"/>
      <c r="AO297" s="408"/>
      <c r="AP297" s="408"/>
      <c r="AQ297" s="408"/>
      <c r="AR297" s="408"/>
      <c r="AS297" s="408"/>
      <c r="AT297" s="408"/>
      <c r="AU297" s="408"/>
      <c r="AV297" s="408"/>
      <c r="AW297" s="408"/>
      <c r="AX297" s="408"/>
      <c r="AY297" s="408"/>
      <c r="AZ297" s="408"/>
      <c r="BA297" s="408"/>
      <c r="BB297" s="408"/>
      <c r="BC297" s="408"/>
      <c r="BD297" s="408"/>
      <c r="BE297" s="408"/>
      <c r="BF297" s="408"/>
      <c r="BG297" s="357"/>
      <c r="BH297" s="357"/>
      <c r="BI297" s="82"/>
      <c r="BJ297" s="356"/>
      <c r="BK297" s="82"/>
    </row>
    <row r="298" spans="1:63" outlineLevel="1" x14ac:dyDescent="0.25">
      <c r="A298" s="317">
        <v>40</v>
      </c>
      <c r="B298" s="384" t="s">
        <v>112</v>
      </c>
      <c r="C298" s="350" t="s">
        <v>164</v>
      </c>
      <c r="D298" s="1262">
        <f t="shared" ref="D298:D303" si="88">+BH237</f>
        <v>13049697086.487694</v>
      </c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/>
      <c r="P298" s="412"/>
      <c r="Q298" s="412"/>
      <c r="R298" s="412"/>
      <c r="S298" s="412"/>
      <c r="T298" s="412"/>
      <c r="U298" s="412"/>
      <c r="V298" s="412"/>
      <c r="W298" s="412"/>
      <c r="X298" s="412"/>
      <c r="Y298" s="412"/>
      <c r="Z298" s="412"/>
      <c r="AA298" s="412"/>
      <c r="AB298" s="412">
        <f>+'SEF-32 pg 1-34, 46'!PI21</f>
        <v>0</v>
      </c>
      <c r="AC298" s="412"/>
      <c r="AD298" s="412">
        <f>'SEF-32 pg 1-34, 46'!QW19</f>
        <v>-510023142.39473385</v>
      </c>
      <c r="AE298" s="408"/>
      <c r="AF298" s="412"/>
      <c r="AG298" s="412">
        <f>'SEF-32 pg 1-34, 46'!$SY$28</f>
        <v>488013286.23593509</v>
      </c>
      <c r="AH298" s="412">
        <f>'SEF-32 pg 1-34, 46'!$SY$46</f>
        <v>128498653.73999989</v>
      </c>
      <c r="AI298" s="412">
        <f>'SEF-32 pg 1-34, 46'!$SY$64</f>
        <v>446418402.20912504</v>
      </c>
      <c r="AJ298" s="412">
        <f>+'SEF-32 pg 1-34, 46'!$SY$82</f>
        <v>296849170.94433999</v>
      </c>
      <c r="AK298" s="412"/>
      <c r="AL298" s="412"/>
      <c r="AM298" s="412"/>
      <c r="AN298" s="412">
        <f>'SEF-32 pg 1-34, 46'!VK19</f>
        <v>0</v>
      </c>
      <c r="AO298" s="412"/>
      <c r="AP298" s="412"/>
      <c r="AQ298" s="412"/>
      <c r="AR298" s="412"/>
      <c r="AS298" s="412"/>
      <c r="AT298" s="412"/>
      <c r="AU298" s="412"/>
      <c r="AV298" s="412"/>
      <c r="AX298" s="412"/>
      <c r="AY298" s="412"/>
      <c r="AZ298" s="412">
        <f>+'SEF-32 pg 35-45'!CY18</f>
        <v>0</v>
      </c>
      <c r="BA298" s="412"/>
      <c r="BB298" s="412">
        <f>'SEF-32 pg 35-45'!EI48</f>
        <v>0</v>
      </c>
      <c r="BC298" s="412">
        <f>'SEF-32 pg 35-45'!FA23</f>
        <v>0</v>
      </c>
      <c r="BD298" s="412"/>
      <c r="BE298" s="412">
        <f>'SEF-32 pg 35-45'!GK22</f>
        <v>0</v>
      </c>
      <c r="BF298" s="412"/>
      <c r="BG298" s="366">
        <f t="shared" ref="BG298:BG303" si="89">SUM(E298:BF298)</f>
        <v>849756370.73466611</v>
      </c>
      <c r="BH298" s="366">
        <f t="shared" ref="BH298:BH303" si="90">+BG298+D298</f>
        <v>13899453457.222361</v>
      </c>
      <c r="BI298" s="82"/>
      <c r="BJ298" s="356"/>
      <c r="BK298" s="82"/>
    </row>
    <row r="299" spans="1:63" outlineLevel="1" x14ac:dyDescent="0.25">
      <c r="A299" s="317">
        <v>41</v>
      </c>
      <c r="B299" s="384" t="s">
        <v>113</v>
      </c>
      <c r="C299" s="350" t="s">
        <v>164</v>
      </c>
      <c r="D299" s="1260">
        <f t="shared" si="88"/>
        <v>-5979741611.3269949</v>
      </c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08"/>
      <c r="V299"/>
      <c r="W299" s="408"/>
      <c r="X299" s="408"/>
      <c r="Y299" s="408"/>
      <c r="Z299" s="408"/>
      <c r="AA299" s="408"/>
      <c r="AB299" s="408">
        <f>+'SEF-32 pg 1-34, 46'!PI27</f>
        <v>0</v>
      </c>
      <c r="AC299" s="408"/>
      <c r="AD299" s="408">
        <f>'SEF-32 pg 1-34, 46'!QW20</f>
        <v>510023142.39473385</v>
      </c>
      <c r="AE299" s="408">
        <f>'SEF-32 pg 1-34, 46'!$RO$34</f>
        <v>-394042042.19181442</v>
      </c>
      <c r="AF299" s="408">
        <f>'SEF-32 pg 1-34, 46'!$SG$33</f>
        <v>4335624.6499999985</v>
      </c>
      <c r="AG299" s="408">
        <f>'SEF-32 pg 1-34, 46'!$SY$29</f>
        <v>-57040442.009044982</v>
      </c>
      <c r="AH299" s="408">
        <f>'SEF-32 pg 1-34, 46'!$SY$47</f>
        <v>-8949341.3200000003</v>
      </c>
      <c r="AI299" s="408">
        <f>'SEF-32 pg 1-34, 46'!$SY$65</f>
        <v>-16537949.618749999</v>
      </c>
      <c r="AJ299" s="408">
        <f>+'SEF-32 pg 1-34, 46'!$SY$83</f>
        <v>-54381685.275924981</v>
      </c>
      <c r="AK299" s="408"/>
      <c r="AL299" s="408"/>
      <c r="AM299" s="408"/>
      <c r="AN299" s="408">
        <f>'SEF-32 pg 1-34, 46'!VK20</f>
        <v>-7499999.9999999553</v>
      </c>
      <c r="AO299" s="408"/>
      <c r="AP299" s="408"/>
      <c r="AQ299" s="408"/>
      <c r="AR299" s="408"/>
      <c r="AS299" s="408"/>
      <c r="AT299" s="408"/>
      <c r="AU299" s="408"/>
      <c r="AV299" s="408"/>
      <c r="AW299" s="412">
        <f>'SEF-32 pg 35-45'!AW19</f>
        <v>109783.0000000014</v>
      </c>
      <c r="AX299" s="408"/>
      <c r="AY299" s="408"/>
      <c r="AZ299" s="416">
        <f>+'SEF-32 pg 35-45'!CY19</f>
        <v>0</v>
      </c>
      <c r="BA299" s="408"/>
      <c r="BB299" s="408">
        <f>'SEF-32 pg 35-45'!EI54</f>
        <v>0</v>
      </c>
      <c r="BC299" s="408">
        <f>'SEF-32 pg 35-45'!FA29</f>
        <v>-5761493.1600000188</v>
      </c>
      <c r="BD299" s="408"/>
      <c r="BE299" s="408"/>
      <c r="BF299" s="408"/>
      <c r="BG299" s="357">
        <f t="shared" si="89"/>
        <v>-29744403.530800506</v>
      </c>
      <c r="BH299" s="357">
        <f t="shared" si="90"/>
        <v>-6009486014.8577957</v>
      </c>
      <c r="BI299" s="82"/>
      <c r="BJ299" s="356"/>
      <c r="BK299" s="82"/>
    </row>
    <row r="300" spans="1:63" outlineLevel="1" x14ac:dyDescent="0.25">
      <c r="A300" s="317">
        <v>42</v>
      </c>
      <c r="B300" s="365" t="s">
        <v>147</v>
      </c>
      <c r="C300" s="350" t="s">
        <v>164</v>
      </c>
      <c r="D300" s="1260">
        <f t="shared" si="88"/>
        <v>620221767.37430882</v>
      </c>
      <c r="E300" s="408"/>
      <c r="F300" s="408"/>
      <c r="G300" s="408"/>
      <c r="H300" s="408"/>
      <c r="I300" s="408"/>
      <c r="J300" s="408"/>
      <c r="K300" s="408"/>
      <c r="L300" s="408"/>
      <c r="M300" s="408"/>
      <c r="N300" s="408"/>
      <c r="O300" s="408"/>
      <c r="P300" s="408"/>
      <c r="Q300" s="408"/>
      <c r="R300" s="408"/>
      <c r="S300" s="408"/>
      <c r="T300" s="408"/>
      <c r="U300" s="408"/>
      <c r="V300" s="408"/>
      <c r="W300" s="408"/>
      <c r="X300" s="408"/>
      <c r="Y300" s="408"/>
      <c r="Z300" s="408"/>
      <c r="AA300" s="408"/>
      <c r="AB300" s="408"/>
      <c r="AC300" s="408"/>
      <c r="AD300" s="408"/>
      <c r="AE300" s="408"/>
      <c r="AF300" s="408"/>
      <c r="AG300" s="408"/>
      <c r="AH300" s="408"/>
      <c r="AI300" s="408"/>
      <c r="AJ300" s="408"/>
      <c r="AK300" s="408"/>
      <c r="AL300" s="408">
        <f>'SEF-32 pg 1-34, 46'!UG17</f>
        <v>0</v>
      </c>
      <c r="AM300" s="408"/>
      <c r="AN300" s="408"/>
      <c r="AO300" s="408"/>
      <c r="AP300" s="408"/>
      <c r="AQ300" s="408"/>
      <c r="AR300" s="408"/>
      <c r="AS300" s="408"/>
      <c r="AT300" s="408"/>
      <c r="AU300" s="408"/>
      <c r="AV300" s="408"/>
      <c r="AW300" s="408"/>
      <c r="AX300" s="408"/>
      <c r="AY300" s="408">
        <f>'SEF-32 pg 35-45'!CG36</f>
        <v>-27086823.552903354</v>
      </c>
      <c r="AZ300" s="416"/>
      <c r="BA300" s="408"/>
      <c r="BB300" s="408">
        <f>'SEF-32 pg 35-45'!EI55</f>
        <v>0</v>
      </c>
      <c r="BC300" s="408"/>
      <c r="BD300" s="408"/>
      <c r="BE300" s="408">
        <f>'SEF-32 pg 35-45'!GK26</f>
        <v>-431584.74000000011</v>
      </c>
      <c r="BF300" s="408"/>
      <c r="BG300" s="357">
        <f t="shared" si="89"/>
        <v>-27518408.292903353</v>
      </c>
      <c r="BH300" s="357">
        <f t="shared" si="90"/>
        <v>592703359.08140552</v>
      </c>
      <c r="BI300" s="82"/>
      <c r="BJ300" s="356"/>
      <c r="BK300" s="82"/>
    </row>
    <row r="301" spans="1:63" outlineLevel="1" x14ac:dyDescent="0.25">
      <c r="A301" s="317">
        <v>43</v>
      </c>
      <c r="B301" s="365" t="s">
        <v>148</v>
      </c>
      <c r="C301" s="350" t="s">
        <v>164</v>
      </c>
      <c r="D301" s="1260">
        <f t="shared" si="88"/>
        <v>-1164299767.0314918</v>
      </c>
      <c r="E301" s="408"/>
      <c r="F301" s="408"/>
      <c r="G301" s="408"/>
      <c r="H301" s="408">
        <f>+'SEF-32 pg 1-34, 46'!BM29</f>
        <v>0</v>
      </c>
      <c r="I301" s="408"/>
      <c r="J301" s="408"/>
      <c r="K301" s="408"/>
      <c r="L301" s="408"/>
      <c r="M301" s="408"/>
      <c r="N301" s="408"/>
      <c r="O301" s="408"/>
      <c r="P301" s="408"/>
      <c r="Q301" s="408"/>
      <c r="R301" s="408"/>
      <c r="S301" s="408"/>
      <c r="T301" s="408"/>
      <c r="U301" s="408"/>
      <c r="V301" s="408"/>
      <c r="W301" s="408"/>
      <c r="X301" s="408"/>
      <c r="Y301" s="411"/>
      <c r="Z301" s="408"/>
      <c r="AA301" s="408"/>
      <c r="AB301" s="408">
        <f>+'SEF-32 pg 1-34, 46'!PI33</f>
        <v>0</v>
      </c>
      <c r="AC301" s="408"/>
      <c r="AD301" s="408"/>
      <c r="AE301" s="408">
        <f>'SEF-32 pg 1-34, 46'!$RO$35</f>
        <v>41791813.648655891</v>
      </c>
      <c r="AF301" s="408">
        <f>'SEF-32 pg 1-34, 46'!$SG$34</f>
        <v>0</v>
      </c>
      <c r="AG301" s="408">
        <f>'SEF-32 pg 1-34, 46'!$SY$30</f>
        <v>-12001436.604545003</v>
      </c>
      <c r="AH301" s="408">
        <f>'SEF-32 pg 1-34, 46'!$SY$48</f>
        <v>6224482.5799999982</v>
      </c>
      <c r="AI301" s="408">
        <f>'SEF-32 pg 1-34, 46'!$SY$66</f>
        <v>-10842382.590205001</v>
      </c>
      <c r="AJ301" s="408">
        <f>+'SEF-32 pg 1-34, 46'!$SY$84</f>
        <v>-11702564.161220007</v>
      </c>
      <c r="AK301" s="408"/>
      <c r="AL301" s="408">
        <f>'SEF-32 pg 1-34, 46'!UG18</f>
        <v>0</v>
      </c>
      <c r="AM301" s="408"/>
      <c r="AN301" s="408">
        <f>'SEF-32 pg 1-34, 46'!VK21</f>
        <v>1574999.9999999888</v>
      </c>
      <c r="AO301" s="408"/>
      <c r="AP301" s="408"/>
      <c r="AQ301" s="408"/>
      <c r="AR301" s="408"/>
      <c r="AS301" s="408"/>
      <c r="AT301" s="408"/>
      <c r="AU301" s="408"/>
      <c r="AV301" s="408"/>
      <c r="AW301" s="408">
        <f>'SEF-32 pg 35-45'!AW20</f>
        <v>-66883.857500000013</v>
      </c>
      <c r="AX301" s="408"/>
      <c r="AY301" s="408">
        <f>'SEF-32 pg 35-45'!CG37</f>
        <v>3020044.3628568724</v>
      </c>
      <c r="AZ301" s="414">
        <f>+'SEF-32 pg 35-45'!CY20</f>
        <v>0</v>
      </c>
      <c r="BA301" s="408"/>
      <c r="BB301" s="408">
        <f>'SEF-32 pg 35-45'!EI56</f>
        <v>0</v>
      </c>
      <c r="BC301" s="408"/>
      <c r="BD301" s="408"/>
      <c r="BE301" s="408">
        <f>'SEF-32 pg 35-45'!GK30</f>
        <v>90632.795400000061</v>
      </c>
      <c r="BF301" s="408"/>
      <c r="BG301" s="357">
        <f t="shared" si="89"/>
        <v>18088706.173442744</v>
      </c>
      <c r="BH301" s="357">
        <f t="shared" si="90"/>
        <v>-1146211060.8580489</v>
      </c>
      <c r="BI301" s="82"/>
      <c r="BJ301" s="356"/>
      <c r="BK301" s="82"/>
    </row>
    <row r="302" spans="1:63" outlineLevel="1" x14ac:dyDescent="0.25">
      <c r="A302" s="317">
        <v>44</v>
      </c>
      <c r="B302" s="365" t="s">
        <v>149</v>
      </c>
      <c r="C302" s="350" t="s">
        <v>164</v>
      </c>
      <c r="D302" s="1268">
        <f t="shared" si="88"/>
        <v>222518805.82795244</v>
      </c>
      <c r="E302" s="408"/>
      <c r="F302" s="408"/>
      <c r="G302" s="408"/>
      <c r="H302" s="408"/>
      <c r="I302" s="408"/>
      <c r="J302" s="408"/>
      <c r="K302" s="408"/>
      <c r="L302" s="408"/>
      <c r="M302" s="408"/>
      <c r="N302" s="408"/>
      <c r="O302" s="408"/>
      <c r="P302" s="408"/>
      <c r="Q302" s="408"/>
      <c r="R302" s="408"/>
      <c r="S302" s="408"/>
      <c r="T302" s="408"/>
      <c r="U302" s="408"/>
      <c r="V302" s="408"/>
      <c r="W302" s="408"/>
      <c r="X302" s="408"/>
      <c r="Y302" s="411"/>
      <c r="Z302" s="408"/>
      <c r="AA302" s="408"/>
      <c r="AB302" s="408"/>
      <c r="AC302" s="408"/>
      <c r="AD302" s="408"/>
      <c r="AE302" s="408"/>
      <c r="AF302" s="408"/>
      <c r="AG302" s="408"/>
      <c r="AH302" s="408"/>
      <c r="AI302" s="408"/>
      <c r="AJ302" s="408"/>
      <c r="AK302" s="408"/>
      <c r="AL302" s="408"/>
      <c r="AM302" s="408"/>
      <c r="AN302" s="408"/>
      <c r="AO302" s="408"/>
      <c r="AP302" s="408"/>
      <c r="AQ302" s="408"/>
      <c r="AR302" s="408"/>
      <c r="AS302" s="408"/>
      <c r="AT302" s="408"/>
      <c r="AU302" s="408"/>
      <c r="AV302" s="408"/>
      <c r="AW302" s="408"/>
      <c r="AX302" s="408"/>
      <c r="AY302" s="408"/>
      <c r="AZ302" s="408"/>
      <c r="BA302" s="408"/>
      <c r="BB302" s="408"/>
      <c r="BC302" s="408"/>
      <c r="BD302" s="408"/>
      <c r="BE302" s="408"/>
      <c r="BF302" s="408"/>
      <c r="BG302" s="387">
        <f t="shared" si="89"/>
        <v>0</v>
      </c>
      <c r="BH302" s="357">
        <f t="shared" si="90"/>
        <v>222518805.82795244</v>
      </c>
      <c r="BI302" s="82"/>
      <c r="BJ302" s="356"/>
      <c r="BK302" s="82"/>
    </row>
    <row r="303" spans="1:63" outlineLevel="1" x14ac:dyDescent="0.25">
      <c r="A303" s="317">
        <v>45</v>
      </c>
      <c r="B303" s="365" t="s">
        <v>150</v>
      </c>
      <c r="C303" s="350" t="s">
        <v>164</v>
      </c>
      <c r="D303" s="1260">
        <f t="shared" si="88"/>
        <v>-141993529.77059498</v>
      </c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408"/>
      <c r="R303" s="408"/>
      <c r="S303" s="408"/>
      <c r="T303" s="408"/>
      <c r="U303" s="408"/>
      <c r="V303" s="408"/>
      <c r="W303" s="408"/>
      <c r="X303" s="408"/>
      <c r="Y303" s="408"/>
      <c r="Z303" s="408"/>
      <c r="AA303" s="408"/>
      <c r="AB303" s="408"/>
      <c r="AC303" s="408"/>
      <c r="AD303" s="408"/>
      <c r="AE303" s="408"/>
      <c r="AF303" s="408"/>
      <c r="AG303" s="408"/>
      <c r="AH303" s="408"/>
      <c r="AI303" s="408"/>
      <c r="AJ303" s="408"/>
      <c r="AK303" s="408"/>
      <c r="AL303" s="408"/>
      <c r="AM303" s="408"/>
      <c r="AN303" s="408"/>
      <c r="AO303" s="408"/>
      <c r="AP303" s="408"/>
      <c r="AQ303" s="408"/>
      <c r="AR303" s="408"/>
      <c r="AS303" s="408"/>
      <c r="AT303" s="408"/>
      <c r="AU303" s="408"/>
      <c r="AV303" s="408"/>
      <c r="AW303" s="408"/>
      <c r="AX303" s="408"/>
      <c r="AY303" s="408"/>
      <c r="AZ303" s="408"/>
      <c r="BA303" s="408"/>
      <c r="BB303" s="408"/>
      <c r="BC303" s="408"/>
      <c r="BD303" s="408"/>
      <c r="BE303" s="408"/>
      <c r="BF303" s="408"/>
      <c r="BG303" s="357">
        <f t="shared" si="89"/>
        <v>0</v>
      </c>
      <c r="BH303" s="357">
        <f t="shared" si="90"/>
        <v>-141993529.77059498</v>
      </c>
      <c r="BI303" s="82"/>
      <c r="BJ303" s="356"/>
      <c r="BK303" s="82"/>
    </row>
    <row r="304" spans="1:63" ht="15.75" outlineLevel="1" thickBot="1" x14ac:dyDescent="0.3">
      <c r="A304" s="317">
        <v>46</v>
      </c>
      <c r="B304" s="365" t="s">
        <v>118</v>
      </c>
      <c r="C304" s="350" t="s">
        <v>164</v>
      </c>
      <c r="D304" s="1269">
        <f>SUM(D298:D303)</f>
        <v>6606402751.560873</v>
      </c>
      <c r="E304" s="421">
        <f t="shared" ref="E304:BF304" si="91">SUM(E298:E303)</f>
        <v>0</v>
      </c>
      <c r="F304" s="421">
        <f t="shared" si="91"/>
        <v>0</v>
      </c>
      <c r="G304" s="421">
        <f t="shared" si="91"/>
        <v>0</v>
      </c>
      <c r="H304" s="421">
        <f t="shared" si="91"/>
        <v>0</v>
      </c>
      <c r="I304" s="421">
        <f t="shared" si="91"/>
        <v>0</v>
      </c>
      <c r="J304" s="421">
        <f t="shared" si="91"/>
        <v>0</v>
      </c>
      <c r="K304" s="421">
        <f t="shared" si="91"/>
        <v>0</v>
      </c>
      <c r="L304" s="421">
        <f t="shared" si="91"/>
        <v>0</v>
      </c>
      <c r="M304" s="421">
        <f t="shared" si="91"/>
        <v>0</v>
      </c>
      <c r="N304" s="421">
        <f t="shared" si="91"/>
        <v>0</v>
      </c>
      <c r="O304" s="421">
        <f t="shared" si="91"/>
        <v>0</v>
      </c>
      <c r="P304" s="421">
        <f t="shared" si="91"/>
        <v>0</v>
      </c>
      <c r="Q304" s="421">
        <f t="shared" si="91"/>
        <v>0</v>
      </c>
      <c r="R304" s="421">
        <f t="shared" si="91"/>
        <v>0</v>
      </c>
      <c r="S304" s="421">
        <f t="shared" si="91"/>
        <v>0</v>
      </c>
      <c r="T304" s="421">
        <f t="shared" si="91"/>
        <v>0</v>
      </c>
      <c r="U304" s="421">
        <f t="shared" si="91"/>
        <v>0</v>
      </c>
      <c r="V304" s="421">
        <f t="shared" si="91"/>
        <v>0</v>
      </c>
      <c r="W304" s="421">
        <f t="shared" si="91"/>
        <v>0</v>
      </c>
      <c r="X304" s="421">
        <f t="shared" si="91"/>
        <v>0</v>
      </c>
      <c r="Y304" s="421">
        <f t="shared" si="91"/>
        <v>0</v>
      </c>
      <c r="Z304" s="421">
        <f t="shared" si="91"/>
        <v>0</v>
      </c>
      <c r="AA304" s="421">
        <f t="shared" si="91"/>
        <v>0</v>
      </c>
      <c r="AB304" s="421">
        <f t="shared" si="91"/>
        <v>0</v>
      </c>
      <c r="AC304" s="421">
        <f t="shared" si="91"/>
        <v>0</v>
      </c>
      <c r="AD304" s="421">
        <f t="shared" si="91"/>
        <v>0</v>
      </c>
      <c r="AE304" s="421">
        <f t="shared" si="91"/>
        <v>-352250228.54315853</v>
      </c>
      <c r="AF304" s="421">
        <f t="shared" si="91"/>
        <v>4335624.6499999985</v>
      </c>
      <c r="AG304" s="421">
        <f t="shared" si="91"/>
        <v>418971407.62234509</v>
      </c>
      <c r="AH304" s="421">
        <f t="shared" si="91"/>
        <v>125773794.9999999</v>
      </c>
      <c r="AI304" s="421">
        <f t="shared" si="91"/>
        <v>419038070.00017005</v>
      </c>
      <c r="AJ304" s="421">
        <f t="shared" si="91"/>
        <v>230764921.507195</v>
      </c>
      <c r="AK304" s="421">
        <f>SUM(AK298:AK303)</f>
        <v>0</v>
      </c>
      <c r="AL304" s="421">
        <f>SUM(AL298:AL303)</f>
        <v>0</v>
      </c>
      <c r="AM304" s="421">
        <f>SUM(AM298:AM303)</f>
        <v>0</v>
      </c>
      <c r="AN304" s="421">
        <f t="shared" ref="AN304:AV304" si="92">SUM(AN298:AN303)</f>
        <v>-5924999.9999999665</v>
      </c>
      <c r="AO304" s="421">
        <f t="shared" si="92"/>
        <v>0</v>
      </c>
      <c r="AP304" s="421">
        <f t="shared" si="92"/>
        <v>0</v>
      </c>
      <c r="AQ304" s="421">
        <f t="shared" si="92"/>
        <v>0</v>
      </c>
      <c r="AR304" s="421">
        <f t="shared" si="92"/>
        <v>0</v>
      </c>
      <c r="AS304" s="421">
        <f t="shared" si="92"/>
        <v>0</v>
      </c>
      <c r="AT304" s="421">
        <f t="shared" si="92"/>
        <v>0</v>
      </c>
      <c r="AU304" s="421">
        <f t="shared" si="92"/>
        <v>0</v>
      </c>
      <c r="AV304" s="421">
        <f t="shared" si="92"/>
        <v>0</v>
      </c>
      <c r="AW304" s="421">
        <f>SUM(AW299:AW303)</f>
        <v>42899.142500001384</v>
      </c>
      <c r="AX304" s="421">
        <f t="shared" si="91"/>
        <v>0</v>
      </c>
      <c r="AY304" s="421">
        <f t="shared" si="91"/>
        <v>-24066779.190046482</v>
      </c>
      <c r="AZ304" s="421">
        <f t="shared" si="91"/>
        <v>0</v>
      </c>
      <c r="BA304" s="421">
        <f t="shared" si="91"/>
        <v>0</v>
      </c>
      <c r="BB304" s="421">
        <f t="shared" si="91"/>
        <v>0</v>
      </c>
      <c r="BC304" s="421">
        <f t="shared" si="91"/>
        <v>-5761493.1600000188</v>
      </c>
      <c r="BD304" s="421">
        <f t="shared" si="91"/>
        <v>0</v>
      </c>
      <c r="BE304" s="421">
        <f>SUM(BE298:BE303)</f>
        <v>-340951.94460000005</v>
      </c>
      <c r="BF304" s="421">
        <f t="shared" si="91"/>
        <v>0</v>
      </c>
      <c r="BG304" s="388">
        <f>SUM(BG298:BG303)</f>
        <v>810582265.08440506</v>
      </c>
      <c r="BH304" s="388">
        <f>SUM(BH298:BH303)</f>
        <v>7416985016.6452789</v>
      </c>
      <c r="BI304" s="82"/>
      <c r="BJ304" s="356"/>
      <c r="BK304" s="82"/>
    </row>
    <row r="305" spans="1:63" ht="15.75" outlineLevel="1" thickTop="1" x14ac:dyDescent="0.25">
      <c r="A305" s="317">
        <v>47</v>
      </c>
      <c r="C305" s="350" t="s">
        <v>164</v>
      </c>
      <c r="D305" s="1258"/>
      <c r="E305" s="411"/>
      <c r="F305" s="411"/>
      <c r="G305" s="411"/>
      <c r="H305" s="411"/>
      <c r="I305" s="411"/>
      <c r="J305" s="411"/>
      <c r="K305" s="411"/>
      <c r="L305" s="411"/>
      <c r="M305" s="411"/>
      <c r="N305" s="411"/>
      <c r="O305" s="411"/>
      <c r="P305" s="411"/>
      <c r="Q305" s="411"/>
      <c r="R305" s="411"/>
      <c r="S305" s="411"/>
      <c r="T305" s="411"/>
      <c r="U305" s="411"/>
      <c r="V305" s="411"/>
      <c r="W305" s="411"/>
      <c r="X305" s="411"/>
      <c r="Y305" s="411"/>
      <c r="Z305" s="411"/>
      <c r="AA305" s="411"/>
      <c r="AB305" s="411"/>
      <c r="AC305" s="411"/>
      <c r="AD305" s="411"/>
      <c r="AE305" s="411"/>
      <c r="AF305" s="411"/>
      <c r="AG305" s="411"/>
      <c r="AH305" s="411"/>
      <c r="AI305" s="411"/>
      <c r="AJ305" s="411"/>
      <c r="AK305" s="411"/>
      <c r="AL305" s="411"/>
      <c r="AM305" s="411"/>
      <c r="AN305" s="411"/>
      <c r="AO305" s="411"/>
      <c r="AP305" s="411"/>
      <c r="AQ305" s="411"/>
      <c r="AR305" s="411"/>
      <c r="AS305" s="411"/>
      <c r="AT305" s="411"/>
      <c r="AU305" s="411"/>
      <c r="AV305" s="411"/>
      <c r="AW305" s="411"/>
      <c r="AX305" s="411"/>
      <c r="AY305" s="411"/>
      <c r="AZ305" s="411"/>
      <c r="BA305" s="411"/>
      <c r="BB305" s="411"/>
      <c r="BC305" s="411"/>
      <c r="BD305" s="411"/>
      <c r="BE305" s="411"/>
      <c r="BF305" s="411"/>
      <c r="BG305" s="351"/>
      <c r="BH305" s="351"/>
      <c r="BI305" s="82"/>
      <c r="BJ305" s="356"/>
      <c r="BK305" s="82"/>
    </row>
    <row r="306" spans="1:63" outlineLevel="1" x14ac:dyDescent="0.25">
      <c r="A306" s="317">
        <v>48</v>
      </c>
      <c r="B306" s="365" t="s">
        <v>119</v>
      </c>
      <c r="C306" s="350" t="s">
        <v>164</v>
      </c>
      <c r="D306" s="1286">
        <f>+BH245</f>
        <v>7.6499999999999999E-2</v>
      </c>
      <c r="E306" s="422">
        <f>+'SEF-29 pg 1-2'!$D$13</f>
        <v>7.9899999999999999E-2</v>
      </c>
      <c r="F306" s="422">
        <f>+'SEF-29 pg 1-2'!$D$13</f>
        <v>7.9899999999999999E-2</v>
      </c>
      <c r="G306" s="422">
        <f>+'SEF-29 pg 1-2'!$D$13</f>
        <v>7.9899999999999999E-2</v>
      </c>
      <c r="H306" s="422">
        <f>+'SEF-29 pg 1-2'!$D$13</f>
        <v>7.9899999999999999E-2</v>
      </c>
      <c r="I306" s="422">
        <f>+'SEF-29 pg 1-2'!$D$13</f>
        <v>7.9899999999999999E-2</v>
      </c>
      <c r="J306" s="422">
        <f>+'SEF-29 pg 1-2'!$D$13</f>
        <v>7.9899999999999999E-2</v>
      </c>
      <c r="K306" s="422">
        <f>+'SEF-29 pg 1-2'!$D$13</f>
        <v>7.9899999999999999E-2</v>
      </c>
      <c r="L306" s="422">
        <f>+'SEF-29 pg 1-2'!$D$13</f>
        <v>7.9899999999999999E-2</v>
      </c>
      <c r="M306" s="422">
        <f>+'SEF-29 pg 1-2'!$D$13</f>
        <v>7.9899999999999999E-2</v>
      </c>
      <c r="N306" s="422">
        <f>+'SEF-29 pg 1-2'!$D$13</f>
        <v>7.9899999999999999E-2</v>
      </c>
      <c r="O306" s="422">
        <f>+'SEF-29 pg 1-2'!$D$13</f>
        <v>7.9899999999999999E-2</v>
      </c>
      <c r="P306" s="422">
        <f>+'SEF-29 pg 1-2'!$D$13</f>
        <v>7.9899999999999999E-2</v>
      </c>
      <c r="Q306" s="422">
        <f>+'SEF-29 pg 1-2'!$D$13</f>
        <v>7.9899999999999999E-2</v>
      </c>
      <c r="R306" s="422">
        <f>+'SEF-29 pg 1-2'!$D$13</f>
        <v>7.9899999999999999E-2</v>
      </c>
      <c r="S306" s="422">
        <f>+'SEF-29 pg 1-2'!$D$13</f>
        <v>7.9899999999999999E-2</v>
      </c>
      <c r="T306" s="422">
        <f>+'SEF-29 pg 1-2'!$D$13</f>
        <v>7.9899999999999999E-2</v>
      </c>
      <c r="U306" s="422">
        <f>+'SEF-29 pg 1-2'!$D$13</f>
        <v>7.9899999999999999E-2</v>
      </c>
      <c r="V306" s="422">
        <f>+'SEF-29 pg 1-2'!$D$13</f>
        <v>7.9899999999999999E-2</v>
      </c>
      <c r="W306" s="422">
        <f>+'SEF-29 pg 1-2'!$D$13</f>
        <v>7.9899999999999999E-2</v>
      </c>
      <c r="X306" s="422">
        <f>+'SEF-29 pg 1-2'!$D$13</f>
        <v>7.9899999999999999E-2</v>
      </c>
      <c r="Y306" s="422">
        <f>+'SEF-29 pg 1-2'!$D$13</f>
        <v>7.9899999999999999E-2</v>
      </c>
      <c r="Z306" s="422">
        <f>+'SEF-29 pg 1-2'!$D$13</f>
        <v>7.9899999999999999E-2</v>
      </c>
      <c r="AA306" s="422">
        <f>+'SEF-29 pg 1-2'!$D$13</f>
        <v>7.9899999999999999E-2</v>
      </c>
      <c r="AB306" s="422">
        <f>+'SEF-29 pg 1-2'!$D$13</f>
        <v>7.9899999999999999E-2</v>
      </c>
      <c r="AC306" s="422">
        <f>+'SEF-29 pg 1-2'!$D$13</f>
        <v>7.9899999999999999E-2</v>
      </c>
      <c r="AD306" s="422">
        <f>+'SEF-29 pg 1-2'!$D$13</f>
        <v>7.9899999999999999E-2</v>
      </c>
      <c r="AE306" s="422">
        <f>+'SEF-29 pg 1-2'!$D$13</f>
        <v>7.9899999999999999E-2</v>
      </c>
      <c r="AF306" s="422">
        <f>+'SEF-29 pg 1-2'!$D$13</f>
        <v>7.9899999999999999E-2</v>
      </c>
      <c r="AG306" s="422">
        <f>+'SEF-29 pg 1-2'!$D$13</f>
        <v>7.9899999999999999E-2</v>
      </c>
      <c r="AH306" s="422">
        <f>+'SEF-29 pg 1-2'!$D$13</f>
        <v>7.9899999999999999E-2</v>
      </c>
      <c r="AI306" s="422">
        <f>+'SEF-29 pg 1-2'!$D$13</f>
        <v>7.9899999999999999E-2</v>
      </c>
      <c r="AJ306" s="422">
        <f>+'SEF-29 pg 1-2'!$D$13</f>
        <v>7.9899999999999999E-2</v>
      </c>
      <c r="AK306" s="422">
        <f>+'SEF-29 pg 1-2'!$D$13</f>
        <v>7.9899999999999999E-2</v>
      </c>
      <c r="AL306" s="422">
        <f>+'SEF-29 pg 1-2'!$D$13</f>
        <v>7.9899999999999999E-2</v>
      </c>
      <c r="AM306" s="422">
        <f>+'SEF-29 pg 1-2'!$D$13</f>
        <v>7.9899999999999999E-2</v>
      </c>
      <c r="AN306" s="422">
        <f>+'SEF-29 pg 1-2'!$D$13</f>
        <v>7.9899999999999999E-2</v>
      </c>
      <c r="AO306" s="422">
        <f>+'SEF-29 pg 1-2'!$D$13</f>
        <v>7.9899999999999999E-2</v>
      </c>
      <c r="AP306" s="422">
        <f>+'SEF-29 pg 1-2'!$D$13</f>
        <v>7.9899999999999999E-2</v>
      </c>
      <c r="AQ306" s="422">
        <f>+'SEF-29 pg 1-2'!$D$13</f>
        <v>7.9899999999999999E-2</v>
      </c>
      <c r="AR306" s="422">
        <f>+'SEF-29 pg 1-2'!$D$13</f>
        <v>7.9899999999999999E-2</v>
      </c>
      <c r="AS306" s="422">
        <f>+'SEF-29 pg 1-2'!$D$13</f>
        <v>7.9899999999999999E-2</v>
      </c>
      <c r="AT306" s="422">
        <f>+'SEF-29 pg 1-2'!$D$13</f>
        <v>7.9899999999999999E-2</v>
      </c>
      <c r="AU306" s="422">
        <f>+'SEF-29 pg 1-2'!$D$13</f>
        <v>7.9899999999999999E-2</v>
      </c>
      <c r="AV306" s="422">
        <f>+'SEF-29 pg 1-2'!$D$13</f>
        <v>7.9899999999999999E-2</v>
      </c>
      <c r="AW306" s="422">
        <f>+'SEF-29 pg 1-2'!$D$13</f>
        <v>7.9899999999999999E-2</v>
      </c>
      <c r="AX306" s="422">
        <f>+'SEF-29 pg 1-2'!$D$13</f>
        <v>7.9899999999999999E-2</v>
      </c>
      <c r="AY306" s="422">
        <f>+'SEF-29 pg 1-2'!$D$13</f>
        <v>7.9899999999999999E-2</v>
      </c>
      <c r="AZ306" s="422">
        <f>+'SEF-29 pg 1-2'!$D$13</f>
        <v>7.9899999999999999E-2</v>
      </c>
      <c r="BA306" s="422">
        <f>+'SEF-29 pg 1-2'!$D$13</f>
        <v>7.9899999999999999E-2</v>
      </c>
      <c r="BB306" s="422">
        <f>+'SEF-29 pg 1-2'!$D$13</f>
        <v>7.9899999999999999E-2</v>
      </c>
      <c r="BC306" s="422">
        <f>+'SEF-29 pg 1-2'!$D$13</f>
        <v>7.9899999999999999E-2</v>
      </c>
      <c r="BD306" s="422">
        <f>+'SEF-29 pg 1-2'!$D$13</f>
        <v>7.9899999999999999E-2</v>
      </c>
      <c r="BE306" s="422">
        <f>+'SEF-29 pg 1-2'!$D$13</f>
        <v>7.9899999999999999E-2</v>
      </c>
      <c r="BF306" s="422">
        <f>+'SEF-29 pg 1-2'!$D$13</f>
        <v>7.9899999999999999E-2</v>
      </c>
      <c r="BG306" s="81">
        <f>+'SEF-29 pg 1-2'!$D$13</f>
        <v>7.9899999999999999E-2</v>
      </c>
      <c r="BH306" s="81">
        <f>+'SEF-29 pg 1-2'!$D$13</f>
        <v>7.9899999999999999E-2</v>
      </c>
      <c r="BI306" s="82"/>
      <c r="BJ306" s="356"/>
      <c r="BK306" s="82"/>
    </row>
    <row r="307" spans="1:63" outlineLevel="1" x14ac:dyDescent="0.25">
      <c r="A307" s="317">
        <v>49</v>
      </c>
      <c r="B307" s="365" t="s">
        <v>3</v>
      </c>
      <c r="C307" s="350" t="s">
        <v>164</v>
      </c>
      <c r="D307" s="1271">
        <f>+'SEF-31'!$E$20</f>
        <v>0.75052300000000005</v>
      </c>
      <c r="E307" s="391">
        <f>+'SEF-31'!$E$20</f>
        <v>0.75052300000000005</v>
      </c>
      <c r="F307" s="391">
        <f>+'SEF-31'!$E$20</f>
        <v>0.75052300000000005</v>
      </c>
      <c r="G307" s="391">
        <f>+'SEF-31'!$E$20</f>
        <v>0.75052300000000005</v>
      </c>
      <c r="H307" s="391">
        <f>+'SEF-31'!$E$20</f>
        <v>0.75052300000000005</v>
      </c>
      <c r="I307" s="391">
        <f>+'SEF-31'!$E$20</f>
        <v>0.75052300000000005</v>
      </c>
      <c r="J307" s="391">
        <f>+'SEF-31'!$E$20</f>
        <v>0.75052300000000005</v>
      </c>
      <c r="K307" s="391">
        <f>+'SEF-31'!$E$20</f>
        <v>0.75052300000000005</v>
      </c>
      <c r="L307" s="391">
        <f>+'SEF-31'!$E$20</f>
        <v>0.75052300000000005</v>
      </c>
      <c r="M307" s="391">
        <f>+'SEF-31'!$E$20</f>
        <v>0.75052300000000005</v>
      </c>
      <c r="N307" s="391">
        <f>+'SEF-31'!$E$20</f>
        <v>0.75052300000000005</v>
      </c>
      <c r="O307" s="391">
        <f>+'SEF-31'!$E$20</f>
        <v>0.75052300000000005</v>
      </c>
      <c r="P307" s="391">
        <f>+'SEF-31'!$E$20</f>
        <v>0.75052300000000005</v>
      </c>
      <c r="Q307" s="391">
        <f>+'SEF-31'!$E$20</f>
        <v>0.75052300000000005</v>
      </c>
      <c r="R307" s="391">
        <f>+'SEF-31'!$E$20</f>
        <v>0.75052300000000005</v>
      </c>
      <c r="S307" s="391">
        <f>+'SEF-31'!$E$20</f>
        <v>0.75052300000000005</v>
      </c>
      <c r="T307" s="411">
        <f>+'SEF-31'!$E$20</f>
        <v>0.75052300000000005</v>
      </c>
      <c r="U307" s="391">
        <f>+'SEF-31'!$E$20</f>
        <v>0.75052300000000005</v>
      </c>
      <c r="V307" s="391">
        <f>+'SEF-31'!$E$20</f>
        <v>0.75052300000000005</v>
      </c>
      <c r="W307" s="391">
        <f>+'SEF-31'!$E$20</f>
        <v>0.75052300000000005</v>
      </c>
      <c r="X307" s="391">
        <f>+'SEF-31'!$E$20</f>
        <v>0.75052300000000005</v>
      </c>
      <c r="Y307" s="391">
        <f>+'SEF-31'!$E$20</f>
        <v>0.75052300000000005</v>
      </c>
      <c r="Z307" s="391">
        <f>+'SEF-31'!$E$20</f>
        <v>0.75052300000000005</v>
      </c>
      <c r="AA307" s="391">
        <f>+'SEF-31'!$E$20</f>
        <v>0.75052300000000005</v>
      </c>
      <c r="AB307" s="391">
        <f>+'SEF-31'!$E$20</f>
        <v>0.75052300000000005</v>
      </c>
      <c r="AC307" s="391">
        <f>+'SEF-31'!$E$20</f>
        <v>0.75052300000000005</v>
      </c>
      <c r="AD307" s="391">
        <f>+'SEF-31'!$E$20</f>
        <v>0.75052300000000005</v>
      </c>
      <c r="AE307" s="391">
        <f>+'SEF-31'!$E$20</f>
        <v>0.75052300000000005</v>
      </c>
      <c r="AF307" s="391">
        <f>+'SEF-31'!$E$20</f>
        <v>0.75052300000000005</v>
      </c>
      <c r="AG307" s="391">
        <f>+'SEF-31'!$E$20</f>
        <v>0.75052300000000005</v>
      </c>
      <c r="AH307" s="391">
        <f>+'SEF-31'!$E$20</f>
        <v>0.75052300000000005</v>
      </c>
      <c r="AI307" s="391">
        <f>+'SEF-31'!$E$20</f>
        <v>0.75052300000000005</v>
      </c>
      <c r="AJ307" s="391">
        <f>+'SEF-31'!$E$20</f>
        <v>0.75052300000000005</v>
      </c>
      <c r="AK307" s="391">
        <f>+'SEF-31'!$E$20</f>
        <v>0.75052300000000005</v>
      </c>
      <c r="AL307" s="391">
        <f>+'SEF-31'!$E$20</f>
        <v>0.75052300000000005</v>
      </c>
      <c r="AM307" s="391">
        <f>+'SEF-31'!$E$20</f>
        <v>0.75052300000000005</v>
      </c>
      <c r="AN307" s="391">
        <f>+'SEF-31'!$E$20</f>
        <v>0.75052300000000005</v>
      </c>
      <c r="AO307" s="391">
        <f>+'SEF-31'!$E$20</f>
        <v>0.75052300000000005</v>
      </c>
      <c r="AP307" s="391">
        <f>+'SEF-31'!$E$20</f>
        <v>0.75052300000000005</v>
      </c>
      <c r="AQ307" s="411">
        <f>+'SEF-31'!$E$20</f>
        <v>0.75052300000000005</v>
      </c>
      <c r="AR307" s="411">
        <f>+'SEF-31'!$E$20</f>
        <v>0.75052300000000005</v>
      </c>
      <c r="AS307" s="411">
        <f>+'SEF-31'!$E$20</f>
        <v>0.75052300000000005</v>
      </c>
      <c r="AT307" s="411">
        <f>+'SEF-31'!$E$20</f>
        <v>0.75052300000000005</v>
      </c>
      <c r="AU307" s="411">
        <f>+'SEF-31'!$E$20</f>
        <v>0.75052300000000005</v>
      </c>
      <c r="AV307" s="391">
        <f>+'SEF-31'!$E$20</f>
        <v>0.75052300000000005</v>
      </c>
      <c r="AW307" s="391">
        <f>+'SEF-31'!$E$20</f>
        <v>0.75052300000000005</v>
      </c>
      <c r="AX307" s="391">
        <f>+'SEF-31'!$E$20</f>
        <v>0.75052300000000005</v>
      </c>
      <c r="AY307" s="391">
        <f>+'SEF-31'!$E$20</f>
        <v>0.75052300000000005</v>
      </c>
      <c r="AZ307" s="391">
        <f>+'SEF-31'!$E$20</f>
        <v>0.75052300000000005</v>
      </c>
      <c r="BA307" s="391">
        <f>+'SEF-31'!$E$20</f>
        <v>0.75052300000000005</v>
      </c>
      <c r="BB307" s="391">
        <f>+'SEF-31'!$E$20</f>
        <v>0.75052300000000005</v>
      </c>
      <c r="BC307" s="391">
        <f>+'SEF-31'!$E$20</f>
        <v>0.75052300000000005</v>
      </c>
      <c r="BD307" s="391">
        <f>+'SEF-31'!$E$20</f>
        <v>0.75052300000000005</v>
      </c>
      <c r="BE307" s="391">
        <f>+'SEF-31'!$E$20</f>
        <v>0.75052300000000005</v>
      </c>
      <c r="BF307" s="391">
        <f>+'SEF-31'!$E$20</f>
        <v>0.75052300000000005</v>
      </c>
      <c r="BG307" s="390">
        <f>+'SEF-31'!$E$20</f>
        <v>0.75052300000000005</v>
      </c>
      <c r="BH307" s="390">
        <f>+'SEF-31'!$E$20</f>
        <v>0.75052300000000005</v>
      </c>
      <c r="BI307" s="82"/>
      <c r="BJ307" s="356"/>
      <c r="BK307" s="82"/>
    </row>
    <row r="308" spans="1:63" outlineLevel="1" x14ac:dyDescent="0.25">
      <c r="A308" s="317">
        <v>50</v>
      </c>
      <c r="B308" s="365" t="s">
        <v>152</v>
      </c>
      <c r="C308" s="350" t="s">
        <v>164</v>
      </c>
      <c r="D308" s="1272">
        <f>+D291-(D304*D306)</f>
        <v>-588986790.24317074</v>
      </c>
      <c r="E308" s="392">
        <f t="shared" ref="E308:BF308" si="93">+E291-(E304*E306)</f>
        <v>20437052.072853372</v>
      </c>
      <c r="F308" s="414">
        <f t="shared" si="93"/>
        <v>0</v>
      </c>
      <c r="G308" s="414">
        <f t="shared" si="93"/>
        <v>0</v>
      </c>
      <c r="H308" s="414">
        <f t="shared" si="93"/>
        <v>560044.45140025904</v>
      </c>
      <c r="I308" s="414">
        <f t="shared" si="93"/>
        <v>3921908.0189300617</v>
      </c>
      <c r="J308" s="414">
        <f t="shared" si="93"/>
        <v>0</v>
      </c>
      <c r="K308" s="414">
        <f t="shared" si="93"/>
        <v>0</v>
      </c>
      <c r="L308" s="414">
        <f t="shared" si="93"/>
        <v>0</v>
      </c>
      <c r="M308" s="414">
        <f t="shared" si="93"/>
        <v>0</v>
      </c>
      <c r="N308" s="414">
        <f t="shared" si="93"/>
        <v>0</v>
      </c>
      <c r="O308" s="414">
        <f t="shared" si="93"/>
        <v>-4069.3607009257348</v>
      </c>
      <c r="P308" s="414">
        <f t="shared" si="93"/>
        <v>0</v>
      </c>
      <c r="Q308" s="414">
        <f t="shared" si="93"/>
        <v>0</v>
      </c>
      <c r="R308" s="414">
        <f t="shared" si="93"/>
        <v>0</v>
      </c>
      <c r="S308" s="414">
        <f t="shared" si="93"/>
        <v>0</v>
      </c>
      <c r="T308" s="414">
        <f t="shared" si="93"/>
        <v>0</v>
      </c>
      <c r="U308" s="414">
        <f t="shared" si="93"/>
        <v>0</v>
      </c>
      <c r="V308" s="414">
        <f t="shared" si="93"/>
        <v>0</v>
      </c>
      <c r="W308" s="414">
        <f t="shared" si="93"/>
        <v>0</v>
      </c>
      <c r="X308" s="414">
        <f t="shared" si="93"/>
        <v>0</v>
      </c>
      <c r="Y308" s="414">
        <f t="shared" si="93"/>
        <v>0</v>
      </c>
      <c r="Z308" s="414">
        <f t="shared" si="93"/>
        <v>-16378519.056668101</v>
      </c>
      <c r="AA308" s="414">
        <f t="shared" si="93"/>
        <v>0</v>
      </c>
      <c r="AB308" s="414">
        <f t="shared" si="93"/>
        <v>0</v>
      </c>
      <c r="AC308" s="414">
        <f t="shared" si="93"/>
        <v>391700.98369999998</v>
      </c>
      <c r="AD308" s="414">
        <f t="shared" si="93"/>
        <v>0</v>
      </c>
      <c r="AE308" s="414">
        <f t="shared" si="93"/>
        <v>45503571.137077302</v>
      </c>
      <c r="AF308" s="414">
        <f t="shared" si="93"/>
        <v>1027293.0392650065</v>
      </c>
      <c r="AG308" s="414">
        <f t="shared" si="93"/>
        <v>-54122931.615429983</v>
      </c>
      <c r="AH308" s="414">
        <f t="shared" si="93"/>
        <v>-13277210.280599993</v>
      </c>
      <c r="AI308" s="414">
        <f t="shared" si="93"/>
        <v>-41901502.668599188</v>
      </c>
      <c r="AJ308" s="414">
        <f t="shared" si="93"/>
        <v>-42037451.523150727</v>
      </c>
      <c r="AK308" s="414">
        <f>+AK291-(AK304*AK306)</f>
        <v>0</v>
      </c>
      <c r="AL308" s="414">
        <f>+AL291-(AL304*AL306)</f>
        <v>0</v>
      </c>
      <c r="AM308" s="414">
        <f t="shared" ref="AM308:AV308" si="94">+AM291-(AM304*AM306)</f>
        <v>0</v>
      </c>
      <c r="AN308" s="414">
        <f t="shared" si="94"/>
        <v>473407.49999999732</v>
      </c>
      <c r="AO308" s="414">
        <f t="shared" si="94"/>
        <v>-15569.623387678046</v>
      </c>
      <c r="AP308" s="414">
        <f t="shared" si="94"/>
        <v>-1002479.2559571001</v>
      </c>
      <c r="AQ308" s="414">
        <f t="shared" si="94"/>
        <v>0</v>
      </c>
      <c r="AR308" s="414">
        <f t="shared" si="94"/>
        <v>0</v>
      </c>
      <c r="AS308" s="414">
        <f t="shared" si="94"/>
        <v>0</v>
      </c>
      <c r="AT308" s="414">
        <f t="shared" si="94"/>
        <v>0</v>
      </c>
      <c r="AU308" s="414">
        <f t="shared" si="94"/>
        <v>0</v>
      </c>
      <c r="AV308" s="392">
        <f t="shared" si="94"/>
        <v>-25931610.489735454</v>
      </c>
      <c r="AW308" s="414">
        <f t="shared" si="93"/>
        <v>-3427.6414857501104</v>
      </c>
      <c r="AX308" s="414">
        <f t="shared" si="93"/>
        <v>0</v>
      </c>
      <c r="AY308" s="414">
        <f t="shared" si="93"/>
        <v>8914873.0265813656</v>
      </c>
      <c r="AZ308" s="414">
        <f t="shared" si="93"/>
        <v>0</v>
      </c>
      <c r="BA308" s="414">
        <f t="shared" si="93"/>
        <v>7839374.2828592705</v>
      </c>
      <c r="BB308" s="414">
        <f t="shared" si="93"/>
        <v>0</v>
      </c>
      <c r="BC308" s="414">
        <f t="shared" si="93"/>
        <v>460343.30348401266</v>
      </c>
      <c r="BD308" s="414">
        <f t="shared" si="93"/>
        <v>0</v>
      </c>
      <c r="BE308" s="414">
        <f>+BE291-(BE304*BE306)</f>
        <v>27242.060373540004</v>
      </c>
      <c r="BF308" s="414">
        <f t="shared" si="93"/>
        <v>0</v>
      </c>
      <c r="BG308" s="371">
        <f>SUM(E308:BF308)</f>
        <v>-105117961.63919072</v>
      </c>
      <c r="BH308" s="371">
        <f>+BH291-(BH304*BH306)</f>
        <v>-716566521.23766828</v>
      </c>
      <c r="BI308" s="82"/>
      <c r="BJ308" s="356"/>
      <c r="BK308" s="82"/>
    </row>
    <row r="309" spans="1:63" outlineLevel="1" x14ac:dyDescent="0.25">
      <c r="A309" s="317">
        <v>51</v>
      </c>
      <c r="B309" s="365" t="s">
        <v>153</v>
      </c>
      <c r="C309" s="350" t="s">
        <v>164</v>
      </c>
      <c r="D309" s="1272">
        <f>-D308/D307</f>
        <v>784768475.10758591</v>
      </c>
      <c r="E309" s="392">
        <f t="shared" ref="E309:BF309" si="95">-E308/E307</f>
        <v>-27230414.088380195</v>
      </c>
      <c r="F309" s="414">
        <f t="shared" si="95"/>
        <v>0</v>
      </c>
      <c r="G309" s="414">
        <f t="shared" si="95"/>
        <v>0</v>
      </c>
      <c r="H309" s="392">
        <f t="shared" si="95"/>
        <v>-746205.58117507258</v>
      </c>
      <c r="I309" s="392">
        <f t="shared" si="95"/>
        <v>-5225566.7300403342</v>
      </c>
      <c r="J309" s="414">
        <f t="shared" si="95"/>
        <v>0</v>
      </c>
      <c r="K309" s="414">
        <f t="shared" si="95"/>
        <v>0</v>
      </c>
      <c r="L309" s="414">
        <f t="shared" si="95"/>
        <v>0</v>
      </c>
      <c r="M309" s="414">
        <f t="shared" si="95"/>
        <v>0</v>
      </c>
      <c r="N309" s="414">
        <f t="shared" si="95"/>
        <v>0</v>
      </c>
      <c r="O309" s="392">
        <f t="shared" si="95"/>
        <v>5422.0333033441138</v>
      </c>
      <c r="P309" s="414">
        <f t="shared" si="95"/>
        <v>0</v>
      </c>
      <c r="Q309" s="414">
        <f t="shared" si="95"/>
        <v>0</v>
      </c>
      <c r="R309" s="414">
        <f t="shared" si="95"/>
        <v>0</v>
      </c>
      <c r="S309" s="414">
        <f t="shared" si="95"/>
        <v>0</v>
      </c>
      <c r="T309" s="414">
        <f t="shared" si="95"/>
        <v>0</v>
      </c>
      <c r="U309" s="414">
        <f t="shared" si="95"/>
        <v>0</v>
      </c>
      <c r="V309" s="414">
        <f t="shared" si="95"/>
        <v>0</v>
      </c>
      <c r="W309" s="414">
        <f t="shared" si="95"/>
        <v>0</v>
      </c>
      <c r="X309" s="414">
        <f t="shared" si="95"/>
        <v>0</v>
      </c>
      <c r="Y309" s="414">
        <f t="shared" si="95"/>
        <v>0</v>
      </c>
      <c r="Z309" s="392">
        <f t="shared" si="95"/>
        <v>21822807.63769811</v>
      </c>
      <c r="AA309" s="414">
        <f t="shared" si="95"/>
        <v>0</v>
      </c>
      <c r="AB309" s="414">
        <f t="shared" si="95"/>
        <v>0</v>
      </c>
      <c r="AC309" s="392">
        <f t="shared" si="95"/>
        <v>-521904.03718473646</v>
      </c>
      <c r="AD309" s="414">
        <f t="shared" si="95"/>
        <v>0</v>
      </c>
      <c r="AE309" s="392">
        <f t="shared" si="95"/>
        <v>-60629149.455882497</v>
      </c>
      <c r="AF309" s="392">
        <f t="shared" si="95"/>
        <v>-1368769.5637109142</v>
      </c>
      <c r="AG309" s="392">
        <f t="shared" si="95"/>
        <v>72113621.588452294</v>
      </c>
      <c r="AH309" s="392">
        <f t="shared" si="95"/>
        <v>17690610.788210344</v>
      </c>
      <c r="AI309" s="392">
        <f t="shared" si="95"/>
        <v>55829738.287299901</v>
      </c>
      <c r="AJ309" s="392">
        <f t="shared" si="95"/>
        <v>56010877.112561136</v>
      </c>
      <c r="AK309" s="414">
        <f>-AK308/AK307</f>
        <v>0</v>
      </c>
      <c r="AL309" s="414">
        <f>-AL308/AL307</f>
        <v>0</v>
      </c>
      <c r="AM309" s="414">
        <f t="shared" ref="AM309:AV309" si="96">-AM308/AM307</f>
        <v>0</v>
      </c>
      <c r="AN309" s="392">
        <f t="shared" si="96"/>
        <v>-630770.14295364334</v>
      </c>
      <c r="AO309" s="392">
        <f t="shared" si="96"/>
        <v>20745.031648168071</v>
      </c>
      <c r="AP309" s="392">
        <f t="shared" si="96"/>
        <v>1335707.5745274962</v>
      </c>
      <c r="AQ309" s="414">
        <f t="shared" si="96"/>
        <v>0</v>
      </c>
      <c r="AR309" s="414">
        <f t="shared" si="96"/>
        <v>0</v>
      </c>
      <c r="AS309" s="414">
        <f t="shared" si="96"/>
        <v>0</v>
      </c>
      <c r="AT309" s="414">
        <f t="shared" si="96"/>
        <v>0</v>
      </c>
      <c r="AU309" s="414">
        <f t="shared" si="96"/>
        <v>0</v>
      </c>
      <c r="AV309" s="392">
        <f t="shared" si="96"/>
        <v>34551386.819238655</v>
      </c>
      <c r="AW309" s="392">
        <f t="shared" si="95"/>
        <v>4567.0039235974245</v>
      </c>
      <c r="AX309" s="414">
        <f t="shared" si="95"/>
        <v>0</v>
      </c>
      <c r="AY309" s="392">
        <f t="shared" si="95"/>
        <v>-11878214.294007465</v>
      </c>
      <c r="AZ309" s="414">
        <f t="shared" si="95"/>
        <v>0</v>
      </c>
      <c r="BA309" s="392">
        <f t="shared" si="95"/>
        <v>-10445215.247046752</v>
      </c>
      <c r="BB309" s="414">
        <f t="shared" si="95"/>
        <v>0</v>
      </c>
      <c r="BC309" s="392">
        <f t="shared" si="95"/>
        <v>-613363.35260080325</v>
      </c>
      <c r="BD309" s="414">
        <f t="shared" si="95"/>
        <v>0</v>
      </c>
      <c r="BE309" s="392">
        <f>-BE308/BE307</f>
        <v>-36297.43575285501</v>
      </c>
      <c r="BF309" s="414">
        <f t="shared" si="95"/>
        <v>0</v>
      </c>
      <c r="BG309" s="371">
        <f>-BG308/BG307</f>
        <v>140059613.94812778</v>
      </c>
      <c r="BH309" s="371">
        <f>-BH308/BH307</f>
        <v>954756244.9620707</v>
      </c>
      <c r="BI309" s="82"/>
      <c r="BJ309" s="356"/>
      <c r="BK309" s="82"/>
    </row>
    <row r="310" spans="1:63" outlineLevel="1" x14ac:dyDescent="0.25">
      <c r="A310" s="317">
        <v>52</v>
      </c>
      <c r="B310" s="365" t="s">
        <v>128</v>
      </c>
      <c r="C310" s="350" t="s">
        <v>164</v>
      </c>
      <c r="D310" s="1260"/>
      <c r="E310" s="414"/>
      <c r="F310" s="414"/>
      <c r="G310" s="414"/>
      <c r="H310" s="414"/>
      <c r="I310" s="414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  <c r="AA310" s="414"/>
      <c r="AB310" s="414"/>
      <c r="AC310" s="414"/>
      <c r="AD310" s="414"/>
      <c r="AE310" s="414"/>
      <c r="AF310" s="414"/>
      <c r="AG310" s="414"/>
      <c r="AH310" s="414"/>
      <c r="AI310" s="414"/>
      <c r="AJ310" s="414"/>
      <c r="AK310" s="414"/>
      <c r="AL310" s="414"/>
      <c r="AM310" s="414"/>
      <c r="AN310" s="414"/>
      <c r="AO310" s="414"/>
      <c r="AP310" s="414"/>
      <c r="AQ310" s="414"/>
      <c r="AR310" s="414"/>
      <c r="AS310" s="414"/>
      <c r="AT310" s="414"/>
      <c r="AU310" s="414"/>
      <c r="AV310" s="414"/>
      <c r="AW310" s="414"/>
      <c r="AX310" s="414"/>
      <c r="AY310" s="414"/>
      <c r="AZ310" s="414"/>
      <c r="BA310" s="414"/>
      <c r="BB310" s="414"/>
      <c r="BC310" s="414"/>
      <c r="BD310" s="414"/>
      <c r="BE310" s="414"/>
      <c r="BF310" s="414"/>
      <c r="BG310" s="371"/>
      <c r="BH310" s="371">
        <f>+BH249</f>
        <v>-392046221.33914036</v>
      </c>
      <c r="BI310" s="82"/>
      <c r="BJ310" s="356"/>
      <c r="BK310" s="82"/>
    </row>
    <row r="311" spans="1:63" ht="15.75" outlineLevel="1" thickBot="1" x14ac:dyDescent="0.3">
      <c r="A311" s="317">
        <v>53</v>
      </c>
      <c r="B311" s="365" t="s">
        <v>129</v>
      </c>
      <c r="C311" s="350" t="s">
        <v>164</v>
      </c>
      <c r="D311" s="1288"/>
      <c r="E311" s="414"/>
      <c r="F311" s="414"/>
      <c r="G311" s="414"/>
      <c r="H311" s="414"/>
      <c r="I311" s="414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  <c r="AA311" s="414"/>
      <c r="AB311" s="414"/>
      <c r="AC311" s="414"/>
      <c r="AD311" s="414"/>
      <c r="AE311" s="414"/>
      <c r="AF311" s="414"/>
      <c r="AG311" s="414"/>
      <c r="AH311" s="414"/>
      <c r="AI311" s="414"/>
      <c r="AJ311" s="414"/>
      <c r="AK311" s="414"/>
      <c r="AL311" s="414"/>
      <c r="AM311" s="414"/>
      <c r="AN311" s="414"/>
      <c r="AO311" s="414"/>
      <c r="AP311" s="414"/>
      <c r="AQ311" s="414"/>
      <c r="AR311" s="414"/>
      <c r="AS311" s="414"/>
      <c r="AT311" s="414"/>
      <c r="AU311" s="414"/>
      <c r="AV311" s="414"/>
      <c r="AW311" s="414"/>
      <c r="AX311" s="414"/>
      <c r="AY311" s="414"/>
      <c r="AZ311" s="414"/>
      <c r="BA311" s="414"/>
      <c r="BB311" s="414"/>
      <c r="BC311" s="414"/>
      <c r="BD311" s="414"/>
      <c r="BE311" s="414"/>
      <c r="BF311" s="414"/>
      <c r="BG311" s="371"/>
      <c r="BH311" s="371">
        <f>SUM(BH309:BH310)</f>
        <v>562710023.62293029</v>
      </c>
      <c r="BI311" s="82"/>
      <c r="BJ311" s="356"/>
      <c r="BK311" s="82"/>
    </row>
    <row r="312" spans="1:63" outlineLevel="1" x14ac:dyDescent="0.25">
      <c r="A312" s="65" t="s">
        <v>30</v>
      </c>
      <c r="B312" s="365"/>
      <c r="C312" s="350"/>
      <c r="D312" s="382"/>
      <c r="E312" s="382"/>
      <c r="F312" s="382"/>
      <c r="G312" s="382"/>
      <c r="H312" s="382"/>
      <c r="I312" s="382"/>
      <c r="J312" s="382"/>
      <c r="K312" s="382"/>
      <c r="L312" s="382"/>
      <c r="M312" s="382"/>
      <c r="N312" s="382"/>
      <c r="O312" s="382"/>
      <c r="P312" s="382"/>
      <c r="Q312" s="382"/>
      <c r="R312" s="382"/>
      <c r="S312" s="382"/>
      <c r="T312" s="382"/>
      <c r="U312" s="382"/>
      <c r="V312" s="382"/>
      <c r="W312" s="382"/>
      <c r="X312" s="382"/>
      <c r="Y312" s="382"/>
      <c r="Z312" s="382"/>
      <c r="AA312" s="382"/>
      <c r="AB312" s="382"/>
      <c r="AC312" s="382"/>
      <c r="AD312" s="382"/>
      <c r="AE312" s="382"/>
      <c r="AF312" s="382"/>
      <c r="AG312" s="382"/>
      <c r="AH312" s="382"/>
      <c r="AI312" s="382"/>
      <c r="AJ312" s="382"/>
      <c r="AK312" s="382"/>
      <c r="AL312" s="382"/>
      <c r="AM312" s="382"/>
      <c r="AN312" s="382"/>
      <c r="AO312" s="382"/>
      <c r="AP312" s="382"/>
      <c r="AQ312" s="382"/>
      <c r="AR312" s="382"/>
      <c r="AS312" s="382"/>
      <c r="AT312" s="382"/>
      <c r="AU312" s="382"/>
      <c r="AV312" s="382"/>
      <c r="AW312" s="382"/>
      <c r="AX312" s="382"/>
      <c r="AY312" s="382"/>
      <c r="AZ312" s="382"/>
      <c r="BA312" s="382"/>
      <c r="BB312" s="382"/>
      <c r="BC312" s="382"/>
      <c r="BD312" s="382"/>
      <c r="BE312" s="382"/>
      <c r="BF312" s="382"/>
      <c r="BG312" s="393"/>
      <c r="BH312" s="393"/>
      <c r="BI312" s="82"/>
      <c r="BK312" s="82"/>
    </row>
    <row r="313" spans="1:63" outlineLevel="1" x14ac:dyDescent="0.25">
      <c r="B313" s="365"/>
      <c r="C313" s="350"/>
      <c r="BG313" s="80">
        <f>+'SEF-29 pg 1-2'!$K$24</f>
        <v>7.6499999999999999E-2</v>
      </c>
      <c r="BH313" s="80">
        <f>+'SEF-29 pg 1-2'!$K$24</f>
        <v>7.6499999999999999E-2</v>
      </c>
      <c r="BI313" s="82"/>
      <c r="BK313" s="82"/>
    </row>
    <row r="314" spans="1:63" outlineLevel="1" x14ac:dyDescent="0.25">
      <c r="B314" s="395" t="s">
        <v>154</v>
      </c>
      <c r="C314" s="350" t="s">
        <v>164</v>
      </c>
      <c r="D314" s="396"/>
      <c r="E314" s="397">
        <f>ROUND('SEF-32 pg 1-34, 46'!M82-E291,0)+E293</f>
        <v>0</v>
      </c>
      <c r="F314" s="397">
        <f>ROUND('SEF-32 pg 1-34, 46'!AE76-F291,0)+F293</f>
        <v>0</v>
      </c>
      <c r="G314" s="397">
        <v>0</v>
      </c>
      <c r="H314" s="397">
        <f>ROUND('SEF-32 pg 1-34, 46'!BM24-H291,0)+ROUND('SEF-32 pg 1-34, 46'!BM29-H293,0)</f>
        <v>0</v>
      </c>
      <c r="I314" s="397">
        <f>ROUND('SEF-32 pg 1-34, 46'!CE24-I291,0)+I293</f>
        <v>0</v>
      </c>
      <c r="J314" s="397">
        <f>ROUND('SEF-32 pg 1-34, 46'!CW21-J291,0)+J293</f>
        <v>0</v>
      </c>
      <c r="K314" s="397">
        <f>ROUND('SEF-32 pg 1-34, 46'!DO26-K291,0)+K293</f>
        <v>0</v>
      </c>
      <c r="L314" s="397">
        <f>ROUND('SEF-32 pg 1-34, 46'!EG22-L291,0)+L293</f>
        <v>0</v>
      </c>
      <c r="M314" s="397">
        <f>ROUND('SEF-32 pg 1-34, 46'!EY27-M291,0)+M293</f>
        <v>0</v>
      </c>
      <c r="N314" s="397">
        <f>ROUND('SEF-32 pg 1-34, 46'!FQ23-N291,0)+N293</f>
        <v>0</v>
      </c>
      <c r="O314" s="397">
        <f>ROUND('SEF-32 pg 1-34, 46'!GI31-O291,0)+O293</f>
        <v>0</v>
      </c>
      <c r="P314" s="397">
        <f>ROUND('SEF-32 pg 1-34, 46'!HA37-P291,0)+P293</f>
        <v>0</v>
      </c>
      <c r="Q314" s="397">
        <f>ROUND('SEF-32 pg 1-34, 46'!HS18-Q291,0)+Q293</f>
        <v>0</v>
      </c>
      <c r="R314" s="397">
        <f>ROUND('SEF-32 pg 1-34, 46'!IK23-R291,0)+R293</f>
        <v>0</v>
      </c>
      <c r="S314" s="397">
        <f>ROUND('SEF-32 pg 1-34, 46'!JC22-S291,0)+S293</f>
        <v>0</v>
      </c>
      <c r="T314" s="397">
        <f>ROUND('SEF-32 pg 1-34, 46'!JU23-T291,0)+T293</f>
        <v>0</v>
      </c>
      <c r="U314" s="397">
        <f>ROUND('SEF-32 pg 1-34, 46'!KM20-U291,0)+U293</f>
        <v>0</v>
      </c>
      <c r="V314" s="397">
        <f>ROUND('SEF-32 pg 1-34, 46'!LE32-V291,0)+V293</f>
        <v>0</v>
      </c>
      <c r="W314" s="397">
        <f>ROUND('SEF-32 pg 1-34, 46'!LW22-W291,0)+W293</f>
        <v>0</v>
      </c>
      <c r="X314" s="397">
        <f>ROUND('SEF-32 pg 1-34, 46'!MO31-X291,0)+ROUND('SEF-32 pg 1-34, 46'!MO36-X293,0)</f>
        <v>0</v>
      </c>
      <c r="Y314" s="397">
        <f>ROUND('SEF-32 pg 1-34, 46'!NG21-Y291,0)+Y293</f>
        <v>0</v>
      </c>
      <c r="Z314" s="397">
        <f>ROUND('SEF-32 pg 1-34, 46'!NY33-Z291,0)+Z293</f>
        <v>0</v>
      </c>
      <c r="AA314" s="397">
        <f>ROUND('SEF-32 pg 1-34, 46'!OQ35-AA293,0)+ROUND('SEF-32 pg 1-34, 46'!OQ24-AA291,0)</f>
        <v>0</v>
      </c>
      <c r="AB314" s="397">
        <f>ROUND('SEF-32 pg 1-34, 46'!PI53-AB291,0)+ROUND('SEF-32 pg 1-34, 46'!PI35-AB293,0)</f>
        <v>0</v>
      </c>
      <c r="AC314" s="397">
        <f>ROUND('SEF-32 pg 1-34, 46'!QE21-AC291,0)+AC293</f>
        <v>0</v>
      </c>
      <c r="AD314" s="397">
        <f>+ROUND('SEF-32 pg 1-34, 46'!QW21-AD293,0)+ROUND(-AD291,0)</f>
        <v>0</v>
      </c>
      <c r="AE314" s="397">
        <f>ROUND('SEF-32 pg 1-34, 46'!RO31-AE291,0)+ROUND('SEF-32 pg 1-34, 46'!RO36-AE293,0)</f>
        <v>0</v>
      </c>
      <c r="AF314" s="397">
        <f>ROUND('SEF-32 pg 1-34, 46'!SG30-AF291,0)+ROUND('SEF-32 pg 1-34, 46'!SG35-AF293,0)</f>
        <v>0</v>
      </c>
      <c r="AG314" s="397">
        <f>ROUND('SEF-32 pg 1-34, 46'!SY26-AG291,0)+ROUND('SEF-32 pg 1-34, 46'!SY31-AG293,0)</f>
        <v>0</v>
      </c>
      <c r="AH314" s="397">
        <f>ROUND('SEF-32 pg 1-34, 46'!SY44-AH291,0)+ROUND('SEF-32 pg 1-34, 46'!SY49-AH293,0)</f>
        <v>0</v>
      </c>
      <c r="AI314" s="397">
        <f>ROUND('SEF-32 pg 1-34, 46'!SY62-AI291,0)+ROUND('SEF-32 pg 1-34, 46'!SY67-AI293,0)</f>
        <v>0</v>
      </c>
      <c r="AJ314" s="397">
        <f>ROUND('SEF-32 pg 1-34, 46'!SY80-AJ291,0)+ROUND('SEF-32 pg 1-34, 46'!SY85-AJ293,0)</f>
        <v>0</v>
      </c>
      <c r="AK314" s="397">
        <f>ROUND('SEF-32 pg 1-34, 46'!TR35-AK291,0)+ROUND('SEF-32 pg 1-34, 46'!TR102-AK293,0)</f>
        <v>0</v>
      </c>
      <c r="AL314" s="397">
        <f>ROUND('SEF-32 pg 1-34, 46'!UG27-AL291,0)+ROUND('SEF-32 pg 1-34, 46'!UG19-AL293,0)</f>
        <v>0</v>
      </c>
      <c r="AM314" s="397">
        <f>ROUND('SEF-32 pg 1-34, 46'!UV25-AM291,0)</f>
        <v>0</v>
      </c>
      <c r="AN314" s="397">
        <f>ROUND('SEF-32 pg 1-34, 46'!VK31-AN291,0)+ROUND('SEF-32 pg 1-34, 46'!VK23-'SEF-30 pg 2 - 36 '!AN293,0)</f>
        <v>0</v>
      </c>
      <c r="AO314" s="397">
        <f>ROUND('SEF-32 pg 1-34, 46'!VZ21-AO291,0)</f>
        <v>0</v>
      </c>
      <c r="AP314" s="397">
        <f>ROUND('SEF-32 pg 1-34, 46'!WO21-AP291,0)</f>
        <v>0</v>
      </c>
      <c r="AQ314" s="397"/>
      <c r="AR314" s="397"/>
      <c r="AS314" s="397"/>
      <c r="AT314" s="397"/>
      <c r="AU314" s="397"/>
      <c r="AV314" s="397">
        <f>ROUND('SEF-32 pg 35-45'!M$41-'SEF-30 pg 2 - 36 '!AV291,0)+AV293</f>
        <v>0</v>
      </c>
      <c r="AW314" s="397">
        <f>ROUND('SEF-32 pg 35-45'!AW$29-'SEF-30 pg 2 - 36 '!AW291,0)+ROUND('SEF-32 pg 35-45'!AW$21-'SEF-30 pg 2 - 36 '!AW293,0)</f>
        <v>0</v>
      </c>
      <c r="AX314" s="397">
        <f>ROUND('SEF-32 pg 35-45'!BO$30-'SEF-30 pg 2 - 36 '!AX291,0)+AX293</f>
        <v>0</v>
      </c>
      <c r="AY314" s="397">
        <f>ROUND('SEF-32 pg 35-45'!CG$32-AY293,0)+ROUND('SEF-32 pg 35-45'!CG$66-AY291,0)</f>
        <v>0</v>
      </c>
      <c r="AZ314" s="397">
        <f>ROUND('SEF-32 pg 35-45'!CY$29-'SEF-30 pg 2 - 36 '!AZ291,0)+ROUND('SEF-32 pg 35-45'!CY$21-'SEF-30 pg 2 - 36 '!AZ293,0)</f>
        <v>0</v>
      </c>
      <c r="BA314" s="397">
        <f>ROUND('SEF-32 pg 35-45'!DQ$30-'SEF-30 pg 2 - 36 '!BA291,0)+BA293</f>
        <v>0</v>
      </c>
      <c r="BB314" s="397">
        <f>'SEF-32 pg 35-45'!EI75+'SEF-32 pg 35-45'!EI55-BB291-BB293</f>
        <v>0</v>
      </c>
      <c r="BC314" s="397">
        <f>ROUND('SEF-32 pg 35-45'!FA$42-'SEF-30 pg 2 - 36 '!BC291,0)+ROUND('SEF-32 pg 35-45'!FA$31-'SEF-30 pg 2 - 36 '!BC293,0)</f>
        <v>0</v>
      </c>
      <c r="BD314" s="397">
        <f>ROUND('SEF-32 pg 35-45'!FS$24-'SEF-30 pg 2 - 36 '!BD291,0)+BD293</f>
        <v>0</v>
      </c>
      <c r="BE314" s="397">
        <f>ROUND('SEF-32 pg 35-45'!GK$42-'SEF-30 pg 2 - 36 '!BE291,0)+ROUND('SEF-32 pg 35-45'!GK$32-'SEF-30 pg 2 - 36 '!BE293,0)</f>
        <v>0</v>
      </c>
      <c r="BF314" s="397">
        <f>ROUND('SEF-32 pg 35-45'!HC34-'SEF-30 pg 2 - 36 '!BF291,0)+ROUND('SEF-32 pg 35-45'!HC29-'SEF-30 pg 2 - 36 '!BF293,0)</f>
        <v>0</v>
      </c>
      <c r="BG314" s="398"/>
      <c r="BH314" s="398"/>
      <c r="BI314" s="82"/>
      <c r="BK314" s="82"/>
    </row>
    <row r="315" spans="1:63" outlineLevel="1" x14ac:dyDescent="0.25">
      <c r="B315" s="395" t="s">
        <v>155</v>
      </c>
      <c r="C315" s="350" t="s">
        <v>164</v>
      </c>
      <c r="D315" s="397">
        <f>'SEF-30 pg 1'!K$47-D291</f>
        <v>0</v>
      </c>
      <c r="BH315" s="397">
        <f>'SEF-30 pg 1'!M47-BH291</f>
        <v>0</v>
      </c>
      <c r="BI315" s="82"/>
      <c r="BK315" s="82"/>
    </row>
    <row r="316" spans="1:63" outlineLevel="1" x14ac:dyDescent="0.25">
      <c r="B316" s="395" t="s">
        <v>156</v>
      </c>
      <c r="C316" s="350" t="s">
        <v>164</v>
      </c>
      <c r="D316" s="397">
        <f>'SEF-30 pg 1'!K$58-D304</f>
        <v>0</v>
      </c>
      <c r="BH316" s="397">
        <f>'SEF-30 pg 1'!M58-BH304</f>
        <v>0</v>
      </c>
      <c r="BI316" s="82"/>
      <c r="BK316" s="82"/>
    </row>
    <row r="317" spans="1:63" x14ac:dyDescent="0.25">
      <c r="A317" s="342"/>
      <c r="B317" s="400"/>
      <c r="C317" s="401"/>
      <c r="D317" s="347"/>
      <c r="E317" s="342"/>
      <c r="F317" s="342"/>
      <c r="G317" s="342"/>
      <c r="H317" s="342"/>
      <c r="I317" s="342"/>
      <c r="J317" s="342"/>
      <c r="K317" s="342"/>
      <c r="L317" s="342"/>
      <c r="M317" s="342"/>
      <c r="N317" s="342"/>
      <c r="O317" s="342"/>
      <c r="P317" s="342"/>
      <c r="Q317" s="342"/>
      <c r="R317" s="342"/>
      <c r="S317" s="342"/>
      <c r="T317" s="342"/>
      <c r="U317" s="342"/>
      <c r="V317" s="342"/>
      <c r="W317" s="342"/>
      <c r="X317" s="342"/>
      <c r="Y317" s="342"/>
      <c r="Z317" s="342"/>
      <c r="AA317" s="342"/>
      <c r="AB317" s="342"/>
      <c r="AC317" s="342"/>
      <c r="AD317" s="342"/>
      <c r="AE317" s="342"/>
      <c r="AF317" s="342"/>
      <c r="AG317" s="342"/>
      <c r="AH317" s="342"/>
      <c r="AI317" s="342"/>
      <c r="AJ317" s="342"/>
      <c r="AK317" s="342"/>
      <c r="AL317" s="342"/>
      <c r="AM317" s="342"/>
      <c r="AN317" s="342"/>
      <c r="AO317" s="342"/>
      <c r="AP317" s="342"/>
      <c r="AQ317" s="342"/>
      <c r="AR317" s="342"/>
      <c r="AS317" s="342"/>
      <c r="AT317" s="342"/>
      <c r="AU317" s="342"/>
      <c r="AV317" s="342"/>
      <c r="AW317" s="342"/>
      <c r="AX317" s="342"/>
      <c r="AY317" s="342"/>
      <c r="AZ317" s="342"/>
      <c r="BA317" s="342"/>
      <c r="BB317" s="342"/>
      <c r="BC317" s="342"/>
      <c r="BD317" s="342"/>
      <c r="BE317" s="342"/>
      <c r="BF317" s="342"/>
      <c r="BG317" s="342"/>
      <c r="BH317" s="347"/>
      <c r="BI317" s="82"/>
      <c r="BK317" s="82"/>
    </row>
    <row r="318" spans="1:63" outlineLevel="1" x14ac:dyDescent="0.25">
      <c r="A318" s="342"/>
      <c r="B318" s="343"/>
      <c r="C318" s="405"/>
      <c r="D318" s="345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  <c r="BB318" s="346"/>
      <c r="BC318" s="346"/>
      <c r="BD318" s="346"/>
      <c r="BE318" s="346"/>
      <c r="BF318" s="346"/>
      <c r="BG318" s="342"/>
      <c r="BH318" s="347"/>
      <c r="BI318" s="82"/>
      <c r="BK318" s="82"/>
    </row>
    <row r="319" spans="1:63" outlineLevel="1" x14ac:dyDescent="0.25">
      <c r="A319" s="342"/>
      <c r="B319" s="343"/>
      <c r="C319" s="405"/>
      <c r="D319" s="347"/>
      <c r="E319" s="348"/>
      <c r="F319" s="348"/>
      <c r="G319" s="348"/>
      <c r="H319" s="348"/>
      <c r="I319" s="348"/>
      <c r="J319" s="348"/>
      <c r="K319" s="348"/>
      <c r="L319" s="348"/>
      <c r="M319" s="348"/>
      <c r="N319" s="348"/>
      <c r="O319" s="348"/>
      <c r="P319" s="348"/>
      <c r="Q319" s="348"/>
      <c r="R319" s="348"/>
      <c r="S319" s="348"/>
      <c r="T319" s="348"/>
      <c r="U319" s="348"/>
      <c r="V319" s="348"/>
      <c r="W319" s="348"/>
      <c r="X319" s="348"/>
      <c r="Y319" s="348"/>
      <c r="Z319" s="348"/>
      <c r="AA319" s="348"/>
      <c r="AB319" s="348"/>
      <c r="AC319" s="348"/>
      <c r="AD319" s="348"/>
      <c r="AE319" s="348"/>
      <c r="AF319" s="348"/>
      <c r="AG319" s="348"/>
      <c r="AH319" s="348"/>
      <c r="AI319" s="348"/>
      <c r="AJ319" s="348"/>
      <c r="AK319" s="348"/>
      <c r="AL319" s="348"/>
      <c r="AM319" s="348"/>
      <c r="AN319" s="348"/>
      <c r="AO319" s="348"/>
      <c r="AP319" s="348"/>
      <c r="AQ319" s="348"/>
      <c r="AR319" s="348"/>
      <c r="AS319" s="348"/>
      <c r="AT319" s="348"/>
      <c r="AU319" s="348"/>
      <c r="AV319" s="348"/>
      <c r="AW319" s="348"/>
      <c r="AX319" s="348"/>
      <c r="AY319" s="348"/>
      <c r="AZ319" s="348"/>
      <c r="BA319" s="348"/>
      <c r="BB319" s="348"/>
      <c r="BC319" s="348"/>
      <c r="BD319" s="348"/>
      <c r="BE319" s="348"/>
      <c r="BF319" s="348"/>
      <c r="BG319" s="342"/>
      <c r="BH319" s="347"/>
      <c r="BI319" s="82"/>
      <c r="BK319" s="82"/>
    </row>
    <row r="320" spans="1:63" outlineLevel="1" x14ac:dyDescent="0.25">
      <c r="B320" s="349" t="s">
        <v>81</v>
      </c>
      <c r="C320" s="406"/>
      <c r="D320" s="366"/>
      <c r="BG320" s="352"/>
      <c r="BH320" s="352"/>
      <c r="BI320" s="82"/>
      <c r="BK320" s="82"/>
    </row>
    <row r="321" spans="1:74" outlineLevel="1" x14ac:dyDescent="0.25">
      <c r="B321" s="349" t="s">
        <v>82</v>
      </c>
      <c r="C321" s="406"/>
      <c r="D321" s="352"/>
      <c r="E321" s="407">
        <f>'SEF-32 pg 1-34, 46'!O37</f>
        <v>0</v>
      </c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353"/>
      <c r="R321" s="353"/>
      <c r="S321" s="353"/>
      <c r="T321" s="353"/>
      <c r="U321" s="353"/>
      <c r="V321" s="353"/>
      <c r="W321" s="353"/>
      <c r="X321" s="353"/>
      <c r="Y321" s="353"/>
      <c r="Z321" s="353"/>
      <c r="AA321" s="353"/>
      <c r="AB321" s="353"/>
      <c r="AC321" s="353"/>
      <c r="AD321" s="353"/>
      <c r="AE321" s="353"/>
      <c r="AF321" s="353"/>
      <c r="AG321" s="353"/>
      <c r="AH321" s="353"/>
      <c r="AI321" s="353"/>
      <c r="AJ321" s="353"/>
      <c r="AK321" s="353"/>
      <c r="AL321" s="353"/>
      <c r="AM321" s="353"/>
      <c r="AN321" s="353"/>
      <c r="AO321" s="353"/>
      <c r="AP321" s="353"/>
      <c r="AQ321" s="353"/>
      <c r="AR321" s="353"/>
      <c r="AS321" s="353"/>
      <c r="AT321" s="353"/>
      <c r="AU321" s="353"/>
      <c r="AV321" s="353"/>
      <c r="AW321" s="353"/>
      <c r="AX321" s="353"/>
      <c r="AY321" s="353"/>
      <c r="AZ321" s="353"/>
      <c r="BA321" s="353"/>
      <c r="BB321" s="407"/>
      <c r="BC321" s="407"/>
      <c r="BD321" s="353"/>
      <c r="BE321" s="353"/>
      <c r="BF321" s="353"/>
      <c r="BG321" s="352">
        <f>SUM(E321:BF321)</f>
        <v>0</v>
      </c>
      <c r="BH321" s="352">
        <f>+BG321+D321</f>
        <v>0</v>
      </c>
      <c r="BI321" s="82"/>
      <c r="BJ321" s="317">
        <f>320-259</f>
        <v>61</v>
      </c>
      <c r="BK321" s="82"/>
      <c r="BL321" s="317">
        <f>259+61</f>
        <v>320</v>
      </c>
    </row>
    <row r="322" spans="1:74" outlineLevel="1" x14ac:dyDescent="0.25">
      <c r="B322" s="349" t="s">
        <v>83</v>
      </c>
      <c r="C322" s="406"/>
      <c r="D322" s="357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  <c r="AA322" s="358"/>
      <c r="AB322" s="358"/>
      <c r="AC322" s="358"/>
      <c r="AD322" s="358"/>
      <c r="AE322" s="358"/>
      <c r="AF322" s="358"/>
      <c r="AG322" s="358"/>
      <c r="AH322" s="358"/>
      <c r="AI322" s="358"/>
      <c r="AJ322" s="358"/>
      <c r="AK322" s="358"/>
      <c r="AL322" s="358"/>
      <c r="AM322" s="358"/>
      <c r="AN322" s="358"/>
      <c r="AO322" s="358"/>
      <c r="AP322" s="358"/>
      <c r="AQ322" s="358"/>
      <c r="AR322" s="358"/>
      <c r="AS322" s="358"/>
      <c r="AT322" s="358"/>
      <c r="AU322" s="358"/>
      <c r="AV322" s="358"/>
      <c r="AW322" s="358"/>
      <c r="AX322" s="358"/>
      <c r="AY322" s="358"/>
      <c r="AZ322" s="358"/>
      <c r="BA322" s="358"/>
      <c r="BB322" s="408"/>
      <c r="BC322" s="408"/>
      <c r="BD322" s="358"/>
      <c r="BE322" s="358"/>
      <c r="BF322" s="358"/>
      <c r="BG322" s="357">
        <f>SUM(E322:BF322)</f>
        <v>0</v>
      </c>
      <c r="BH322" s="357">
        <f>+BG322+D322</f>
        <v>0</v>
      </c>
      <c r="BI322" s="82"/>
      <c r="BK322" s="82"/>
      <c r="BL322" s="317">
        <f>+BL321+61</f>
        <v>381</v>
      </c>
    </row>
    <row r="323" spans="1:74" outlineLevel="1" x14ac:dyDescent="0.25">
      <c r="B323" s="349" t="s">
        <v>84</v>
      </c>
      <c r="C323" s="406"/>
      <c r="D323" s="357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  <c r="AA323" s="358"/>
      <c r="AB323" s="358"/>
      <c r="AC323" s="358"/>
      <c r="AD323" s="358"/>
      <c r="AE323" s="358"/>
      <c r="AF323" s="358"/>
      <c r="AG323" s="358"/>
      <c r="AH323" s="358"/>
      <c r="AI323" s="358"/>
      <c r="AJ323" s="358"/>
      <c r="AK323" s="358"/>
      <c r="AL323" s="358"/>
      <c r="AM323" s="358"/>
      <c r="AN323" s="358"/>
      <c r="AO323" s="358"/>
      <c r="AP323" s="358"/>
      <c r="AQ323" s="358"/>
      <c r="AR323" s="358"/>
      <c r="AS323" s="358"/>
      <c r="AT323" s="358"/>
      <c r="AU323" s="358"/>
      <c r="AV323" s="408">
        <f>-'SEF-32 pg 35-45'!$O$24</f>
        <v>0</v>
      </c>
      <c r="AW323" s="358"/>
      <c r="AX323" s="358"/>
      <c r="AY323" s="358"/>
      <c r="AZ323" s="358"/>
      <c r="BA323" s="358"/>
      <c r="BB323" s="408"/>
      <c r="BC323" s="408"/>
      <c r="BD323" s="358"/>
      <c r="BE323" s="358"/>
      <c r="BF323" s="358"/>
      <c r="BG323" s="357">
        <f>SUM(E323:BF323)</f>
        <v>0</v>
      </c>
      <c r="BH323" s="357">
        <f>+BG323+D323</f>
        <v>0</v>
      </c>
      <c r="BI323" s="82"/>
      <c r="BK323" s="82"/>
      <c r="BL323" s="317">
        <f>+BL322+61</f>
        <v>442</v>
      </c>
    </row>
    <row r="324" spans="1:74" s="424" customFormat="1" outlineLevel="1" x14ac:dyDescent="0.25">
      <c r="A324" s="317"/>
      <c r="B324" s="349" t="s">
        <v>85</v>
      </c>
      <c r="C324" s="406"/>
      <c r="D324" s="357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408"/>
      <c r="AA324" s="408"/>
      <c r="AB324" s="408">
        <f>'SEF-32 pg 1-34, 46'!PI108</f>
        <v>0</v>
      </c>
      <c r="AC324" s="358"/>
      <c r="AD324" s="358"/>
      <c r="AE324" s="358"/>
      <c r="AF324" s="358"/>
      <c r="AG324" s="358"/>
      <c r="AH324" s="358"/>
      <c r="AI324" s="358"/>
      <c r="AJ324" s="358"/>
      <c r="AK324" s="358"/>
      <c r="AL324" s="358"/>
      <c r="AM324" s="358"/>
      <c r="AN324" s="358"/>
      <c r="AO324" s="358"/>
      <c r="AP324" s="358"/>
      <c r="AQ324" s="358"/>
      <c r="AR324" s="358"/>
      <c r="AS324" s="358"/>
      <c r="AT324" s="358"/>
      <c r="AU324" s="358"/>
      <c r="AV324" s="408">
        <f>-SUM('SEF-32 pg 35-45'!$O$25,'SEF-32 pg 35-45'!$O$31)</f>
        <v>0</v>
      </c>
      <c r="AW324" s="358"/>
      <c r="AX324" s="358"/>
      <c r="AY324" s="358"/>
      <c r="AZ324" s="358"/>
      <c r="BA324" s="358"/>
      <c r="BB324" s="408"/>
      <c r="BC324" s="408"/>
      <c r="BD324" s="358"/>
      <c r="BE324" s="358"/>
      <c r="BF324" s="358"/>
      <c r="BG324" s="357">
        <f>SUM(E324:BF324)</f>
        <v>0</v>
      </c>
      <c r="BH324" s="357">
        <f>+BG324+D324</f>
        <v>0</v>
      </c>
      <c r="BI324" s="82"/>
      <c r="BK324" s="82"/>
      <c r="BO324"/>
      <c r="BP324"/>
      <c r="BQ324"/>
      <c r="BR324"/>
      <c r="BS324"/>
      <c r="BT324"/>
      <c r="BU324"/>
      <c r="BV324"/>
    </row>
    <row r="325" spans="1:74" s="424" customFormat="1" outlineLevel="1" x14ac:dyDescent="0.25">
      <c r="A325" s="317"/>
      <c r="B325" s="349" t="s">
        <v>86</v>
      </c>
      <c r="C325" s="406"/>
      <c r="D325" s="359"/>
      <c r="E325" s="360">
        <f t="shared" ref="E325:BH325" si="97">SUM(E321:E324)</f>
        <v>0</v>
      </c>
      <c r="F325" s="360">
        <f t="shared" si="97"/>
        <v>0</v>
      </c>
      <c r="G325" s="360">
        <f t="shared" si="97"/>
        <v>0</v>
      </c>
      <c r="H325" s="360">
        <f t="shared" si="97"/>
        <v>0</v>
      </c>
      <c r="I325" s="360">
        <f t="shared" si="97"/>
        <v>0</v>
      </c>
      <c r="J325" s="360">
        <f t="shared" si="97"/>
        <v>0</v>
      </c>
      <c r="K325" s="360">
        <f t="shared" si="97"/>
        <v>0</v>
      </c>
      <c r="L325" s="360">
        <f t="shared" si="97"/>
        <v>0</v>
      </c>
      <c r="M325" s="360">
        <f t="shared" si="97"/>
        <v>0</v>
      </c>
      <c r="N325" s="360">
        <f t="shared" si="97"/>
        <v>0</v>
      </c>
      <c r="O325" s="360">
        <f t="shared" si="97"/>
        <v>0</v>
      </c>
      <c r="P325" s="360">
        <f t="shared" si="97"/>
        <v>0</v>
      </c>
      <c r="Q325" s="360">
        <f t="shared" si="97"/>
        <v>0</v>
      </c>
      <c r="R325" s="360">
        <f t="shared" si="97"/>
        <v>0</v>
      </c>
      <c r="S325" s="360">
        <f t="shared" si="97"/>
        <v>0</v>
      </c>
      <c r="T325" s="360">
        <f t="shared" si="97"/>
        <v>0</v>
      </c>
      <c r="U325" s="360">
        <f t="shared" si="97"/>
        <v>0</v>
      </c>
      <c r="V325" s="360">
        <f t="shared" si="97"/>
        <v>0</v>
      </c>
      <c r="W325" s="360">
        <f t="shared" si="97"/>
        <v>0</v>
      </c>
      <c r="X325" s="360">
        <f t="shared" si="97"/>
        <v>0</v>
      </c>
      <c r="Y325" s="360">
        <f t="shared" si="97"/>
        <v>0</v>
      </c>
      <c r="Z325" s="410">
        <f t="shared" si="97"/>
        <v>0</v>
      </c>
      <c r="AA325" s="410">
        <f t="shared" si="97"/>
        <v>0</v>
      </c>
      <c r="AB325" s="410">
        <f t="shared" si="97"/>
        <v>0</v>
      </c>
      <c r="AC325" s="360">
        <f t="shared" si="97"/>
        <v>0</v>
      </c>
      <c r="AD325" s="360">
        <f t="shared" si="97"/>
        <v>0</v>
      </c>
      <c r="AE325" s="360">
        <f t="shared" si="97"/>
        <v>0</v>
      </c>
      <c r="AF325" s="360">
        <f t="shared" si="97"/>
        <v>0</v>
      </c>
      <c r="AG325" s="360">
        <f t="shared" si="97"/>
        <v>0</v>
      </c>
      <c r="AH325" s="360">
        <f t="shared" si="97"/>
        <v>0</v>
      </c>
      <c r="AI325" s="360">
        <f t="shared" si="97"/>
        <v>0</v>
      </c>
      <c r="AJ325" s="360">
        <f t="shared" si="97"/>
        <v>0</v>
      </c>
      <c r="AK325" s="360"/>
      <c r="AL325" s="360"/>
      <c r="AM325" s="360"/>
      <c r="AN325" s="360"/>
      <c r="AO325" s="360"/>
      <c r="AP325" s="360"/>
      <c r="AQ325" s="360"/>
      <c r="AR325" s="360"/>
      <c r="AS325" s="360"/>
      <c r="AT325" s="360"/>
      <c r="AU325" s="360"/>
      <c r="AV325" s="410">
        <f t="shared" si="97"/>
        <v>0</v>
      </c>
      <c r="AW325" s="360">
        <f t="shared" si="97"/>
        <v>0</v>
      </c>
      <c r="AX325" s="360">
        <f t="shared" si="97"/>
        <v>0</v>
      </c>
      <c r="AY325" s="360">
        <f t="shared" si="97"/>
        <v>0</v>
      </c>
      <c r="AZ325" s="360">
        <f t="shared" si="97"/>
        <v>0</v>
      </c>
      <c r="BA325" s="360">
        <f t="shared" si="97"/>
        <v>0</v>
      </c>
      <c r="BB325" s="410">
        <f t="shared" si="97"/>
        <v>0</v>
      </c>
      <c r="BC325" s="410">
        <f t="shared" si="97"/>
        <v>0</v>
      </c>
      <c r="BD325" s="360">
        <f t="shared" si="97"/>
        <v>0</v>
      </c>
      <c r="BE325" s="360">
        <f>SUM(BE321:BE324)</f>
        <v>0</v>
      </c>
      <c r="BF325" s="360">
        <f t="shared" si="97"/>
        <v>0</v>
      </c>
      <c r="BG325" s="359">
        <f t="shared" si="97"/>
        <v>0</v>
      </c>
      <c r="BH325" s="359">
        <f t="shared" si="97"/>
        <v>0</v>
      </c>
      <c r="BI325" s="82"/>
      <c r="BK325" s="82"/>
      <c r="BO325"/>
      <c r="BP325"/>
      <c r="BQ325"/>
      <c r="BR325"/>
      <c r="BS325"/>
      <c r="BT325"/>
      <c r="BU325"/>
      <c r="BV325"/>
    </row>
    <row r="326" spans="1:74" s="424" customFormat="1" outlineLevel="1" x14ac:dyDescent="0.25">
      <c r="A326" s="317"/>
      <c r="B326" s="363"/>
      <c r="C326" s="406"/>
      <c r="D326" s="357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408"/>
      <c r="AA326" s="408"/>
      <c r="AB326" s="408"/>
      <c r="AC326" s="358"/>
      <c r="AD326" s="358"/>
      <c r="AE326" s="358"/>
      <c r="AF326" s="358"/>
      <c r="AG326" s="358"/>
      <c r="AH326" s="358"/>
      <c r="AI326" s="358"/>
      <c r="AJ326" s="358"/>
      <c r="AK326" s="358"/>
      <c r="AL326" s="358"/>
      <c r="AM326" s="358"/>
      <c r="AN326" s="358"/>
      <c r="AO326" s="358"/>
      <c r="AP326" s="358"/>
      <c r="AQ326" s="358"/>
      <c r="AR326" s="358"/>
      <c r="AS326" s="358"/>
      <c r="AT326" s="358"/>
      <c r="AU326" s="358"/>
      <c r="AV326" s="408"/>
      <c r="AW326" s="358"/>
      <c r="AX326" s="358"/>
      <c r="AY326" s="358"/>
      <c r="AZ326" s="358"/>
      <c r="BA326" s="358"/>
      <c r="BB326" s="408"/>
      <c r="BC326" s="408"/>
      <c r="BD326" s="358"/>
      <c r="BE326" s="358"/>
      <c r="BF326" s="358"/>
      <c r="BG326" s="357"/>
      <c r="BH326" s="357"/>
      <c r="BI326" s="82"/>
      <c r="BK326" s="82"/>
      <c r="BO326"/>
      <c r="BP326"/>
      <c r="BQ326"/>
      <c r="BR326"/>
      <c r="BS326"/>
      <c r="BT326"/>
      <c r="BU326"/>
      <c r="BV326"/>
    </row>
    <row r="327" spans="1:74" s="424" customFormat="1" outlineLevel="1" x14ac:dyDescent="0.25">
      <c r="A327" s="317"/>
      <c r="B327" s="349" t="s">
        <v>87</v>
      </c>
      <c r="C327" s="406"/>
      <c r="D327" s="351"/>
      <c r="E327" s="317"/>
      <c r="F327" s="317"/>
      <c r="G327" s="317"/>
      <c r="H327" s="317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  <c r="S327" s="317"/>
      <c r="T327" s="317"/>
      <c r="U327" s="317"/>
      <c r="V327" s="317"/>
      <c r="W327" s="317"/>
      <c r="X327" s="317"/>
      <c r="Y327" s="317"/>
      <c r="Z327" s="411"/>
      <c r="AA327" s="411"/>
      <c r="AB327" s="411"/>
      <c r="AC327" s="317"/>
      <c r="AD327" s="317"/>
      <c r="AE327" s="317"/>
      <c r="AF327" s="317"/>
      <c r="AG327" s="317"/>
      <c r="AH327" s="317"/>
      <c r="AI327" s="317"/>
      <c r="AJ327" s="317"/>
      <c r="AK327" s="317"/>
      <c r="AL327" s="317"/>
      <c r="AM327" s="317"/>
      <c r="AN327" s="317"/>
      <c r="AO327" s="317"/>
      <c r="AP327" s="317"/>
      <c r="AQ327" s="317"/>
      <c r="AR327" s="317"/>
      <c r="AS327" s="317"/>
      <c r="AT327" s="317"/>
      <c r="AU327" s="317"/>
      <c r="AV327" s="411"/>
      <c r="AW327" s="317"/>
      <c r="AX327" s="317"/>
      <c r="AY327" s="317"/>
      <c r="AZ327" s="317"/>
      <c r="BA327" s="317"/>
      <c r="BB327" s="411"/>
      <c r="BC327" s="411"/>
      <c r="BD327" s="317"/>
      <c r="BE327" s="317"/>
      <c r="BF327" s="317"/>
      <c r="BG327" s="351"/>
      <c r="BH327" s="351"/>
      <c r="BI327" s="82"/>
      <c r="BK327" s="82"/>
      <c r="BO327"/>
      <c r="BP327"/>
      <c r="BQ327"/>
      <c r="BR327"/>
      <c r="BS327"/>
      <c r="BT327"/>
      <c r="BU327"/>
      <c r="BV327"/>
    </row>
    <row r="328" spans="1:74" s="424" customFormat="1" outlineLevel="1" x14ac:dyDescent="0.25">
      <c r="A328" s="317"/>
      <c r="B328" s="365"/>
      <c r="C328" s="406"/>
      <c r="D328" s="351"/>
      <c r="E328" s="317"/>
      <c r="F328" s="317"/>
      <c r="G328" s="317"/>
      <c r="H328" s="317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  <c r="S328" s="317"/>
      <c r="T328" s="317"/>
      <c r="U328" s="317"/>
      <c r="V328" s="317"/>
      <c r="W328" s="317"/>
      <c r="X328" s="317"/>
      <c r="Y328" s="317"/>
      <c r="Z328" s="411"/>
      <c r="AA328" s="411"/>
      <c r="AB328" s="411"/>
      <c r="AC328" s="317"/>
      <c r="AD328" s="317"/>
      <c r="AE328" s="317"/>
      <c r="AF328" s="317"/>
      <c r="AG328" s="317"/>
      <c r="AH328" s="317"/>
      <c r="AI328" s="317"/>
      <c r="AJ328" s="317"/>
      <c r="AK328" s="317"/>
      <c r="AL328" s="317"/>
      <c r="AM328" s="317"/>
      <c r="AN328" s="317"/>
      <c r="AO328" s="317"/>
      <c r="AP328" s="317"/>
      <c r="AQ328" s="317"/>
      <c r="AR328" s="317"/>
      <c r="AS328" s="317"/>
      <c r="AT328" s="317"/>
      <c r="AU328" s="317"/>
      <c r="AV328" s="411"/>
      <c r="AW328" s="317"/>
      <c r="AX328" s="317"/>
      <c r="AY328" s="317"/>
      <c r="AZ328" s="317"/>
      <c r="BA328" s="317"/>
      <c r="BB328" s="411"/>
      <c r="BC328" s="411"/>
      <c r="BD328" s="317"/>
      <c r="BE328" s="317"/>
      <c r="BF328" s="317"/>
      <c r="BG328" s="351"/>
      <c r="BH328" s="351"/>
      <c r="BI328" s="82"/>
      <c r="BK328" s="82"/>
      <c r="BO328"/>
      <c r="BP328"/>
      <c r="BQ328"/>
      <c r="BR328"/>
      <c r="BS328"/>
      <c r="BT328"/>
      <c r="BU328"/>
      <c r="BV328"/>
    </row>
    <row r="329" spans="1:74" s="424" customFormat="1" outlineLevel="1" x14ac:dyDescent="0.25">
      <c r="A329" s="317"/>
      <c r="B329" s="349" t="s">
        <v>88</v>
      </c>
      <c r="C329" s="406"/>
      <c r="D329" s="351"/>
      <c r="E329" s="317"/>
      <c r="F329" s="317"/>
      <c r="G329" s="317"/>
      <c r="H329" s="317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  <c r="S329" s="317"/>
      <c r="T329" s="317"/>
      <c r="U329" s="317"/>
      <c r="V329" s="317"/>
      <c r="W329" s="317"/>
      <c r="X329" s="317"/>
      <c r="Y329" s="317"/>
      <c r="Z329" s="411"/>
      <c r="AA329" s="411"/>
      <c r="AB329" s="411"/>
      <c r="AC329" s="317"/>
      <c r="AD329" s="317"/>
      <c r="AE329" s="317"/>
      <c r="AF329" s="317"/>
      <c r="AG329" s="317"/>
      <c r="AH329" s="317"/>
      <c r="AI329" s="317"/>
      <c r="AJ329" s="317"/>
      <c r="AK329" s="317"/>
      <c r="AL329" s="317"/>
      <c r="AM329" s="317"/>
      <c r="AN329" s="317"/>
      <c r="AO329" s="317"/>
      <c r="AP329" s="317"/>
      <c r="AQ329" s="317"/>
      <c r="AR329" s="317"/>
      <c r="AS329" s="317"/>
      <c r="AT329" s="317"/>
      <c r="AU329" s="317"/>
      <c r="AV329" s="411"/>
      <c r="AW329" s="317"/>
      <c r="AX329" s="317"/>
      <c r="AY329" s="317"/>
      <c r="AZ329" s="317"/>
      <c r="BA329" s="317"/>
      <c r="BB329" s="411"/>
      <c r="BC329" s="411"/>
      <c r="BD329" s="317"/>
      <c r="BE329" s="317"/>
      <c r="BF329" s="317"/>
      <c r="BG329" s="351"/>
      <c r="BH329" s="351"/>
      <c r="BI329" s="82"/>
      <c r="BK329" s="82"/>
      <c r="BO329"/>
      <c r="BP329"/>
      <c r="BQ329"/>
      <c r="BR329"/>
      <c r="BS329"/>
      <c r="BT329"/>
      <c r="BU329"/>
      <c r="BV329"/>
    </row>
    <row r="330" spans="1:74" s="424" customFormat="1" outlineLevel="1" x14ac:dyDescent="0.25">
      <c r="A330" s="317"/>
      <c r="B330" s="349" t="s">
        <v>89</v>
      </c>
      <c r="C330" s="406"/>
      <c r="D330" s="366"/>
      <c r="E330" s="356"/>
      <c r="F330" s="356"/>
      <c r="G330" s="356"/>
      <c r="H330" s="356"/>
      <c r="I330" s="356"/>
      <c r="J330" s="356"/>
      <c r="K330" s="356"/>
      <c r="L330" s="356"/>
      <c r="M330" s="356"/>
      <c r="N330" s="356"/>
      <c r="O330" s="356"/>
      <c r="P330" s="356"/>
      <c r="Q330" s="356"/>
      <c r="R330" s="356"/>
      <c r="S330" s="356"/>
      <c r="T330" s="356"/>
      <c r="U330" s="356"/>
      <c r="V330" s="356"/>
      <c r="W330" s="356"/>
      <c r="X330" s="356"/>
      <c r="Y330" s="356"/>
      <c r="Z330" s="412"/>
      <c r="AA330" s="412"/>
      <c r="AB330" s="412"/>
      <c r="AC330" s="356"/>
      <c r="AD330" s="356"/>
      <c r="AE330" s="356"/>
      <c r="AF330" s="356"/>
      <c r="AG330" s="356"/>
      <c r="AH330" s="356"/>
      <c r="AI330" s="356"/>
      <c r="AJ330" s="356"/>
      <c r="AK330" s="356"/>
      <c r="AL330" s="356"/>
      <c r="AM330" s="356"/>
      <c r="AN330" s="356"/>
      <c r="AO330" s="356"/>
      <c r="AP330" s="356"/>
      <c r="AQ330" s="356"/>
      <c r="AR330" s="356"/>
      <c r="AS330" s="356"/>
      <c r="AT330" s="356"/>
      <c r="AU330" s="356"/>
      <c r="AV330" s="412">
        <f>SUM('SEF-32 pg 35-45'!$O$18:$O$19)</f>
        <v>0</v>
      </c>
      <c r="AW330" s="356"/>
      <c r="AX330" s="356"/>
      <c r="AY330" s="356"/>
      <c r="AZ330" s="356"/>
      <c r="BA330" s="356"/>
      <c r="BB330" s="412"/>
      <c r="BC330" s="412"/>
      <c r="BD330" s="356"/>
      <c r="BE330" s="356"/>
      <c r="BF330" s="356"/>
      <c r="BG330" s="366">
        <f>SUM(E330:BF330)</f>
        <v>0</v>
      </c>
      <c r="BH330" s="366">
        <f>+BG330+D330</f>
        <v>0</v>
      </c>
      <c r="BI330" s="82"/>
      <c r="BK330" s="82"/>
      <c r="BO330"/>
      <c r="BP330"/>
      <c r="BQ330"/>
      <c r="BR330"/>
      <c r="BS330"/>
      <c r="BT330"/>
      <c r="BU330"/>
      <c r="BV330"/>
    </row>
    <row r="331" spans="1:74" s="424" customFormat="1" outlineLevel="1" x14ac:dyDescent="0.25">
      <c r="A331" s="317"/>
      <c r="B331" s="349" t="s">
        <v>90</v>
      </c>
      <c r="C331" s="406"/>
      <c r="D331" s="357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408"/>
      <c r="AA331" s="408"/>
      <c r="AB331" s="408"/>
      <c r="AC331" s="358"/>
      <c r="AD331" s="358"/>
      <c r="AE331" s="358"/>
      <c r="AF331" s="358"/>
      <c r="AG331" s="358"/>
      <c r="AH331" s="358"/>
      <c r="AI331" s="358"/>
      <c r="AJ331" s="358"/>
      <c r="AK331" s="358"/>
      <c r="AL331" s="358"/>
      <c r="AM331" s="358"/>
      <c r="AN331" s="358"/>
      <c r="AO331" s="358"/>
      <c r="AP331" s="358"/>
      <c r="AQ331" s="358"/>
      <c r="AR331" s="358"/>
      <c r="AS331" s="358"/>
      <c r="AT331" s="358"/>
      <c r="AU331" s="358"/>
      <c r="AV331" s="408">
        <f>SUM('SEF-32 pg 35-45'!$O$20:$O$22,'SEF-32 pg 35-45'!$O$32)</f>
        <v>0</v>
      </c>
      <c r="AW331" s="358"/>
      <c r="AX331" s="358"/>
      <c r="AY331" s="358"/>
      <c r="AZ331" s="358"/>
      <c r="BA331" s="358"/>
      <c r="BB331" s="408"/>
      <c r="BC331" s="408"/>
      <c r="BD331" s="358"/>
      <c r="BE331" s="358"/>
      <c r="BF331" s="358"/>
      <c r="BG331" s="357">
        <f>SUM(E331:BF331)</f>
        <v>0</v>
      </c>
      <c r="BH331" s="357">
        <f>+BG331+D331</f>
        <v>0</v>
      </c>
      <c r="BI331" s="82"/>
      <c r="BK331" s="82"/>
      <c r="BO331"/>
      <c r="BP331"/>
      <c r="BQ331"/>
      <c r="BR331"/>
      <c r="BS331"/>
      <c r="BT331"/>
      <c r="BU331"/>
      <c r="BV331"/>
    </row>
    <row r="332" spans="1:74" outlineLevel="1" x14ac:dyDescent="0.25">
      <c r="B332" s="349" t="s">
        <v>91</v>
      </c>
      <c r="C332" s="406"/>
      <c r="D332" s="357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408"/>
      <c r="AA332" s="408"/>
      <c r="AB332" s="408"/>
      <c r="AC332" s="358"/>
      <c r="AD332" s="358"/>
      <c r="AE332" s="358"/>
      <c r="AF332" s="358"/>
      <c r="AG332" s="358"/>
      <c r="AH332" s="358"/>
      <c r="AI332" s="358"/>
      <c r="AJ332" s="358"/>
      <c r="AK332" s="358"/>
      <c r="AL332" s="358"/>
      <c r="AM332" s="358"/>
      <c r="AN332" s="358"/>
      <c r="AO332" s="358"/>
      <c r="AP332" s="358"/>
      <c r="AQ332" s="358"/>
      <c r="AR332" s="358"/>
      <c r="AS332" s="358"/>
      <c r="AT332" s="358"/>
      <c r="AU332" s="358"/>
      <c r="AV332" s="408">
        <f>+'SEF-32 pg 35-45'!$O$23</f>
        <v>0</v>
      </c>
      <c r="AW332" s="358"/>
      <c r="AX332" s="358"/>
      <c r="AY332" s="358"/>
      <c r="AZ332" s="358"/>
      <c r="BA332" s="358"/>
      <c r="BB332" s="408"/>
      <c r="BC332" s="408"/>
      <c r="BD332" s="358"/>
      <c r="BE332" s="358"/>
      <c r="BF332" s="358"/>
      <c r="BG332" s="357">
        <f>SUM(E332:BF332)</f>
        <v>0</v>
      </c>
      <c r="BH332" s="357">
        <f>+BG332+D332</f>
        <v>0</v>
      </c>
      <c r="BI332" s="82"/>
      <c r="BK332" s="82"/>
    </row>
    <row r="333" spans="1:74" outlineLevel="1" x14ac:dyDescent="0.25">
      <c r="B333" s="365" t="s">
        <v>92</v>
      </c>
      <c r="C333" s="406"/>
      <c r="D333" s="357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408"/>
      <c r="AA333" s="408"/>
      <c r="AB333" s="408"/>
      <c r="AC333" s="358"/>
      <c r="AD333" s="358"/>
      <c r="AE333" s="358"/>
      <c r="AF333" s="358"/>
      <c r="AG333" s="358"/>
      <c r="AH333" s="358"/>
      <c r="AI333" s="358"/>
      <c r="AJ333" s="358"/>
      <c r="AK333" s="358"/>
      <c r="AL333" s="358"/>
      <c r="AM333" s="358"/>
      <c r="AN333" s="358"/>
      <c r="AO333" s="358"/>
      <c r="AP333" s="358"/>
      <c r="AQ333" s="358"/>
      <c r="AR333" s="358"/>
      <c r="AS333" s="358"/>
      <c r="AT333" s="358"/>
      <c r="AU333" s="358"/>
      <c r="AV333" s="408"/>
      <c r="AW333" s="358"/>
      <c r="AX333" s="358"/>
      <c r="AY333" s="358"/>
      <c r="AZ333" s="358"/>
      <c r="BA333" s="358"/>
      <c r="BB333" s="408"/>
      <c r="BC333" s="408"/>
      <c r="BD333" s="358"/>
      <c r="BE333" s="358"/>
      <c r="BF333" s="358"/>
      <c r="BG333" s="357">
        <f>SUM(E333:BF333)</f>
        <v>0</v>
      </c>
      <c r="BH333" s="357">
        <f>+BG333+D333</f>
        <v>0</v>
      </c>
      <c r="BI333" s="82"/>
      <c r="BK333" s="82"/>
    </row>
    <row r="334" spans="1:74" outlineLevel="1" x14ac:dyDescent="0.25">
      <c r="B334" s="349" t="s">
        <v>93</v>
      </c>
      <c r="C334" s="406"/>
      <c r="D334" s="367"/>
      <c r="E334" s="368">
        <f t="shared" ref="E334:BH334" si="98">SUM(E329:E333)</f>
        <v>0</v>
      </c>
      <c r="F334" s="368">
        <f t="shared" si="98"/>
        <v>0</v>
      </c>
      <c r="G334" s="368">
        <f t="shared" si="98"/>
        <v>0</v>
      </c>
      <c r="H334" s="368">
        <f t="shared" si="98"/>
        <v>0</v>
      </c>
      <c r="I334" s="368">
        <f t="shared" si="98"/>
        <v>0</v>
      </c>
      <c r="J334" s="368">
        <f t="shared" si="98"/>
        <v>0</v>
      </c>
      <c r="K334" s="368">
        <f t="shared" si="98"/>
        <v>0</v>
      </c>
      <c r="L334" s="368">
        <f t="shared" si="98"/>
        <v>0</v>
      </c>
      <c r="M334" s="368">
        <f t="shared" si="98"/>
        <v>0</v>
      </c>
      <c r="N334" s="368">
        <f t="shared" si="98"/>
        <v>0</v>
      </c>
      <c r="O334" s="368">
        <f t="shared" si="98"/>
        <v>0</v>
      </c>
      <c r="P334" s="368">
        <f t="shared" si="98"/>
        <v>0</v>
      </c>
      <c r="Q334" s="368">
        <f t="shared" si="98"/>
        <v>0</v>
      </c>
      <c r="R334" s="368">
        <f t="shared" si="98"/>
        <v>0</v>
      </c>
      <c r="S334" s="368">
        <f t="shared" si="98"/>
        <v>0</v>
      </c>
      <c r="T334" s="368">
        <f t="shared" si="98"/>
        <v>0</v>
      </c>
      <c r="U334" s="368">
        <f t="shared" si="98"/>
        <v>0</v>
      </c>
      <c r="V334" s="368">
        <f t="shared" si="98"/>
        <v>0</v>
      </c>
      <c r="W334" s="368">
        <f t="shared" si="98"/>
        <v>0</v>
      </c>
      <c r="X334" s="368">
        <f t="shared" si="98"/>
        <v>0</v>
      </c>
      <c r="Y334" s="368">
        <f t="shared" si="98"/>
        <v>0</v>
      </c>
      <c r="Z334" s="409">
        <f t="shared" si="98"/>
        <v>0</v>
      </c>
      <c r="AA334" s="409">
        <f t="shared" si="98"/>
        <v>0</v>
      </c>
      <c r="AB334" s="409">
        <f t="shared" si="98"/>
        <v>0</v>
      </c>
      <c r="AC334" s="368">
        <f t="shared" si="98"/>
        <v>0</v>
      </c>
      <c r="AD334" s="368">
        <f t="shared" si="98"/>
        <v>0</v>
      </c>
      <c r="AE334" s="368">
        <f t="shared" si="98"/>
        <v>0</v>
      </c>
      <c r="AF334" s="368">
        <f t="shared" si="98"/>
        <v>0</v>
      </c>
      <c r="AG334" s="368">
        <f t="shared" si="98"/>
        <v>0</v>
      </c>
      <c r="AH334" s="368">
        <f t="shared" si="98"/>
        <v>0</v>
      </c>
      <c r="AI334" s="368">
        <f t="shared" si="98"/>
        <v>0</v>
      </c>
      <c r="AJ334" s="368">
        <f t="shared" si="98"/>
        <v>0</v>
      </c>
      <c r="AK334" s="368"/>
      <c r="AL334" s="368"/>
      <c r="AM334" s="368"/>
      <c r="AN334" s="368"/>
      <c r="AO334" s="368"/>
      <c r="AP334" s="368"/>
      <c r="AQ334" s="368"/>
      <c r="AR334" s="368"/>
      <c r="AS334" s="368"/>
      <c r="AT334" s="368"/>
      <c r="AU334" s="368"/>
      <c r="AV334" s="409">
        <f>SUM(AV329:AV333)</f>
        <v>0</v>
      </c>
      <c r="AW334" s="368">
        <f t="shared" si="98"/>
        <v>0</v>
      </c>
      <c r="AX334" s="368">
        <f t="shared" si="98"/>
        <v>0</v>
      </c>
      <c r="AY334" s="368">
        <f t="shared" si="98"/>
        <v>0</v>
      </c>
      <c r="AZ334" s="368">
        <f t="shared" si="98"/>
        <v>0</v>
      </c>
      <c r="BA334" s="368">
        <f t="shared" si="98"/>
        <v>0</v>
      </c>
      <c r="BB334" s="409">
        <f t="shared" si="98"/>
        <v>0</v>
      </c>
      <c r="BC334" s="409">
        <f t="shared" si="98"/>
        <v>0</v>
      </c>
      <c r="BD334" s="368">
        <f t="shared" si="98"/>
        <v>0</v>
      </c>
      <c r="BE334" s="368">
        <f>SUM(BE329:BE333)</f>
        <v>0</v>
      </c>
      <c r="BF334" s="368">
        <f t="shared" si="98"/>
        <v>0</v>
      </c>
      <c r="BG334" s="367">
        <f t="shared" si="98"/>
        <v>0</v>
      </c>
      <c r="BH334" s="367">
        <f t="shared" si="98"/>
        <v>0</v>
      </c>
      <c r="BI334" s="82"/>
      <c r="BK334" s="82"/>
    </row>
    <row r="335" spans="1:74" outlineLevel="1" x14ac:dyDescent="0.25">
      <c r="B335" s="349"/>
      <c r="C335" s="406"/>
      <c r="D335" s="366"/>
      <c r="E335" s="356"/>
      <c r="F335" s="356"/>
      <c r="G335" s="356"/>
      <c r="H335" s="356"/>
      <c r="I335" s="356"/>
      <c r="J335" s="356"/>
      <c r="K335" s="356"/>
      <c r="L335" s="356"/>
      <c r="M335" s="356"/>
      <c r="N335" s="356"/>
      <c r="O335" s="356"/>
      <c r="P335" s="356"/>
      <c r="Q335" s="356"/>
      <c r="R335" s="356"/>
      <c r="S335" s="356"/>
      <c r="T335" s="356"/>
      <c r="U335" s="356"/>
      <c r="V335" s="356"/>
      <c r="W335" s="356"/>
      <c r="X335" s="356"/>
      <c r="Y335" s="356"/>
      <c r="Z335" s="412"/>
      <c r="AA335" s="412"/>
      <c r="AB335" s="412"/>
      <c r="AC335" s="356"/>
      <c r="AD335" s="356"/>
      <c r="AE335" s="356"/>
      <c r="AF335" s="356"/>
      <c r="AG335" s="356"/>
      <c r="AH335" s="356"/>
      <c r="AI335" s="356"/>
      <c r="AJ335" s="356"/>
      <c r="AK335" s="356"/>
      <c r="AL335" s="356"/>
      <c r="AM335" s="356"/>
      <c r="AN335" s="356"/>
      <c r="AO335" s="356"/>
      <c r="AP335" s="356"/>
      <c r="AQ335" s="356"/>
      <c r="AR335" s="356"/>
      <c r="AS335" s="356"/>
      <c r="AT335" s="356"/>
      <c r="AU335" s="356"/>
      <c r="AV335" s="412"/>
      <c r="AW335" s="356"/>
      <c r="AX335" s="356"/>
      <c r="AY335" s="356"/>
      <c r="AZ335" s="356"/>
      <c r="BA335" s="356"/>
      <c r="BB335" s="412"/>
      <c r="BC335" s="412"/>
      <c r="BD335" s="356"/>
      <c r="BE335" s="356"/>
      <c r="BF335" s="356"/>
      <c r="BG335" s="366"/>
      <c r="BH335" s="366"/>
      <c r="BI335" s="82"/>
      <c r="BK335" s="82"/>
    </row>
    <row r="336" spans="1:74" outlineLevel="1" x14ac:dyDescent="0.25">
      <c r="B336" s="369" t="s">
        <v>94</v>
      </c>
      <c r="C336" s="406"/>
      <c r="D336" s="357"/>
      <c r="E336" s="356"/>
      <c r="F336" s="356"/>
      <c r="G336" s="356"/>
      <c r="H336" s="356"/>
      <c r="I336" s="356"/>
      <c r="J336" s="356"/>
      <c r="K336" s="356"/>
      <c r="L336" s="356"/>
      <c r="M336" s="356"/>
      <c r="N336" s="356"/>
      <c r="O336" s="358"/>
      <c r="P336" s="356"/>
      <c r="Q336" s="356"/>
      <c r="R336" s="356"/>
      <c r="S336" s="356"/>
      <c r="T336" s="356"/>
      <c r="U336" s="356"/>
      <c r="V336" s="356"/>
      <c r="W336" s="356"/>
      <c r="X336" s="356"/>
      <c r="Y336" s="356"/>
      <c r="Z336" s="408">
        <f>'SEF-32 pg 1-34, 46'!OA18</f>
        <v>0</v>
      </c>
      <c r="AA336" s="412"/>
      <c r="AB336" s="412"/>
      <c r="AC336" s="356"/>
      <c r="AD336" s="356"/>
      <c r="AE336" s="356"/>
      <c r="AF336" s="356"/>
      <c r="AG336" s="356"/>
      <c r="AH336" s="356"/>
      <c r="AI336" s="356"/>
      <c r="AJ336" s="356"/>
      <c r="AK336" s="356"/>
      <c r="AL336" s="356"/>
      <c r="AM336" s="356"/>
      <c r="AN336" s="356"/>
      <c r="AO336" s="356"/>
      <c r="AP336" s="356"/>
      <c r="AQ336" s="356"/>
      <c r="AR336" s="356"/>
      <c r="AS336" s="356"/>
      <c r="AT336" s="356"/>
      <c r="AU336" s="356"/>
      <c r="AV336" s="412"/>
      <c r="AW336" s="356"/>
      <c r="AX336" s="356"/>
      <c r="AY336" s="356"/>
      <c r="AZ336" s="356"/>
      <c r="BA336" s="356"/>
      <c r="BB336" s="412"/>
      <c r="BC336" s="412"/>
      <c r="BD336" s="356"/>
      <c r="BE336" s="356"/>
      <c r="BF336" s="356"/>
      <c r="BG336" s="357">
        <f t="shared" ref="BG336:BG349" si="99">SUM(E336:BF336)</f>
        <v>0</v>
      </c>
      <c r="BH336" s="366">
        <f t="shared" ref="BH336:BH349" si="100">+BG336+D336</f>
        <v>0</v>
      </c>
      <c r="BI336" s="82"/>
      <c r="BK336" s="82"/>
    </row>
    <row r="337" spans="2:63" outlineLevel="1" x14ac:dyDescent="0.25">
      <c r="B337" s="349" t="s">
        <v>95</v>
      </c>
      <c r="C337" s="406"/>
      <c r="D337" s="357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408">
        <f>'SEF-32 pg 1-34, 46'!OA19</f>
        <v>0</v>
      </c>
      <c r="AA337" s="408"/>
      <c r="AB337" s="408"/>
      <c r="AC337" s="358"/>
      <c r="AD337" s="358"/>
      <c r="AE337" s="358"/>
      <c r="AF337" s="358"/>
      <c r="AG337" s="358"/>
      <c r="AH337" s="358"/>
      <c r="AI337" s="358"/>
      <c r="AJ337" s="358"/>
      <c r="AK337" s="358"/>
      <c r="AL337" s="358"/>
      <c r="AM337" s="358"/>
      <c r="AN337" s="358"/>
      <c r="AO337" s="358"/>
      <c r="AP337" s="358"/>
      <c r="AQ337" s="358"/>
      <c r="AR337" s="358"/>
      <c r="AS337" s="358"/>
      <c r="AT337" s="358"/>
      <c r="AU337" s="358"/>
      <c r="AV337" s="408"/>
      <c r="AW337" s="358"/>
      <c r="AX337" s="358"/>
      <c r="AY337" s="358"/>
      <c r="AZ337" s="358"/>
      <c r="BA337" s="358"/>
      <c r="BB337" s="408"/>
      <c r="BC337" s="408"/>
      <c r="BD337" s="358"/>
      <c r="BE337" s="358"/>
      <c r="BF337" s="358"/>
      <c r="BG337" s="357">
        <f t="shared" si="99"/>
        <v>0</v>
      </c>
      <c r="BH337" s="357">
        <f t="shared" si="100"/>
        <v>0</v>
      </c>
      <c r="BI337" s="82"/>
      <c r="BK337" s="82"/>
    </row>
    <row r="338" spans="2:63" outlineLevel="1" x14ac:dyDescent="0.25">
      <c r="B338" s="349" t="s">
        <v>96</v>
      </c>
      <c r="C338" s="406"/>
      <c r="D338" s="357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408">
        <f>'SEF-32 pg 1-34, 46'!OA20</f>
        <v>0</v>
      </c>
      <c r="AA338" s="408"/>
      <c r="AB338" s="408"/>
      <c r="AC338" s="358"/>
      <c r="AD338" s="358"/>
      <c r="AE338" s="358"/>
      <c r="AF338" s="358"/>
      <c r="AG338" s="358"/>
      <c r="AH338" s="358"/>
      <c r="AI338" s="358"/>
      <c r="AJ338" s="358"/>
      <c r="AK338" s="358"/>
      <c r="AL338" s="358"/>
      <c r="AM338" s="358"/>
      <c r="AN338" s="358"/>
      <c r="AO338" s="358"/>
      <c r="AP338" s="358"/>
      <c r="AQ338" s="358"/>
      <c r="AR338" s="358"/>
      <c r="AS338" s="358"/>
      <c r="AT338" s="358"/>
      <c r="AU338" s="358"/>
      <c r="AV338" s="408"/>
      <c r="AW338" s="358"/>
      <c r="AX338" s="358"/>
      <c r="AY338" s="358"/>
      <c r="AZ338" s="358"/>
      <c r="BA338" s="358"/>
      <c r="BB338" s="408"/>
      <c r="BC338" s="408"/>
      <c r="BD338" s="358"/>
      <c r="BE338" s="358"/>
      <c r="BF338" s="358"/>
      <c r="BG338" s="357">
        <f t="shared" si="99"/>
        <v>0</v>
      </c>
      <c r="BH338" s="357">
        <f t="shared" si="100"/>
        <v>0</v>
      </c>
      <c r="BI338" s="82"/>
      <c r="BK338" s="82"/>
    </row>
    <row r="339" spans="2:63" outlineLevel="1" x14ac:dyDescent="0.25">
      <c r="B339" s="349" t="s">
        <v>97</v>
      </c>
      <c r="C339" s="406"/>
      <c r="D339" s="357"/>
      <c r="E339" s="408"/>
      <c r="F339" s="408"/>
      <c r="G339" s="408"/>
      <c r="H339" s="408"/>
      <c r="I339" s="40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408"/>
      <c r="AA339" s="408"/>
      <c r="AB339" s="408"/>
      <c r="AC339" s="358"/>
      <c r="AD339" s="358"/>
      <c r="AE339" s="358"/>
      <c r="AF339" s="358"/>
      <c r="AG339" s="358"/>
      <c r="AH339" s="358"/>
      <c r="AI339" s="358"/>
      <c r="AJ339" s="358"/>
      <c r="AK339" s="358"/>
      <c r="AL339" s="358"/>
      <c r="AM339" s="358"/>
      <c r="AN339" s="358"/>
      <c r="AO339" s="358"/>
      <c r="AP339" s="358"/>
      <c r="AQ339" s="358"/>
      <c r="AR339" s="358"/>
      <c r="AS339" s="358"/>
      <c r="AT339" s="358"/>
      <c r="AU339" s="358"/>
      <c r="AV339" s="408"/>
      <c r="AW339" s="358"/>
      <c r="AX339" s="358"/>
      <c r="AY339" s="358"/>
      <c r="AZ339" s="358"/>
      <c r="BA339" s="358"/>
      <c r="BB339" s="408"/>
      <c r="BC339" s="408"/>
      <c r="BD339" s="358"/>
      <c r="BE339" s="358"/>
      <c r="BF339" s="358"/>
      <c r="BG339" s="357">
        <f t="shared" si="99"/>
        <v>0</v>
      </c>
      <c r="BH339" s="357">
        <f t="shared" si="100"/>
        <v>0</v>
      </c>
      <c r="BI339" s="82"/>
      <c r="BK339" s="82"/>
    </row>
    <row r="340" spans="2:63" outlineLevel="1" x14ac:dyDescent="0.25">
      <c r="B340" s="349" t="s">
        <v>98</v>
      </c>
      <c r="C340" s="406"/>
      <c r="D340" s="357"/>
      <c r="E340" s="408"/>
      <c r="F340" s="408"/>
      <c r="G340" s="408"/>
      <c r="H340" s="408"/>
      <c r="I340" s="408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408"/>
      <c r="AA340" s="408"/>
      <c r="AB340" s="408"/>
      <c r="AC340" s="358"/>
      <c r="AD340" s="358"/>
      <c r="AE340" s="358"/>
      <c r="AF340" s="358"/>
      <c r="AG340" s="358"/>
      <c r="AH340" s="358"/>
      <c r="AI340" s="358"/>
      <c r="AJ340" s="358"/>
      <c r="AK340" s="358"/>
      <c r="AL340" s="358"/>
      <c r="AM340" s="358"/>
      <c r="AN340" s="358"/>
      <c r="AO340" s="358"/>
      <c r="AP340" s="358"/>
      <c r="AQ340" s="358"/>
      <c r="AR340" s="358"/>
      <c r="AS340" s="358"/>
      <c r="AT340" s="358"/>
      <c r="AU340" s="358"/>
      <c r="AV340" s="408"/>
      <c r="AW340" s="358"/>
      <c r="AX340" s="358"/>
      <c r="AY340" s="358"/>
      <c r="AZ340" s="358"/>
      <c r="BA340" s="358"/>
      <c r="BB340" s="408"/>
      <c r="BC340" s="408"/>
      <c r="BD340" s="358"/>
      <c r="BE340" s="358"/>
      <c r="BF340" s="358"/>
      <c r="BG340" s="357">
        <f t="shared" si="99"/>
        <v>0</v>
      </c>
      <c r="BH340" s="357">
        <f t="shared" si="100"/>
        <v>0</v>
      </c>
      <c r="BI340" s="82"/>
      <c r="BK340" s="82"/>
    </row>
    <row r="341" spans="2:63" outlineLevel="1" x14ac:dyDescent="0.25">
      <c r="B341" s="349" t="s">
        <v>99</v>
      </c>
      <c r="C341" s="406"/>
      <c r="D341" s="357"/>
      <c r="E341" s="408"/>
      <c r="F341" s="408"/>
      <c r="G341" s="408"/>
      <c r="H341" s="408"/>
      <c r="I341" s="408"/>
      <c r="J341" s="358"/>
      <c r="K341" s="358"/>
      <c r="L341" s="358"/>
      <c r="M341" s="358"/>
      <c r="N341" s="358"/>
      <c r="O341" s="358"/>
      <c r="P341" s="358"/>
      <c r="Q341" s="358"/>
      <c r="R341" s="358"/>
      <c r="S341" s="358"/>
      <c r="T341" s="358"/>
      <c r="U341" s="370"/>
      <c r="V341" s="358"/>
      <c r="W341" s="358"/>
      <c r="X341" s="358"/>
      <c r="Y341" s="358"/>
      <c r="Z341" s="408"/>
      <c r="AA341" s="408"/>
      <c r="AB341" s="408"/>
      <c r="AC341" s="358"/>
      <c r="AD341" s="358"/>
      <c r="AE341" s="358"/>
      <c r="AF341" s="358"/>
      <c r="AG341" s="358"/>
      <c r="AH341" s="358"/>
      <c r="AI341" s="358"/>
      <c r="AJ341" s="358"/>
      <c r="AK341" s="358"/>
      <c r="AL341" s="358"/>
      <c r="AM341" s="358"/>
      <c r="AN341" s="358"/>
      <c r="AO341" s="358"/>
      <c r="AP341" s="358"/>
      <c r="AQ341" s="358"/>
      <c r="AR341" s="358"/>
      <c r="AS341" s="358"/>
      <c r="AT341" s="358"/>
      <c r="AU341" s="358"/>
      <c r="AV341" s="408"/>
      <c r="AW341" s="358"/>
      <c r="AX341" s="358"/>
      <c r="AY341" s="358"/>
      <c r="AZ341" s="358"/>
      <c r="BA341" s="358"/>
      <c r="BB341" s="408"/>
      <c r="BC341" s="408"/>
      <c r="BD341" s="358"/>
      <c r="BE341" s="358"/>
      <c r="BF341" s="358"/>
      <c r="BG341" s="357">
        <f t="shared" si="99"/>
        <v>0</v>
      </c>
      <c r="BH341" s="357">
        <f t="shared" si="100"/>
        <v>0</v>
      </c>
      <c r="BI341" s="82"/>
      <c r="BK341" s="82"/>
    </row>
    <row r="342" spans="2:63" outlineLevel="1" x14ac:dyDescent="0.25">
      <c r="B342" s="349" t="s">
        <v>100</v>
      </c>
      <c r="C342" s="406"/>
      <c r="D342" s="357"/>
      <c r="E342" s="408"/>
      <c r="F342" s="408"/>
      <c r="G342" s="408"/>
      <c r="H342" s="408"/>
      <c r="I342" s="408"/>
      <c r="J342" s="358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408"/>
      <c r="AA342" s="408"/>
      <c r="AB342" s="408"/>
      <c r="AC342" s="358"/>
      <c r="AD342" s="358"/>
      <c r="AE342" s="358"/>
      <c r="AF342" s="358"/>
      <c r="AG342" s="358"/>
      <c r="AH342" s="358"/>
      <c r="AI342" s="358"/>
      <c r="AJ342" s="358"/>
      <c r="AK342" s="358"/>
      <c r="AL342" s="358"/>
      <c r="AM342" s="358"/>
      <c r="AN342" s="358"/>
      <c r="AO342" s="358"/>
      <c r="AP342" s="358"/>
      <c r="AQ342" s="358"/>
      <c r="AR342" s="358"/>
      <c r="AS342" s="358"/>
      <c r="AT342" s="358"/>
      <c r="AU342" s="358"/>
      <c r="AV342" s="408"/>
      <c r="AW342" s="358"/>
      <c r="AX342" s="358"/>
      <c r="AY342" s="358"/>
      <c r="AZ342" s="358"/>
      <c r="BA342" s="358"/>
      <c r="BB342" s="408"/>
      <c r="BC342" s="408"/>
      <c r="BD342" s="358"/>
      <c r="BE342" s="358"/>
      <c r="BF342" s="358"/>
      <c r="BG342" s="357">
        <f t="shared" si="99"/>
        <v>0</v>
      </c>
      <c r="BH342" s="357">
        <f t="shared" si="100"/>
        <v>0</v>
      </c>
      <c r="BI342" s="82"/>
      <c r="BK342" s="82"/>
    </row>
    <row r="343" spans="2:63" outlineLevel="1" x14ac:dyDescent="0.25">
      <c r="B343" s="349" t="s">
        <v>101</v>
      </c>
      <c r="C343" s="406"/>
      <c r="D343" s="357"/>
      <c r="E343" s="411"/>
      <c r="F343" s="411"/>
      <c r="G343" s="411"/>
      <c r="H343" s="411"/>
      <c r="I343" s="411"/>
      <c r="O343" s="358"/>
      <c r="Y343" s="358"/>
      <c r="Z343" s="411"/>
      <c r="AA343" s="408"/>
      <c r="AB343" s="411"/>
      <c r="AE343" s="382"/>
      <c r="AF343" s="382"/>
      <c r="AG343" s="382"/>
      <c r="AH343" s="382"/>
      <c r="AI343" s="382"/>
      <c r="AJ343" s="382"/>
      <c r="AK343" s="382"/>
      <c r="AL343" s="382"/>
      <c r="AM343" s="382"/>
      <c r="AN343" s="382"/>
      <c r="AO343" s="382"/>
      <c r="AP343" s="382"/>
      <c r="AQ343" s="382"/>
      <c r="AR343" s="382"/>
      <c r="AS343" s="382"/>
      <c r="AT343" s="382"/>
      <c r="AU343" s="382"/>
      <c r="AV343" s="414"/>
      <c r="AZ343" s="356"/>
      <c r="BB343" s="408"/>
      <c r="BC343" s="411"/>
      <c r="BG343" s="357">
        <f t="shared" si="99"/>
        <v>0</v>
      </c>
      <c r="BH343" s="357">
        <f t="shared" si="100"/>
        <v>0</v>
      </c>
      <c r="BI343" s="82"/>
      <c r="BK343" s="82"/>
    </row>
    <row r="344" spans="2:63" outlineLevel="1" x14ac:dyDescent="0.25">
      <c r="B344" s="349" t="s">
        <v>102</v>
      </c>
      <c r="C344" s="406"/>
      <c r="D344" s="357"/>
      <c r="E344" s="408"/>
      <c r="F344" s="408"/>
      <c r="G344" s="408"/>
      <c r="H344" s="408"/>
      <c r="I344" s="408"/>
      <c r="J344" s="358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408"/>
      <c r="AA344" s="408"/>
      <c r="AB344" s="408"/>
      <c r="AC344" s="358"/>
      <c r="AD344" s="358"/>
      <c r="AE344" s="358"/>
      <c r="AF344" s="358"/>
      <c r="AG344" s="358"/>
      <c r="AH344" s="358"/>
      <c r="AI344" s="358"/>
      <c r="AJ344" s="358"/>
      <c r="AK344" s="358"/>
      <c r="AL344" s="358"/>
      <c r="AM344" s="358"/>
      <c r="AN344" s="358"/>
      <c r="AO344" s="358"/>
      <c r="AP344" s="358"/>
      <c r="AQ344" s="358"/>
      <c r="AR344" s="358"/>
      <c r="AS344" s="358"/>
      <c r="AT344" s="358"/>
      <c r="AU344" s="358"/>
      <c r="AV344" s="408"/>
      <c r="AW344" s="358"/>
      <c r="AX344" s="358"/>
      <c r="AY344" s="358"/>
      <c r="AZ344" s="358"/>
      <c r="BA344" s="358"/>
      <c r="BB344" s="408"/>
      <c r="BC344" s="408"/>
      <c r="BD344" s="358"/>
      <c r="BE344" s="358"/>
      <c r="BF344" s="358"/>
      <c r="BG344" s="357">
        <f t="shared" si="99"/>
        <v>0</v>
      </c>
      <c r="BH344" s="357">
        <f t="shared" si="100"/>
        <v>0</v>
      </c>
      <c r="BI344" s="82"/>
      <c r="BK344" s="82"/>
    </row>
    <row r="345" spans="2:63" outlineLevel="1" x14ac:dyDescent="0.25">
      <c r="B345" s="369" t="s">
        <v>103</v>
      </c>
      <c r="C345" s="406"/>
      <c r="D345" s="357"/>
      <c r="E345" s="408"/>
      <c r="F345" s="408"/>
      <c r="G345" s="408"/>
      <c r="H345" s="408"/>
      <c r="I345" s="40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408"/>
      <c r="AA345" s="408"/>
      <c r="AB345" s="408"/>
      <c r="AC345" s="358"/>
      <c r="AD345" s="358"/>
      <c r="AE345" s="358"/>
      <c r="AF345" s="358"/>
      <c r="AG345" s="358"/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408"/>
      <c r="AW345" s="358"/>
      <c r="AX345" s="358"/>
      <c r="AY345" s="358"/>
      <c r="AZ345" s="358"/>
      <c r="BA345" s="408"/>
      <c r="BB345" s="408"/>
      <c r="BC345" s="408"/>
      <c r="BD345" s="358"/>
      <c r="BE345" s="358"/>
      <c r="BF345" s="358"/>
      <c r="BG345" s="357">
        <f t="shared" si="99"/>
        <v>0</v>
      </c>
      <c r="BH345" s="357">
        <f t="shared" si="100"/>
        <v>0</v>
      </c>
      <c r="BI345" s="82"/>
      <c r="BK345" s="82"/>
    </row>
    <row r="346" spans="2:63" outlineLevel="1" x14ac:dyDescent="0.25">
      <c r="B346" s="349" t="s">
        <v>104</v>
      </c>
      <c r="C346" s="406"/>
      <c r="D346" s="357"/>
      <c r="E346" s="408"/>
      <c r="F346" s="408"/>
      <c r="G346" s="408"/>
      <c r="H346" s="408"/>
      <c r="I346" s="408"/>
      <c r="J346" s="358"/>
      <c r="K346" s="358"/>
      <c r="L346" s="358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  <c r="Y346" s="358"/>
      <c r="Z346" s="408"/>
      <c r="AA346" s="408"/>
      <c r="AB346" s="408"/>
      <c r="AC346" s="358"/>
      <c r="AD346" s="358"/>
      <c r="AE346" s="358"/>
      <c r="AF346" s="358"/>
      <c r="AG346" s="358"/>
      <c r="AH346" s="358"/>
      <c r="AI346" s="358"/>
      <c r="AJ346" s="358"/>
      <c r="AK346" s="358"/>
      <c r="AL346" s="358"/>
      <c r="AM346" s="358"/>
      <c r="AN346" s="358"/>
      <c r="AO346" s="358"/>
      <c r="AP346" s="358"/>
      <c r="AQ346" s="358"/>
      <c r="AR346" s="358"/>
      <c r="AS346" s="358"/>
      <c r="AT346" s="358"/>
      <c r="AU346" s="358"/>
      <c r="AV346" s="408"/>
      <c r="AW346" s="358"/>
      <c r="AX346" s="358"/>
      <c r="AY346" s="358"/>
      <c r="AZ346" s="358"/>
      <c r="BA346" s="408"/>
      <c r="BB346" s="408"/>
      <c r="BC346" s="408"/>
      <c r="BD346" s="358"/>
      <c r="BE346" s="358"/>
      <c r="BF346" s="358"/>
      <c r="BG346" s="357">
        <f t="shared" si="99"/>
        <v>0</v>
      </c>
      <c r="BH346" s="357">
        <f t="shared" si="100"/>
        <v>0</v>
      </c>
      <c r="BI346" s="82"/>
      <c r="BK346" s="82"/>
    </row>
    <row r="347" spans="2:63" outlineLevel="1" x14ac:dyDescent="0.25">
      <c r="B347" s="349" t="s">
        <v>105</v>
      </c>
      <c r="C347" s="406"/>
      <c r="D347" s="357"/>
      <c r="E347" s="408"/>
      <c r="F347" s="408"/>
      <c r="G347" s="408"/>
      <c r="H347" s="408"/>
      <c r="I347" s="408"/>
      <c r="J347" s="358"/>
      <c r="K347" s="358"/>
      <c r="L347" s="358"/>
      <c r="M347" s="358"/>
      <c r="N347" s="358"/>
      <c r="O347" s="358"/>
      <c r="P347" s="358"/>
      <c r="Q347" s="358"/>
      <c r="R347" s="358"/>
      <c r="S347" s="358"/>
      <c r="T347" s="358"/>
      <c r="U347" s="358"/>
      <c r="V347" s="358"/>
      <c r="W347" s="358"/>
      <c r="X347" s="358"/>
      <c r="Y347" s="358"/>
      <c r="Z347" s="408"/>
      <c r="AA347" s="408"/>
      <c r="AB347" s="408"/>
      <c r="AC347" s="358"/>
      <c r="AD347" s="358"/>
      <c r="AE347" s="358"/>
      <c r="AF347" s="358"/>
      <c r="AG347" s="358"/>
      <c r="AH347" s="358"/>
      <c r="AI347" s="358"/>
      <c r="AJ347" s="358"/>
      <c r="AK347" s="358"/>
      <c r="AL347" s="358"/>
      <c r="AM347" s="358"/>
      <c r="AN347" s="358"/>
      <c r="AO347" s="358"/>
      <c r="AP347" s="358"/>
      <c r="AQ347" s="358"/>
      <c r="AR347" s="358"/>
      <c r="AS347" s="358"/>
      <c r="AT347" s="358"/>
      <c r="AU347" s="358"/>
      <c r="AV347" s="408"/>
      <c r="AW347" s="358"/>
      <c r="AX347" s="358"/>
      <c r="AY347" s="358"/>
      <c r="AZ347" s="358"/>
      <c r="BA347" s="408"/>
      <c r="BB347" s="408"/>
      <c r="BC347" s="408"/>
      <c r="BD347" s="358"/>
      <c r="BE347" s="358"/>
      <c r="BF347" s="358"/>
      <c r="BG347" s="357">
        <f t="shared" si="99"/>
        <v>0</v>
      </c>
      <c r="BH347" s="357">
        <f t="shared" si="100"/>
        <v>0</v>
      </c>
      <c r="BI347" s="82"/>
      <c r="BK347" s="82"/>
    </row>
    <row r="348" spans="2:63" outlineLevel="1" x14ac:dyDescent="0.25">
      <c r="B348" s="349" t="s">
        <v>106</v>
      </c>
      <c r="C348" s="406"/>
      <c r="D348" s="357"/>
      <c r="E348" s="408"/>
      <c r="F348" s="408"/>
      <c r="G348" s="408"/>
      <c r="H348" s="408"/>
      <c r="I348" s="408"/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408"/>
      <c r="AA348" s="408"/>
      <c r="AB348" s="408"/>
      <c r="AC348" s="358"/>
      <c r="AD348" s="358"/>
      <c r="AE348" s="358"/>
      <c r="AF348" s="358"/>
      <c r="AG348" s="358"/>
      <c r="AH348" s="358"/>
      <c r="AI348" s="358"/>
      <c r="AJ348" s="358"/>
      <c r="AK348" s="358"/>
      <c r="AL348" s="358"/>
      <c r="AM348" s="358"/>
      <c r="AN348" s="358"/>
      <c r="AO348" s="358"/>
      <c r="AP348" s="358"/>
      <c r="AQ348" s="358"/>
      <c r="AR348" s="358"/>
      <c r="AS348" s="358"/>
      <c r="AT348" s="358"/>
      <c r="AU348" s="358"/>
      <c r="AV348" s="408"/>
      <c r="AW348" s="358"/>
      <c r="AX348" s="358"/>
      <c r="AY348" s="358"/>
      <c r="AZ348" s="385"/>
      <c r="BA348" s="416"/>
      <c r="BB348" s="408"/>
      <c r="BC348" s="408"/>
      <c r="BD348" s="358"/>
      <c r="BE348" s="358"/>
      <c r="BF348" s="358"/>
      <c r="BG348" s="357">
        <f t="shared" si="99"/>
        <v>0</v>
      </c>
      <c r="BH348" s="357">
        <f t="shared" si="100"/>
        <v>0</v>
      </c>
      <c r="BI348" s="82"/>
      <c r="BK348" s="82"/>
    </row>
    <row r="349" spans="2:63" outlineLevel="1" x14ac:dyDescent="0.25">
      <c r="B349" s="365" t="s">
        <v>107</v>
      </c>
      <c r="C349" s="406"/>
      <c r="D349" s="357"/>
      <c r="E349" s="408"/>
      <c r="F349" s="408"/>
      <c r="G349" s="408"/>
      <c r="H349" s="408"/>
      <c r="I349" s="408"/>
      <c r="J349" s="358"/>
      <c r="K349" s="358"/>
      <c r="L349" s="358"/>
      <c r="M349" s="358"/>
      <c r="N349" s="358"/>
      <c r="O349" s="358"/>
      <c r="P349" s="358"/>
      <c r="Q349" s="358"/>
      <c r="R349" s="358"/>
      <c r="S349" s="358"/>
      <c r="T349" s="358"/>
      <c r="U349" s="358"/>
      <c r="V349" s="358"/>
      <c r="W349" s="358"/>
      <c r="X349" s="358"/>
      <c r="Y349" s="358"/>
      <c r="Z349" s="408"/>
      <c r="AA349" s="408"/>
      <c r="AB349" s="408"/>
      <c r="AC349" s="358"/>
      <c r="AD349" s="358"/>
      <c r="AE349" s="358"/>
      <c r="AF349" s="358"/>
      <c r="AG349" s="358"/>
      <c r="AH349" s="358"/>
      <c r="AI349" s="358"/>
      <c r="AJ349" s="358"/>
      <c r="AK349" s="358"/>
      <c r="AL349" s="358"/>
      <c r="AM349" s="358"/>
      <c r="AN349" s="358"/>
      <c r="AO349" s="358"/>
      <c r="AP349" s="358"/>
      <c r="AQ349" s="358"/>
      <c r="AR349" s="358"/>
      <c r="AS349" s="358"/>
      <c r="AT349" s="358"/>
      <c r="AU349" s="358"/>
      <c r="AV349" s="408"/>
      <c r="AW349" s="358"/>
      <c r="AX349" s="358"/>
      <c r="AY349" s="358"/>
      <c r="AZ349" s="358"/>
      <c r="BA349" s="358"/>
      <c r="BB349" s="408"/>
      <c r="BC349" s="408"/>
      <c r="BD349" s="358"/>
      <c r="BE349" s="358"/>
      <c r="BF349" s="358"/>
      <c r="BG349" s="357">
        <f t="shared" si="99"/>
        <v>0</v>
      </c>
      <c r="BH349" s="357">
        <f t="shared" si="100"/>
        <v>0</v>
      </c>
      <c r="BI349" s="82"/>
      <c r="BK349" s="82"/>
    </row>
    <row r="350" spans="2:63" outlineLevel="1" x14ac:dyDescent="0.25">
      <c r="B350" s="349" t="s">
        <v>109</v>
      </c>
      <c r="C350" s="406"/>
      <c r="D350" s="367"/>
      <c r="E350" s="368">
        <f t="shared" ref="E350:BH350" si="101">SUM(E334:E349)</f>
        <v>0</v>
      </c>
      <c r="F350" s="368">
        <f t="shared" si="101"/>
        <v>0</v>
      </c>
      <c r="G350" s="368">
        <f t="shared" si="101"/>
        <v>0</v>
      </c>
      <c r="H350" s="368">
        <f t="shared" si="101"/>
        <v>0</v>
      </c>
      <c r="I350" s="368">
        <f t="shared" si="101"/>
        <v>0</v>
      </c>
      <c r="J350" s="368">
        <f t="shared" si="101"/>
        <v>0</v>
      </c>
      <c r="K350" s="368">
        <f t="shared" si="101"/>
        <v>0</v>
      </c>
      <c r="L350" s="368">
        <f t="shared" si="101"/>
        <v>0</v>
      </c>
      <c r="M350" s="368">
        <f t="shared" si="101"/>
        <v>0</v>
      </c>
      <c r="N350" s="368">
        <f t="shared" si="101"/>
        <v>0</v>
      </c>
      <c r="O350" s="368">
        <f t="shared" si="101"/>
        <v>0</v>
      </c>
      <c r="P350" s="368">
        <f t="shared" si="101"/>
        <v>0</v>
      </c>
      <c r="Q350" s="368">
        <f t="shared" si="101"/>
        <v>0</v>
      </c>
      <c r="R350" s="368">
        <f t="shared" si="101"/>
        <v>0</v>
      </c>
      <c r="S350" s="368">
        <f t="shared" si="101"/>
        <v>0</v>
      </c>
      <c r="T350" s="368">
        <f t="shared" si="101"/>
        <v>0</v>
      </c>
      <c r="U350" s="368">
        <f t="shared" si="101"/>
        <v>0</v>
      </c>
      <c r="V350" s="368">
        <f t="shared" si="101"/>
        <v>0</v>
      </c>
      <c r="W350" s="368">
        <f t="shared" si="101"/>
        <v>0</v>
      </c>
      <c r="X350" s="368">
        <f t="shared" si="101"/>
        <v>0</v>
      </c>
      <c r="Y350" s="368">
        <f t="shared" si="101"/>
        <v>0</v>
      </c>
      <c r="Z350" s="372">
        <f t="shared" si="101"/>
        <v>0</v>
      </c>
      <c r="AA350" s="409">
        <f t="shared" si="101"/>
        <v>0</v>
      </c>
      <c r="AB350" s="409">
        <f t="shared" si="101"/>
        <v>0</v>
      </c>
      <c r="AC350" s="368">
        <f t="shared" si="101"/>
        <v>0</v>
      </c>
      <c r="AD350" s="368">
        <f t="shared" si="101"/>
        <v>0</v>
      </c>
      <c r="AE350" s="368">
        <f t="shared" si="101"/>
        <v>0</v>
      </c>
      <c r="AF350" s="368">
        <f t="shared" si="101"/>
        <v>0</v>
      </c>
      <c r="AG350" s="368">
        <f t="shared" si="101"/>
        <v>0</v>
      </c>
      <c r="AH350" s="368">
        <f t="shared" si="101"/>
        <v>0</v>
      </c>
      <c r="AI350" s="368">
        <f t="shared" si="101"/>
        <v>0</v>
      </c>
      <c r="AJ350" s="368">
        <f t="shared" si="101"/>
        <v>0</v>
      </c>
      <c r="AK350" s="368"/>
      <c r="AL350" s="368"/>
      <c r="AM350" s="368"/>
      <c r="AN350" s="368"/>
      <c r="AO350" s="368"/>
      <c r="AP350" s="368"/>
      <c r="AQ350" s="368"/>
      <c r="AR350" s="368"/>
      <c r="AS350" s="368"/>
      <c r="AT350" s="368"/>
      <c r="AU350" s="368"/>
      <c r="AV350" s="409">
        <f t="shared" si="101"/>
        <v>0</v>
      </c>
      <c r="AW350" s="368">
        <f t="shared" si="101"/>
        <v>0</v>
      </c>
      <c r="AX350" s="368">
        <f t="shared" si="101"/>
        <v>0</v>
      </c>
      <c r="AY350" s="368">
        <f t="shared" si="101"/>
        <v>0</v>
      </c>
      <c r="AZ350" s="368">
        <f t="shared" si="101"/>
        <v>0</v>
      </c>
      <c r="BA350" s="368">
        <f t="shared" si="101"/>
        <v>0</v>
      </c>
      <c r="BB350" s="409">
        <f t="shared" si="101"/>
        <v>0</v>
      </c>
      <c r="BC350" s="409">
        <f t="shared" si="101"/>
        <v>0</v>
      </c>
      <c r="BD350" s="368">
        <f t="shared" si="101"/>
        <v>0</v>
      </c>
      <c r="BE350" s="368">
        <f>SUM(BE334:BE349)</f>
        <v>0</v>
      </c>
      <c r="BF350" s="368">
        <f t="shared" si="101"/>
        <v>0</v>
      </c>
      <c r="BG350" s="367">
        <f t="shared" si="101"/>
        <v>0</v>
      </c>
      <c r="BH350" s="367">
        <f t="shared" si="101"/>
        <v>0</v>
      </c>
      <c r="BI350" s="82"/>
      <c r="BK350" s="82"/>
    </row>
    <row r="351" spans="2:63" outlineLevel="1" x14ac:dyDescent="0.25">
      <c r="B351" s="365"/>
      <c r="C351" s="406"/>
      <c r="D351" s="374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417"/>
      <c r="AA351" s="417"/>
      <c r="AB351" s="417"/>
      <c r="AC351" s="375"/>
      <c r="AD351" s="375"/>
      <c r="AE351" s="375"/>
      <c r="AF351" s="375"/>
      <c r="AG351" s="375"/>
      <c r="AH351" s="375"/>
      <c r="AI351" s="375"/>
      <c r="AJ351" s="375"/>
      <c r="AK351" s="375"/>
      <c r="AL351" s="375"/>
      <c r="AM351" s="375"/>
      <c r="AN351" s="375"/>
      <c r="AO351" s="375"/>
      <c r="AP351" s="375"/>
      <c r="AQ351" s="375"/>
      <c r="AR351" s="375"/>
      <c r="AS351" s="375"/>
      <c r="AT351" s="375"/>
      <c r="AU351" s="375"/>
      <c r="AV351" s="417"/>
      <c r="AW351" s="375"/>
      <c r="AX351" s="375"/>
      <c r="AY351" s="375"/>
      <c r="AZ351" s="375"/>
      <c r="BA351" s="375"/>
      <c r="BB351" s="417"/>
      <c r="BC351" s="417"/>
      <c r="BD351" s="375"/>
      <c r="BE351" s="375"/>
      <c r="BF351" s="375"/>
      <c r="BG351" s="374"/>
      <c r="BH351" s="374"/>
      <c r="BI351" s="82"/>
      <c r="BK351" s="82"/>
    </row>
    <row r="352" spans="2:63" ht="15.75" outlineLevel="1" thickBot="1" x14ac:dyDescent="0.3">
      <c r="B352" s="365" t="s">
        <v>110</v>
      </c>
      <c r="C352" s="406"/>
      <c r="D352" s="376"/>
      <c r="E352" s="378">
        <f t="shared" ref="E352:BH352" si="102">+E325-E350</f>
        <v>0</v>
      </c>
      <c r="F352" s="378">
        <f t="shared" si="102"/>
        <v>0</v>
      </c>
      <c r="G352" s="378">
        <f t="shared" si="102"/>
        <v>0</v>
      </c>
      <c r="H352" s="378">
        <f t="shared" si="102"/>
        <v>0</v>
      </c>
      <c r="I352" s="378">
        <f t="shared" si="102"/>
        <v>0</v>
      </c>
      <c r="J352" s="378">
        <f t="shared" si="102"/>
        <v>0</v>
      </c>
      <c r="K352" s="378">
        <f t="shared" si="102"/>
        <v>0</v>
      </c>
      <c r="L352" s="378">
        <f t="shared" si="102"/>
        <v>0</v>
      </c>
      <c r="M352" s="378">
        <f t="shared" si="102"/>
        <v>0</v>
      </c>
      <c r="N352" s="378">
        <f t="shared" si="102"/>
        <v>0</v>
      </c>
      <c r="O352" s="378">
        <f t="shared" si="102"/>
        <v>0</v>
      </c>
      <c r="P352" s="378">
        <f t="shared" si="102"/>
        <v>0</v>
      </c>
      <c r="Q352" s="378">
        <f t="shared" si="102"/>
        <v>0</v>
      </c>
      <c r="R352" s="378">
        <f t="shared" si="102"/>
        <v>0</v>
      </c>
      <c r="S352" s="378">
        <f t="shared" si="102"/>
        <v>0</v>
      </c>
      <c r="T352" s="378">
        <f t="shared" si="102"/>
        <v>0</v>
      </c>
      <c r="U352" s="378">
        <f t="shared" si="102"/>
        <v>0</v>
      </c>
      <c r="V352" s="378">
        <f t="shared" si="102"/>
        <v>0</v>
      </c>
      <c r="W352" s="378">
        <f t="shared" si="102"/>
        <v>0</v>
      </c>
      <c r="X352" s="378">
        <f t="shared" si="102"/>
        <v>0</v>
      </c>
      <c r="Y352" s="378">
        <f t="shared" si="102"/>
        <v>0</v>
      </c>
      <c r="Z352" s="377">
        <f t="shared" si="102"/>
        <v>0</v>
      </c>
      <c r="AA352" s="419">
        <f t="shared" si="102"/>
        <v>0</v>
      </c>
      <c r="AB352" s="419">
        <f t="shared" si="102"/>
        <v>0</v>
      </c>
      <c r="AC352" s="378">
        <f t="shared" si="102"/>
        <v>0</v>
      </c>
      <c r="AD352" s="378">
        <f t="shared" si="102"/>
        <v>0</v>
      </c>
      <c r="AE352" s="378">
        <f t="shared" si="102"/>
        <v>0</v>
      </c>
      <c r="AF352" s="378">
        <f t="shared" si="102"/>
        <v>0</v>
      </c>
      <c r="AG352" s="378">
        <f t="shared" si="102"/>
        <v>0</v>
      </c>
      <c r="AH352" s="378">
        <f t="shared" si="102"/>
        <v>0</v>
      </c>
      <c r="AI352" s="378">
        <f t="shared" si="102"/>
        <v>0</v>
      </c>
      <c r="AJ352" s="378">
        <f t="shared" si="102"/>
        <v>0</v>
      </c>
      <c r="AK352" s="378"/>
      <c r="AL352" s="378"/>
      <c r="AM352" s="378"/>
      <c r="AN352" s="378"/>
      <c r="AO352" s="378"/>
      <c r="AP352" s="378"/>
      <c r="AQ352" s="378"/>
      <c r="AR352" s="378"/>
      <c r="AS352" s="378"/>
      <c r="AT352" s="378"/>
      <c r="AU352" s="378"/>
      <c r="AV352" s="419">
        <f t="shared" si="102"/>
        <v>0</v>
      </c>
      <c r="AW352" s="378">
        <f t="shared" si="102"/>
        <v>0</v>
      </c>
      <c r="AX352" s="378">
        <f t="shared" si="102"/>
        <v>0</v>
      </c>
      <c r="AY352" s="378">
        <f t="shared" si="102"/>
        <v>0</v>
      </c>
      <c r="AZ352" s="378">
        <f t="shared" si="102"/>
        <v>0</v>
      </c>
      <c r="BA352" s="378">
        <f t="shared" si="102"/>
        <v>0</v>
      </c>
      <c r="BB352" s="419">
        <f t="shared" si="102"/>
        <v>0</v>
      </c>
      <c r="BC352" s="419">
        <f t="shared" si="102"/>
        <v>0</v>
      </c>
      <c r="BD352" s="378">
        <f t="shared" si="102"/>
        <v>0</v>
      </c>
      <c r="BE352" s="378">
        <f>+BE325-BE350</f>
        <v>0</v>
      </c>
      <c r="BF352" s="378">
        <f t="shared" si="102"/>
        <v>0</v>
      </c>
      <c r="BG352" s="376">
        <f t="shared" si="102"/>
        <v>0</v>
      </c>
      <c r="BH352" s="376">
        <f t="shared" si="102"/>
        <v>0</v>
      </c>
      <c r="BI352" s="82"/>
      <c r="BK352" s="82"/>
    </row>
    <row r="353" spans="2:63" ht="12" customHeight="1" outlineLevel="1" thickTop="1" x14ac:dyDescent="0.25">
      <c r="B353" s="18"/>
      <c r="C353" s="406"/>
      <c r="D353" s="380"/>
      <c r="E353" s="381"/>
      <c r="F353" s="381"/>
      <c r="G353" s="381"/>
      <c r="H353" s="381"/>
      <c r="I353" s="381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  <c r="Y353" s="381"/>
      <c r="Z353" s="420"/>
      <c r="AA353" s="420"/>
      <c r="AB353" s="420"/>
      <c r="AC353" s="381"/>
      <c r="AD353" s="381"/>
      <c r="AE353" s="381"/>
      <c r="AF353" s="381"/>
      <c r="AG353" s="381"/>
      <c r="AH353" s="381"/>
      <c r="AI353" s="381"/>
      <c r="AJ353" s="381"/>
      <c r="AK353" s="381"/>
      <c r="AL353" s="381"/>
      <c r="AM353" s="381"/>
      <c r="AN353" s="381"/>
      <c r="AO353" s="381"/>
      <c r="AP353" s="381"/>
      <c r="AQ353" s="381"/>
      <c r="AR353" s="381"/>
      <c r="AS353" s="381"/>
      <c r="AT353" s="381"/>
      <c r="AU353" s="381"/>
      <c r="AV353" s="381"/>
      <c r="AW353" s="381"/>
      <c r="AX353" s="381"/>
      <c r="AY353" s="381"/>
      <c r="AZ353" s="381"/>
      <c r="BA353" s="381"/>
      <c r="BB353" s="420"/>
      <c r="BC353" s="420"/>
      <c r="BD353" s="381"/>
      <c r="BE353" s="381"/>
      <c r="BF353" s="381"/>
      <c r="BG353" s="380"/>
      <c r="BH353" s="380"/>
      <c r="BI353" s="82"/>
      <c r="BK353" s="82"/>
    </row>
    <row r="354" spans="2:63" outlineLevel="1" x14ac:dyDescent="0.25">
      <c r="B354" s="349" t="s">
        <v>145</v>
      </c>
      <c r="C354" s="406"/>
      <c r="D354" s="366"/>
      <c r="E354" s="356">
        <f t="shared" ref="E354:BH354" si="103">E365</f>
        <v>0</v>
      </c>
      <c r="F354" s="356">
        <f t="shared" si="103"/>
        <v>0</v>
      </c>
      <c r="G354" s="356">
        <f t="shared" si="103"/>
        <v>0</v>
      </c>
      <c r="H354" s="356">
        <f t="shared" si="103"/>
        <v>0</v>
      </c>
      <c r="I354" s="356">
        <f t="shared" si="103"/>
        <v>0</v>
      </c>
      <c r="J354" s="356">
        <f t="shared" si="103"/>
        <v>0</v>
      </c>
      <c r="K354" s="356">
        <f t="shared" si="103"/>
        <v>0</v>
      </c>
      <c r="L354" s="356">
        <f t="shared" si="103"/>
        <v>0</v>
      </c>
      <c r="M354" s="356">
        <f t="shared" si="103"/>
        <v>0</v>
      </c>
      <c r="N354" s="356">
        <f t="shared" si="103"/>
        <v>0</v>
      </c>
      <c r="O354" s="356">
        <f t="shared" si="103"/>
        <v>0</v>
      </c>
      <c r="P354" s="356">
        <f t="shared" si="103"/>
        <v>0</v>
      </c>
      <c r="Q354" s="356">
        <f t="shared" si="103"/>
        <v>0</v>
      </c>
      <c r="R354" s="356">
        <f t="shared" si="103"/>
        <v>0</v>
      </c>
      <c r="S354" s="356">
        <f t="shared" si="103"/>
        <v>0</v>
      </c>
      <c r="T354" s="356">
        <f t="shared" si="103"/>
        <v>0</v>
      </c>
      <c r="U354" s="356">
        <f t="shared" si="103"/>
        <v>0</v>
      </c>
      <c r="V354" s="356">
        <f t="shared" si="103"/>
        <v>0</v>
      </c>
      <c r="W354" s="356">
        <f t="shared" si="103"/>
        <v>0</v>
      </c>
      <c r="X354" s="356">
        <f t="shared" si="103"/>
        <v>0</v>
      </c>
      <c r="Y354" s="356">
        <f t="shared" si="103"/>
        <v>0</v>
      </c>
      <c r="Z354" s="412">
        <f t="shared" si="103"/>
        <v>0</v>
      </c>
      <c r="AA354" s="412">
        <f t="shared" si="103"/>
        <v>0</v>
      </c>
      <c r="AB354" s="412">
        <f t="shared" si="103"/>
        <v>0</v>
      </c>
      <c r="AC354" s="356">
        <f t="shared" si="103"/>
        <v>0</v>
      </c>
      <c r="AD354" s="356">
        <f t="shared" si="103"/>
        <v>0</v>
      </c>
      <c r="AE354" s="356">
        <f t="shared" si="103"/>
        <v>0</v>
      </c>
      <c r="AF354" s="356">
        <f t="shared" si="103"/>
        <v>0</v>
      </c>
      <c r="AG354" s="356">
        <f t="shared" si="103"/>
        <v>0</v>
      </c>
      <c r="AH354" s="356">
        <f t="shared" si="103"/>
        <v>0</v>
      </c>
      <c r="AI354" s="356">
        <f t="shared" si="103"/>
        <v>0</v>
      </c>
      <c r="AJ354" s="356">
        <f t="shared" si="103"/>
        <v>0</v>
      </c>
      <c r="AK354" s="356"/>
      <c r="AL354" s="356"/>
      <c r="AM354" s="356"/>
      <c r="AN354" s="356"/>
      <c r="AO354" s="356"/>
      <c r="AP354" s="356"/>
      <c r="AQ354" s="356"/>
      <c r="AR354" s="356"/>
      <c r="AS354" s="356"/>
      <c r="AT354" s="356"/>
      <c r="AU354" s="356"/>
      <c r="AV354" s="356">
        <f t="shared" si="103"/>
        <v>0</v>
      </c>
      <c r="AW354" s="356">
        <f t="shared" si="103"/>
        <v>0</v>
      </c>
      <c r="AX354" s="356">
        <f t="shared" si="103"/>
        <v>0</v>
      </c>
      <c r="AY354" s="356">
        <f t="shared" si="103"/>
        <v>0</v>
      </c>
      <c r="AZ354" s="356">
        <f t="shared" si="103"/>
        <v>0</v>
      </c>
      <c r="BA354" s="356">
        <f t="shared" si="103"/>
        <v>0</v>
      </c>
      <c r="BB354" s="412">
        <f t="shared" si="103"/>
        <v>0</v>
      </c>
      <c r="BC354" s="412">
        <f t="shared" si="103"/>
        <v>0</v>
      </c>
      <c r="BD354" s="356">
        <f t="shared" si="103"/>
        <v>0</v>
      </c>
      <c r="BE354" s="356">
        <f>BE365</f>
        <v>0</v>
      </c>
      <c r="BF354" s="356">
        <f t="shared" si="103"/>
        <v>0</v>
      </c>
      <c r="BG354" s="366">
        <f t="shared" si="103"/>
        <v>0</v>
      </c>
      <c r="BH354" s="366">
        <f t="shared" si="103"/>
        <v>0</v>
      </c>
      <c r="BI354" s="82"/>
      <c r="BK354" s="82"/>
    </row>
    <row r="355" spans="2:63" outlineLevel="1" x14ac:dyDescent="0.25">
      <c r="B355" s="365"/>
      <c r="C355" s="406"/>
      <c r="D355" s="351"/>
      <c r="Z355" s="411"/>
      <c r="AA355" s="411"/>
      <c r="AB355" s="411"/>
      <c r="BB355" s="411"/>
      <c r="BC355" s="411"/>
      <c r="BG355" s="351"/>
      <c r="BH355" s="351"/>
      <c r="BI355" s="82"/>
      <c r="BK355" s="82"/>
    </row>
    <row r="356" spans="2:63" outlineLevel="1" x14ac:dyDescent="0.25">
      <c r="B356" s="349" t="s">
        <v>18</v>
      </c>
      <c r="C356" s="406"/>
      <c r="D356" s="383"/>
      <c r="E356" s="358"/>
      <c r="F356" s="358"/>
      <c r="G356" s="358"/>
      <c r="H356" s="358"/>
      <c r="I356" s="358"/>
      <c r="J356" s="358"/>
      <c r="K356" s="358"/>
      <c r="L356" s="358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  <c r="Y356" s="358"/>
      <c r="Z356" s="408"/>
      <c r="AA356" s="408"/>
      <c r="AB356" s="408"/>
      <c r="AC356" s="358"/>
      <c r="AD356" s="358"/>
      <c r="AE356" s="358"/>
      <c r="AF356" s="358"/>
      <c r="AG356" s="358"/>
      <c r="AH356" s="358"/>
      <c r="AI356" s="358"/>
      <c r="AJ356" s="358"/>
      <c r="AK356" s="358"/>
      <c r="AL356" s="358"/>
      <c r="AM356" s="358"/>
      <c r="AN356" s="358"/>
      <c r="AO356" s="358"/>
      <c r="AP356" s="358"/>
      <c r="AQ356" s="358"/>
      <c r="AR356" s="358"/>
      <c r="AS356" s="358"/>
      <c r="AT356" s="358"/>
      <c r="AU356" s="358"/>
      <c r="AV356" s="358"/>
      <c r="AW356" s="358"/>
      <c r="AX356" s="358"/>
      <c r="AY356" s="358"/>
      <c r="AZ356" s="358"/>
      <c r="BA356" s="358"/>
      <c r="BB356" s="408"/>
      <c r="BC356" s="408"/>
      <c r="BD356" s="358"/>
      <c r="BE356" s="358"/>
      <c r="BF356" s="358"/>
      <c r="BG356" s="383"/>
      <c r="BH356" s="383" t="e">
        <f>+BH352/BH354</f>
        <v>#DIV/0!</v>
      </c>
      <c r="BI356" s="82"/>
      <c r="BK356" s="82"/>
    </row>
    <row r="357" spans="2:63" outlineLevel="1" x14ac:dyDescent="0.25">
      <c r="B357" s="365"/>
      <c r="C357" s="406"/>
      <c r="D357" s="357"/>
      <c r="E357" s="358"/>
      <c r="F357" s="358"/>
      <c r="G357" s="358"/>
      <c r="H357" s="358"/>
      <c r="I357" s="358"/>
      <c r="J357" s="358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408"/>
      <c r="AA357" s="408"/>
      <c r="AB357" s="408"/>
      <c r="AC357" s="358"/>
      <c r="AD357" s="358"/>
      <c r="AE357" s="358"/>
      <c r="AF357" s="358"/>
      <c r="AG357" s="358"/>
      <c r="AH357" s="358"/>
      <c r="AI357" s="358"/>
      <c r="AJ357" s="358"/>
      <c r="AK357" s="358"/>
      <c r="AL357" s="358"/>
      <c r="AM357" s="358"/>
      <c r="AN357" s="358"/>
      <c r="AO357" s="358"/>
      <c r="AP357" s="358"/>
      <c r="AQ357" s="358"/>
      <c r="AR357" s="358"/>
      <c r="AS357" s="358"/>
      <c r="AT357" s="358"/>
      <c r="AU357" s="358"/>
      <c r="AV357" s="358"/>
      <c r="AW357" s="358"/>
      <c r="AX357" s="358"/>
      <c r="AY357" s="358"/>
      <c r="AZ357" s="358"/>
      <c r="BA357" s="358"/>
      <c r="BB357" s="408"/>
      <c r="BC357" s="408"/>
      <c r="BD357" s="358"/>
      <c r="BE357" s="358"/>
      <c r="BF357" s="358"/>
      <c r="BG357" s="357"/>
      <c r="BH357" s="357"/>
      <c r="BI357" s="82"/>
      <c r="BK357" s="82"/>
    </row>
    <row r="358" spans="2:63" outlineLevel="1" x14ac:dyDescent="0.25">
      <c r="B358" s="365" t="s">
        <v>146</v>
      </c>
      <c r="C358" s="406"/>
      <c r="D358" s="357"/>
      <c r="E358" s="358"/>
      <c r="F358" s="358"/>
      <c r="G358" s="358"/>
      <c r="H358" s="358"/>
      <c r="I358" s="358"/>
      <c r="J358" s="358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408"/>
      <c r="AA358" s="408"/>
      <c r="AB358" s="408"/>
      <c r="AC358" s="358"/>
      <c r="AD358" s="358"/>
      <c r="AE358" s="358"/>
      <c r="AF358" s="358"/>
      <c r="AG358" s="358"/>
      <c r="AH358" s="358"/>
      <c r="AI358" s="358"/>
      <c r="AJ358" s="358"/>
      <c r="AK358" s="358"/>
      <c r="AL358" s="358"/>
      <c r="AM358" s="358"/>
      <c r="AN358" s="358"/>
      <c r="AO358" s="358"/>
      <c r="AP358" s="358"/>
      <c r="AQ358" s="358"/>
      <c r="AR358" s="358"/>
      <c r="AS358" s="358"/>
      <c r="AT358" s="358"/>
      <c r="AU358" s="358"/>
      <c r="AV358" s="358"/>
      <c r="AW358" s="358"/>
      <c r="AX358" s="358"/>
      <c r="AY358" s="358"/>
      <c r="AZ358" s="358"/>
      <c r="BA358" s="358"/>
      <c r="BB358" s="408"/>
      <c r="BC358" s="408"/>
      <c r="BD358" s="358"/>
      <c r="BE358" s="358"/>
      <c r="BF358" s="358"/>
      <c r="BG358" s="357"/>
      <c r="BH358" s="357"/>
      <c r="BI358" s="82"/>
      <c r="BK358" s="82"/>
    </row>
    <row r="359" spans="2:63" outlineLevel="1" x14ac:dyDescent="0.25">
      <c r="B359" s="384" t="s">
        <v>112</v>
      </c>
      <c r="C359" s="406"/>
      <c r="D359" s="366"/>
      <c r="E359" s="356"/>
      <c r="F359" s="356"/>
      <c r="G359" s="356"/>
      <c r="H359" s="356"/>
      <c r="I359" s="356"/>
      <c r="J359" s="356"/>
      <c r="K359" s="356"/>
      <c r="L359" s="356"/>
      <c r="M359" s="356"/>
      <c r="N359" s="356"/>
      <c r="O359" s="356"/>
      <c r="P359" s="356"/>
      <c r="Q359" s="356"/>
      <c r="R359" s="356"/>
      <c r="S359" s="356"/>
      <c r="T359" s="356"/>
      <c r="U359" s="356"/>
      <c r="V359" s="356"/>
      <c r="W359" s="356"/>
      <c r="X359" s="356"/>
      <c r="Y359" s="356"/>
      <c r="Z359" s="412"/>
      <c r="AA359" s="412">
        <f>'SEF-32 pg 1-34, 46'!OQ79</f>
        <v>0</v>
      </c>
      <c r="AB359" s="412">
        <f>+'SEF-32 pg 1-34, 46'!PI88</f>
        <v>0</v>
      </c>
      <c r="AC359" s="356"/>
      <c r="AD359" s="356">
        <f>'SEF-32 pg 1-34, 46'!QY19</f>
        <v>0</v>
      </c>
      <c r="AE359" s="358"/>
      <c r="AF359" s="356"/>
      <c r="AG359" s="356"/>
      <c r="AH359" s="356"/>
      <c r="AI359" s="356"/>
      <c r="AJ359" s="356"/>
      <c r="AK359" s="356"/>
      <c r="AL359" s="356"/>
      <c r="AM359" s="356"/>
      <c r="AN359" s="356"/>
      <c r="AO359" s="356"/>
      <c r="AP359" s="356"/>
      <c r="AQ359" s="356"/>
      <c r="AR359" s="356"/>
      <c r="AS359" s="356"/>
      <c r="AT359" s="356"/>
      <c r="AU359" s="356"/>
      <c r="AV359" s="356"/>
      <c r="AW359" s="356">
        <f>'SEF-32 pg 35-45'!AW85</f>
        <v>0</v>
      </c>
      <c r="AX359" s="356"/>
      <c r="AY359" s="356"/>
      <c r="AZ359" s="356">
        <f>+'SEF-32 pg 35-45'!CY84</f>
        <v>0</v>
      </c>
      <c r="BA359" s="356"/>
      <c r="BB359" s="412">
        <f>'SEF-32 pg 35-45'!EI125</f>
        <v>0</v>
      </c>
      <c r="BC359" s="412">
        <f>'SEF-32 pg 35-45'!FC23</f>
        <v>0</v>
      </c>
      <c r="BD359" s="356"/>
      <c r="BE359" s="356">
        <f>'SEF-32 pg 35-45'!GJ90</f>
        <v>0</v>
      </c>
      <c r="BF359" s="356">
        <f>'SEF-32 pg 35-45'!GK90</f>
        <v>0</v>
      </c>
      <c r="BG359" s="366">
        <f t="shared" ref="BG359:BG364" si="104">SUM(E359:BF359)</f>
        <v>0</v>
      </c>
      <c r="BH359" s="366">
        <f t="shared" ref="BH359:BH364" si="105">+BG359+D359</f>
        <v>0</v>
      </c>
      <c r="BI359" s="82"/>
      <c r="BK359" s="82"/>
    </row>
    <row r="360" spans="2:63" outlineLevel="1" x14ac:dyDescent="0.25">
      <c r="B360" s="384" t="s">
        <v>113</v>
      </c>
      <c r="C360" s="406"/>
      <c r="D360" s="357"/>
      <c r="E360" s="358"/>
      <c r="F360" s="358"/>
      <c r="G360" s="358"/>
      <c r="H360" s="358"/>
      <c r="I360" s="358"/>
      <c r="J360" s="358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408"/>
      <c r="AA360" s="408">
        <f>'SEF-32 pg 1-34, 46'!OQ80</f>
        <v>0</v>
      </c>
      <c r="AB360" s="408">
        <f>+'SEF-32 pg 1-34, 46'!PI94</f>
        <v>0</v>
      </c>
      <c r="AC360" s="358"/>
      <c r="AD360" s="358">
        <f>'SEF-32 pg 1-34, 46'!QY20</f>
        <v>0</v>
      </c>
      <c r="AE360" s="358"/>
      <c r="AF360" s="358"/>
      <c r="AG360" s="358"/>
      <c r="AH360" s="358"/>
      <c r="AI360" s="358"/>
      <c r="AJ360" s="358"/>
      <c r="AK360" s="358"/>
      <c r="AL360" s="358"/>
      <c r="AM360" s="358"/>
      <c r="AN360" s="358"/>
      <c r="AO360" s="358"/>
      <c r="AP360" s="358"/>
      <c r="AQ360" s="358"/>
      <c r="AR360" s="358"/>
      <c r="AS360" s="358"/>
      <c r="AT360" s="358"/>
      <c r="AU360" s="358"/>
      <c r="AV360" s="358"/>
      <c r="AW360" s="358">
        <f>'SEF-32 pg 35-45'!AW86</f>
        <v>0</v>
      </c>
      <c r="AX360" s="358"/>
      <c r="AY360" s="358"/>
      <c r="AZ360" s="385">
        <f>+'SEF-32 pg 35-45'!CY85</f>
        <v>0</v>
      </c>
      <c r="BA360" s="358"/>
      <c r="BB360" s="408">
        <f>'SEF-32 pg 35-45'!EI126</f>
        <v>0</v>
      </c>
      <c r="BC360" s="408">
        <f>'SEF-32 pg 35-45'!FC29</f>
        <v>0</v>
      </c>
      <c r="BD360" s="358"/>
      <c r="BE360" s="358">
        <f>'SEF-32 pg 35-45'!GJ96</f>
        <v>0</v>
      </c>
      <c r="BF360" s="358">
        <f>'SEF-32 pg 35-45'!GK96</f>
        <v>0</v>
      </c>
      <c r="BG360" s="357">
        <f t="shared" si="104"/>
        <v>0</v>
      </c>
      <c r="BH360" s="357">
        <f t="shared" si="105"/>
        <v>0</v>
      </c>
      <c r="BI360" s="82"/>
      <c r="BK360" s="82"/>
    </row>
    <row r="361" spans="2:63" outlineLevel="1" x14ac:dyDescent="0.25">
      <c r="B361" s="365" t="s">
        <v>147</v>
      </c>
      <c r="C361" s="406"/>
      <c r="D361" s="357"/>
      <c r="E361" s="358"/>
      <c r="F361" s="358"/>
      <c r="G361" s="358"/>
      <c r="H361" s="358"/>
      <c r="I361" s="358"/>
      <c r="J361" s="358"/>
      <c r="K361" s="358"/>
      <c r="L361" s="358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  <c r="Y361" s="358"/>
      <c r="Z361" s="408"/>
      <c r="AA361" s="408">
        <f>'SEF-32 pg 1-34, 46'!OQ85+'SEF-32 pg 1-34, 46'!OQ86</f>
        <v>0</v>
      </c>
      <c r="AB361" s="408"/>
      <c r="AC361" s="358"/>
      <c r="AD361" s="358"/>
      <c r="AE361" s="358"/>
      <c r="AF361" s="358"/>
      <c r="AG361" s="358"/>
      <c r="AH361" s="358"/>
      <c r="AI361" s="358"/>
      <c r="AJ361" s="358"/>
      <c r="AK361" s="358"/>
      <c r="AL361" s="358"/>
      <c r="AM361" s="358"/>
      <c r="AN361" s="358"/>
      <c r="AO361" s="358"/>
      <c r="AP361" s="358"/>
      <c r="AQ361" s="358"/>
      <c r="AR361" s="358"/>
      <c r="AS361" s="358"/>
      <c r="AT361" s="358"/>
      <c r="AU361" s="358"/>
      <c r="AV361" s="358"/>
      <c r="AW361" s="358"/>
      <c r="AX361" s="358"/>
      <c r="AY361" s="358">
        <f>'SEF-32 pg 35-45'!CI36</f>
        <v>0</v>
      </c>
      <c r="AZ361" s="385"/>
      <c r="BA361" s="358"/>
      <c r="BB361" s="408">
        <f>'SEF-32 pg 35-45'!EI127</f>
        <v>0</v>
      </c>
      <c r="BC361" s="408"/>
      <c r="BD361" s="358"/>
      <c r="BE361" s="358"/>
      <c r="BF361" s="358"/>
      <c r="BG361" s="357">
        <f t="shared" si="104"/>
        <v>0</v>
      </c>
      <c r="BH361" s="357">
        <f t="shared" si="105"/>
        <v>0</v>
      </c>
      <c r="BI361" s="82"/>
      <c r="BK361" s="82"/>
    </row>
    <row r="362" spans="2:63" outlineLevel="1" x14ac:dyDescent="0.25">
      <c r="B362" s="365" t="s">
        <v>148</v>
      </c>
      <c r="C362" s="406"/>
      <c r="D362" s="357"/>
      <c r="E362" s="358"/>
      <c r="F362" s="358"/>
      <c r="G362" s="358"/>
      <c r="H362" s="358">
        <f>+'SEF-32 pg 1-34, 46'!BM95</f>
        <v>0</v>
      </c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Z362" s="408"/>
      <c r="AA362" s="408">
        <f>'SEF-32 pg 1-34, 46'!OQ87</f>
        <v>0</v>
      </c>
      <c r="AB362" s="408">
        <f>+'SEF-32 pg 1-34, 46'!PI100</f>
        <v>0</v>
      </c>
      <c r="AC362" s="358"/>
      <c r="AD362" s="358"/>
      <c r="AE362" s="358"/>
      <c r="AF362" s="358">
        <f>'SEF-32 pg 1-34, 46'!$SG$34</f>
        <v>0</v>
      </c>
      <c r="AG362" s="358"/>
      <c r="AH362" s="358"/>
      <c r="AI362" s="358"/>
      <c r="AJ362" s="358"/>
      <c r="AK362" s="358"/>
      <c r="AL362" s="358"/>
      <c r="AM362" s="358"/>
      <c r="AN362" s="358"/>
      <c r="AO362" s="358"/>
      <c r="AP362" s="358"/>
      <c r="AQ362" s="358"/>
      <c r="AR362" s="358"/>
      <c r="AS362" s="358"/>
      <c r="AT362" s="358"/>
      <c r="AU362" s="358"/>
      <c r="AV362" s="358"/>
      <c r="AW362" s="358"/>
      <c r="AX362" s="358"/>
      <c r="AY362" s="358">
        <f>'SEF-32 pg 35-45'!CI37</f>
        <v>0</v>
      </c>
      <c r="AZ362" s="382">
        <f>+'SEF-32 pg 35-45'!CY86</f>
        <v>0</v>
      </c>
      <c r="BA362" s="358"/>
      <c r="BB362" s="408">
        <f>'SEF-32 pg 35-45'!EI128</f>
        <v>0</v>
      </c>
      <c r="BC362" s="408"/>
      <c r="BD362" s="358"/>
      <c r="BE362" s="358"/>
      <c r="BF362" s="358"/>
      <c r="BG362" s="357">
        <f t="shared" si="104"/>
        <v>0</v>
      </c>
      <c r="BH362" s="357">
        <f t="shared" si="105"/>
        <v>0</v>
      </c>
      <c r="BI362" s="82"/>
      <c r="BK362" s="82"/>
    </row>
    <row r="363" spans="2:63" outlineLevel="1" x14ac:dyDescent="0.25">
      <c r="B363" s="365" t="s">
        <v>149</v>
      </c>
      <c r="C363" s="406"/>
      <c r="D363" s="386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  <c r="Z363" s="408"/>
      <c r="AA363" s="408"/>
      <c r="AB363" s="408"/>
      <c r="AC363" s="358"/>
      <c r="AD363" s="358"/>
      <c r="AE363" s="358"/>
      <c r="AF363" s="358"/>
      <c r="AG363" s="358"/>
      <c r="AH363" s="358"/>
      <c r="AI363" s="358"/>
      <c r="AJ363" s="358"/>
      <c r="AK363" s="358"/>
      <c r="AL363" s="358"/>
      <c r="AM363" s="358"/>
      <c r="AN363" s="358"/>
      <c r="AO363" s="358"/>
      <c r="AP363" s="358"/>
      <c r="AQ363" s="358"/>
      <c r="AR363" s="358"/>
      <c r="AS363" s="358"/>
      <c r="AT363" s="358"/>
      <c r="AU363" s="358"/>
      <c r="AV363" s="358"/>
      <c r="AW363" s="358"/>
      <c r="AX363" s="358"/>
      <c r="AY363" s="358"/>
      <c r="AZ363" s="358"/>
      <c r="BA363" s="358"/>
      <c r="BB363" s="408"/>
      <c r="BC363" s="408"/>
      <c r="BD363" s="358"/>
      <c r="BE363" s="358"/>
      <c r="BF363" s="358"/>
      <c r="BG363" s="387">
        <f t="shared" si="104"/>
        <v>0</v>
      </c>
      <c r="BH363" s="357">
        <f t="shared" si="105"/>
        <v>0</v>
      </c>
      <c r="BI363" s="82"/>
      <c r="BK363" s="82"/>
    </row>
    <row r="364" spans="2:63" outlineLevel="1" x14ac:dyDescent="0.25">
      <c r="B364" s="365" t="s">
        <v>150</v>
      </c>
      <c r="C364" s="406"/>
      <c r="D364" s="357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  <c r="AA364" s="358"/>
      <c r="AB364" s="358"/>
      <c r="AC364" s="358"/>
      <c r="AD364" s="358"/>
      <c r="AE364" s="358"/>
      <c r="AF364" s="358"/>
      <c r="AG364" s="358"/>
      <c r="AH364" s="358"/>
      <c r="AI364" s="358"/>
      <c r="AJ364" s="358"/>
      <c r="AK364" s="358"/>
      <c r="AL364" s="358"/>
      <c r="AM364" s="358"/>
      <c r="AN364" s="358"/>
      <c r="AO364" s="358"/>
      <c r="AP364" s="358"/>
      <c r="AQ364" s="358"/>
      <c r="AR364" s="358"/>
      <c r="AS364" s="358"/>
      <c r="AT364" s="358"/>
      <c r="AU364" s="358"/>
      <c r="AV364" s="358"/>
      <c r="AW364" s="358"/>
      <c r="AX364" s="358"/>
      <c r="AY364" s="358"/>
      <c r="AZ364" s="358"/>
      <c r="BA364" s="358"/>
      <c r="BB364" s="408"/>
      <c r="BC364" s="408"/>
      <c r="BD364" s="358"/>
      <c r="BE364" s="358"/>
      <c r="BF364" s="358"/>
      <c r="BG364" s="357">
        <f t="shared" si="104"/>
        <v>0</v>
      </c>
      <c r="BH364" s="357">
        <f t="shared" si="105"/>
        <v>0</v>
      </c>
      <c r="BI364" s="82"/>
      <c r="BK364" s="82"/>
    </row>
    <row r="365" spans="2:63" ht="15.75" outlineLevel="1" thickBot="1" x14ac:dyDescent="0.3">
      <c r="B365" s="365" t="s">
        <v>118</v>
      </c>
      <c r="C365" s="406"/>
      <c r="D365" s="388"/>
      <c r="E365" s="389">
        <f t="shared" ref="E365:BH365" si="106">SUM(E359:E364)</f>
        <v>0</v>
      </c>
      <c r="F365" s="389">
        <f t="shared" si="106"/>
        <v>0</v>
      </c>
      <c r="G365" s="389">
        <f t="shared" si="106"/>
        <v>0</v>
      </c>
      <c r="H365" s="389">
        <f t="shared" si="106"/>
        <v>0</v>
      </c>
      <c r="I365" s="389">
        <f t="shared" si="106"/>
        <v>0</v>
      </c>
      <c r="J365" s="389">
        <f t="shared" si="106"/>
        <v>0</v>
      </c>
      <c r="K365" s="389">
        <f t="shared" si="106"/>
        <v>0</v>
      </c>
      <c r="L365" s="389">
        <f t="shared" si="106"/>
        <v>0</v>
      </c>
      <c r="M365" s="389">
        <f t="shared" si="106"/>
        <v>0</v>
      </c>
      <c r="N365" s="389">
        <f t="shared" si="106"/>
        <v>0</v>
      </c>
      <c r="O365" s="389">
        <f t="shared" si="106"/>
        <v>0</v>
      </c>
      <c r="P365" s="389">
        <f t="shared" si="106"/>
        <v>0</v>
      </c>
      <c r="Q365" s="389">
        <f t="shared" si="106"/>
        <v>0</v>
      </c>
      <c r="R365" s="389">
        <f t="shared" si="106"/>
        <v>0</v>
      </c>
      <c r="S365" s="389">
        <f t="shared" si="106"/>
        <v>0</v>
      </c>
      <c r="T365" s="389">
        <f t="shared" si="106"/>
        <v>0</v>
      </c>
      <c r="U365" s="389">
        <f t="shared" si="106"/>
        <v>0</v>
      </c>
      <c r="V365" s="389">
        <f t="shared" si="106"/>
        <v>0</v>
      </c>
      <c r="W365" s="389">
        <f t="shared" si="106"/>
        <v>0</v>
      </c>
      <c r="X365" s="389">
        <f t="shared" si="106"/>
        <v>0</v>
      </c>
      <c r="Y365" s="389">
        <f t="shared" si="106"/>
        <v>0</v>
      </c>
      <c r="Z365" s="389">
        <f t="shared" si="106"/>
        <v>0</v>
      </c>
      <c r="AA365" s="389">
        <f t="shared" si="106"/>
        <v>0</v>
      </c>
      <c r="AB365" s="389">
        <f t="shared" si="106"/>
        <v>0</v>
      </c>
      <c r="AC365" s="389">
        <f t="shared" si="106"/>
        <v>0</v>
      </c>
      <c r="AD365" s="389">
        <f t="shared" si="106"/>
        <v>0</v>
      </c>
      <c r="AE365" s="389">
        <f t="shared" si="106"/>
        <v>0</v>
      </c>
      <c r="AF365" s="389">
        <f t="shared" si="106"/>
        <v>0</v>
      </c>
      <c r="AG365" s="389">
        <f t="shared" si="106"/>
        <v>0</v>
      </c>
      <c r="AH365" s="389">
        <f t="shared" si="106"/>
        <v>0</v>
      </c>
      <c r="AI365" s="389">
        <f t="shared" si="106"/>
        <v>0</v>
      </c>
      <c r="AJ365" s="389">
        <f t="shared" si="106"/>
        <v>0</v>
      </c>
      <c r="AK365" s="389"/>
      <c r="AL365" s="389"/>
      <c r="AM365" s="389"/>
      <c r="AN365" s="389"/>
      <c r="AO365" s="389"/>
      <c r="AP365" s="389"/>
      <c r="AQ365" s="389"/>
      <c r="AR365" s="389"/>
      <c r="AS365" s="389"/>
      <c r="AT365" s="389"/>
      <c r="AU365" s="389"/>
      <c r="AV365" s="389">
        <f t="shared" si="106"/>
        <v>0</v>
      </c>
      <c r="AW365" s="389">
        <f t="shared" si="106"/>
        <v>0</v>
      </c>
      <c r="AX365" s="389">
        <f t="shared" si="106"/>
        <v>0</v>
      </c>
      <c r="AY365" s="389">
        <f t="shared" si="106"/>
        <v>0</v>
      </c>
      <c r="AZ365" s="389">
        <f t="shared" si="106"/>
        <v>0</v>
      </c>
      <c r="BA365" s="389">
        <f t="shared" si="106"/>
        <v>0</v>
      </c>
      <c r="BB365" s="421">
        <f t="shared" si="106"/>
        <v>0</v>
      </c>
      <c r="BC365" s="421">
        <f t="shared" si="106"/>
        <v>0</v>
      </c>
      <c r="BD365" s="389">
        <f t="shared" si="106"/>
        <v>0</v>
      </c>
      <c r="BE365" s="389">
        <f>SUM(BE359:BE364)</f>
        <v>0</v>
      </c>
      <c r="BF365" s="389">
        <f t="shared" si="106"/>
        <v>0</v>
      </c>
      <c r="BG365" s="388">
        <f t="shared" si="106"/>
        <v>0</v>
      </c>
      <c r="BH365" s="388">
        <f t="shared" si="106"/>
        <v>0</v>
      </c>
      <c r="BI365" s="82"/>
      <c r="BK365" s="82"/>
    </row>
    <row r="366" spans="2:63" ht="15.75" outlineLevel="1" thickTop="1" x14ac:dyDescent="0.25">
      <c r="C366" s="406"/>
      <c r="D366" s="351"/>
      <c r="BG366" s="351"/>
      <c r="BH366" s="351"/>
      <c r="BI366" s="82"/>
      <c r="BK366" s="82"/>
    </row>
    <row r="367" spans="2:63" outlineLevel="1" x14ac:dyDescent="0.25">
      <c r="B367" s="365" t="s">
        <v>119</v>
      </c>
      <c r="C367" s="406"/>
      <c r="D367" s="81"/>
      <c r="E367" s="80">
        <f>+'SEF-29 pg 1-2'!$E$13</f>
        <v>0</v>
      </c>
      <c r="F367" s="80">
        <f>+'SEF-29 pg 1-2'!$E$13</f>
        <v>0</v>
      </c>
      <c r="G367" s="80">
        <f>+'SEF-29 pg 1-2'!$E$13</f>
        <v>0</v>
      </c>
      <c r="H367" s="80">
        <f>+'SEF-29 pg 1-2'!$E$13</f>
        <v>0</v>
      </c>
      <c r="I367" s="80">
        <f>+'SEF-29 pg 1-2'!$E$13</f>
        <v>0</v>
      </c>
      <c r="J367" s="80">
        <f>+'SEF-29 pg 1-2'!$E$13</f>
        <v>0</v>
      </c>
      <c r="K367" s="80">
        <f>+'SEF-29 pg 1-2'!$E$13</f>
        <v>0</v>
      </c>
      <c r="L367" s="80">
        <f>+'SEF-29 pg 1-2'!$E$13</f>
        <v>0</v>
      </c>
      <c r="M367" s="80">
        <f>+'SEF-29 pg 1-2'!$E$13</f>
        <v>0</v>
      </c>
      <c r="N367" s="80">
        <f>+'SEF-29 pg 1-2'!$E$13</f>
        <v>0</v>
      </c>
      <c r="O367" s="80">
        <f>+'SEF-29 pg 1-2'!$E$13</f>
        <v>0</v>
      </c>
      <c r="P367" s="80">
        <f>+'SEF-29 pg 1-2'!$E$13</f>
        <v>0</v>
      </c>
      <c r="Q367" s="80">
        <f>+'SEF-29 pg 1-2'!$E$13</f>
        <v>0</v>
      </c>
      <c r="R367" s="80">
        <f>+'SEF-29 pg 1-2'!$E$13</f>
        <v>0</v>
      </c>
      <c r="S367" s="80">
        <f>+'SEF-29 pg 1-2'!$E$13</f>
        <v>0</v>
      </c>
      <c r="T367" s="80">
        <f>+'SEF-29 pg 1-2'!$E$13</f>
        <v>0</v>
      </c>
      <c r="U367" s="80">
        <f>+'SEF-29 pg 1-2'!$E$13</f>
        <v>0</v>
      </c>
      <c r="V367" s="80">
        <f>+'SEF-29 pg 1-2'!$E$13</f>
        <v>0</v>
      </c>
      <c r="W367" s="80">
        <f>+'SEF-29 pg 1-2'!$E$13</f>
        <v>0</v>
      </c>
      <c r="X367" s="80">
        <f>+'SEF-29 pg 1-2'!$E$13</f>
        <v>0</v>
      </c>
      <c r="Y367" s="80">
        <f>+'SEF-29 pg 1-2'!$E$13</f>
        <v>0</v>
      </c>
      <c r="Z367" s="80">
        <f>+'SEF-29 pg 1-2'!$E$13</f>
        <v>0</v>
      </c>
      <c r="AA367" s="80">
        <f>+'SEF-29 pg 1-2'!$E$13</f>
        <v>0</v>
      </c>
      <c r="AB367" s="80">
        <f>+'SEF-29 pg 1-2'!$E$13</f>
        <v>0</v>
      </c>
      <c r="AC367" s="80">
        <f>+'SEF-29 pg 1-2'!$E$13</f>
        <v>0</v>
      </c>
      <c r="AD367" s="80">
        <f>+'SEF-29 pg 1-2'!$E$13</f>
        <v>0</v>
      </c>
      <c r="AE367" s="80">
        <f>+'SEF-29 pg 1-2'!$E$13</f>
        <v>0</v>
      </c>
      <c r="AF367" s="80">
        <f>+'SEF-29 pg 1-2'!$E$13</f>
        <v>0</v>
      </c>
      <c r="AG367" s="80">
        <f>+'SEF-29 pg 1-2'!$E$13</f>
        <v>0</v>
      </c>
      <c r="AH367" s="80">
        <f>+'SEF-29 pg 1-2'!$E$13</f>
        <v>0</v>
      </c>
      <c r="AI367" s="80">
        <f>+'SEF-29 pg 1-2'!$E$13</f>
        <v>0</v>
      </c>
      <c r="AJ367" s="80">
        <f>+'SEF-29 pg 1-2'!$E$13</f>
        <v>0</v>
      </c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>
        <f>+'SEF-29 pg 1-2'!$E$13</f>
        <v>0</v>
      </c>
      <c r="AW367" s="80">
        <f>+'SEF-29 pg 1-2'!$E$13</f>
        <v>0</v>
      </c>
      <c r="AX367" s="80">
        <f>+'SEF-29 pg 1-2'!$E$13</f>
        <v>0</v>
      </c>
      <c r="AY367" s="80">
        <f>+'SEF-29 pg 1-2'!$E$13</f>
        <v>0</v>
      </c>
      <c r="AZ367" s="80">
        <f>+'SEF-29 pg 1-2'!$E$13</f>
        <v>0</v>
      </c>
      <c r="BA367" s="80">
        <f>+'SEF-29 pg 1-2'!$E$13</f>
        <v>0</v>
      </c>
      <c r="BB367" s="80">
        <f>+'SEF-29 pg 1-2'!$E$13</f>
        <v>0</v>
      </c>
      <c r="BC367" s="80">
        <f>+'SEF-29 pg 1-2'!$E$13</f>
        <v>0</v>
      </c>
      <c r="BD367" s="80">
        <f>+'SEF-29 pg 1-2'!$E$13</f>
        <v>0</v>
      </c>
      <c r="BE367" s="80">
        <f>+'SEF-29 pg 1-2'!$E$13</f>
        <v>0</v>
      </c>
      <c r="BF367" s="80">
        <f>+'SEF-29 pg 1-2'!$E$13</f>
        <v>0</v>
      </c>
      <c r="BG367" s="81">
        <f>+'SEF-29 pg 1-2'!$E$13</f>
        <v>0</v>
      </c>
      <c r="BH367" s="81">
        <f>+'SEF-29 pg 1-2'!$E$13</f>
        <v>0</v>
      </c>
      <c r="BI367" s="82"/>
      <c r="BK367" s="82"/>
    </row>
    <row r="368" spans="2:63" outlineLevel="1" x14ac:dyDescent="0.25">
      <c r="B368" s="365" t="s">
        <v>3</v>
      </c>
      <c r="C368" s="406"/>
      <c r="D368" s="351"/>
      <c r="E368" s="317">
        <f>+'SEF-31'!$E$20</f>
        <v>0.75052300000000005</v>
      </c>
      <c r="F368" s="317">
        <f>+'SEF-31'!$E$20</f>
        <v>0.75052300000000005</v>
      </c>
      <c r="G368" s="317">
        <f>+'SEF-31'!$E$20</f>
        <v>0.75052300000000005</v>
      </c>
      <c r="H368" s="317">
        <f>+'SEF-31'!$E$20</f>
        <v>0.75052300000000005</v>
      </c>
      <c r="I368" s="317">
        <f>+'SEF-31'!$E$20</f>
        <v>0.75052300000000005</v>
      </c>
      <c r="J368" s="317">
        <f>+'SEF-31'!$E$20</f>
        <v>0.75052300000000005</v>
      </c>
      <c r="K368" s="317">
        <f>+'SEF-31'!$E$20</f>
        <v>0.75052300000000005</v>
      </c>
      <c r="L368" s="317">
        <f>+'SEF-31'!$E$20</f>
        <v>0.75052300000000005</v>
      </c>
      <c r="M368" s="317">
        <f>+'SEF-31'!$E$20</f>
        <v>0.75052300000000005</v>
      </c>
      <c r="N368" s="317">
        <f>+'SEF-31'!$E$20</f>
        <v>0.75052300000000005</v>
      </c>
      <c r="O368" s="317">
        <f>+'SEF-31'!$E$20</f>
        <v>0.75052300000000005</v>
      </c>
      <c r="P368" s="317">
        <f>+'SEF-31'!$E$20</f>
        <v>0.75052300000000005</v>
      </c>
      <c r="Q368" s="317">
        <f>+'SEF-31'!$E$20</f>
        <v>0.75052300000000005</v>
      </c>
      <c r="R368" s="317">
        <f>+'SEF-31'!$E$20</f>
        <v>0.75052300000000005</v>
      </c>
      <c r="S368" s="317">
        <f>+'SEF-31'!$E$20</f>
        <v>0.75052300000000005</v>
      </c>
      <c r="T368" s="317">
        <f>+'SEF-31'!$E$20</f>
        <v>0.75052300000000005</v>
      </c>
      <c r="U368" s="317">
        <f>+'SEF-31'!$E$20</f>
        <v>0.75052300000000005</v>
      </c>
      <c r="V368" s="317">
        <f>+'SEF-31'!$E$20</f>
        <v>0.75052300000000005</v>
      </c>
      <c r="W368" s="317">
        <f>+'SEF-31'!$E$20</f>
        <v>0.75052300000000005</v>
      </c>
      <c r="X368" s="317">
        <f>+'SEF-31'!$E$20</f>
        <v>0.75052300000000005</v>
      </c>
      <c r="Y368" s="317">
        <f>+'SEF-31'!$E$20</f>
        <v>0.75052300000000005</v>
      </c>
      <c r="Z368" s="317">
        <f>+'SEF-31'!$E$20</f>
        <v>0.75052300000000005</v>
      </c>
      <c r="AA368" s="317">
        <f>+'SEF-31'!$E$20</f>
        <v>0.75052300000000005</v>
      </c>
      <c r="AB368" s="317">
        <f>+'SEF-31'!$E$20</f>
        <v>0.75052300000000005</v>
      </c>
      <c r="AC368" s="317">
        <f>+'SEF-31'!$E$20</f>
        <v>0.75052300000000005</v>
      </c>
      <c r="AD368" s="317">
        <f>+'SEF-31'!$E$20</f>
        <v>0.75052300000000005</v>
      </c>
      <c r="AE368" s="317">
        <f>+'SEF-31'!$E$20</f>
        <v>0.75052300000000005</v>
      </c>
      <c r="AF368" s="317">
        <f>+'SEF-31'!$E$20</f>
        <v>0.75052300000000005</v>
      </c>
      <c r="AG368" s="317">
        <f>+'SEF-31'!$E$20</f>
        <v>0.75052300000000005</v>
      </c>
      <c r="AH368" s="317">
        <f>+'SEF-31'!$E$20</f>
        <v>0.75052300000000005</v>
      </c>
      <c r="AI368" s="317">
        <f>+'SEF-31'!$E$20</f>
        <v>0.75052300000000005</v>
      </c>
      <c r="AJ368" s="317">
        <f>+'SEF-31'!$E$20</f>
        <v>0.75052300000000005</v>
      </c>
      <c r="AV368" s="317">
        <f>+'SEF-31'!$E$20</f>
        <v>0.75052300000000005</v>
      </c>
      <c r="AW368" s="317">
        <f>+'SEF-31'!$E$20</f>
        <v>0.75052300000000005</v>
      </c>
      <c r="AX368" s="317">
        <f>+'SEF-31'!$E$20</f>
        <v>0.75052300000000005</v>
      </c>
      <c r="AY368" s="317">
        <f>+'SEF-31'!$E$20</f>
        <v>0.75052300000000005</v>
      </c>
      <c r="AZ368" s="317">
        <f>+'SEF-31'!$E$20</f>
        <v>0.75052300000000005</v>
      </c>
      <c r="BA368" s="317">
        <f>+'SEF-31'!$E$20</f>
        <v>0.75052300000000005</v>
      </c>
      <c r="BB368" s="317">
        <f>+'SEF-31'!$E$20</f>
        <v>0.75052300000000005</v>
      </c>
      <c r="BC368" s="317">
        <f>+'SEF-31'!$E$20</f>
        <v>0.75052300000000005</v>
      </c>
      <c r="BD368" s="317">
        <f>+'SEF-31'!$E$20</f>
        <v>0.75052300000000005</v>
      </c>
      <c r="BE368" s="317">
        <f>+'SEF-31'!$E$20</f>
        <v>0.75052300000000005</v>
      </c>
      <c r="BF368" s="317">
        <f>+'SEF-31'!$E$20</f>
        <v>0.75052300000000005</v>
      </c>
      <c r="BG368" s="351">
        <f>+'SEF-31'!$E$20</f>
        <v>0.75052300000000005</v>
      </c>
      <c r="BH368" s="351">
        <f>+'SEF-31'!$E$20</f>
        <v>0.75052300000000005</v>
      </c>
      <c r="BI368" s="82"/>
      <c r="BK368" s="82"/>
    </row>
    <row r="369" spans="1:63" outlineLevel="1" x14ac:dyDescent="0.25">
      <c r="B369" s="365" t="s">
        <v>152</v>
      </c>
      <c r="C369" s="406"/>
      <c r="D369" s="357"/>
      <c r="E369" s="382">
        <f t="shared" ref="E369:BF369" si="107">+E352-(E365*E367)</f>
        <v>0</v>
      </c>
      <c r="F369" s="382">
        <f t="shared" si="107"/>
        <v>0</v>
      </c>
      <c r="G369" s="382">
        <f t="shared" si="107"/>
        <v>0</v>
      </c>
      <c r="H369" s="382">
        <f t="shared" si="107"/>
        <v>0</v>
      </c>
      <c r="I369" s="382">
        <f t="shared" si="107"/>
        <v>0</v>
      </c>
      <c r="J369" s="382">
        <f t="shared" si="107"/>
        <v>0</v>
      </c>
      <c r="K369" s="382">
        <f t="shared" si="107"/>
        <v>0</v>
      </c>
      <c r="L369" s="382">
        <f t="shared" si="107"/>
        <v>0</v>
      </c>
      <c r="M369" s="382">
        <f t="shared" si="107"/>
        <v>0</v>
      </c>
      <c r="N369" s="382">
        <f t="shared" si="107"/>
        <v>0</v>
      </c>
      <c r="O369" s="382">
        <f t="shared" si="107"/>
        <v>0</v>
      </c>
      <c r="P369" s="382">
        <f t="shared" si="107"/>
        <v>0</v>
      </c>
      <c r="Q369" s="382">
        <f t="shared" si="107"/>
        <v>0</v>
      </c>
      <c r="R369" s="382">
        <f t="shared" si="107"/>
        <v>0</v>
      </c>
      <c r="S369" s="382">
        <f t="shared" si="107"/>
        <v>0</v>
      </c>
      <c r="T369" s="382">
        <f t="shared" si="107"/>
        <v>0</v>
      </c>
      <c r="U369" s="382">
        <f t="shared" si="107"/>
        <v>0</v>
      </c>
      <c r="V369" s="382">
        <f t="shared" si="107"/>
        <v>0</v>
      </c>
      <c r="W369" s="382">
        <f t="shared" si="107"/>
        <v>0</v>
      </c>
      <c r="X369" s="382">
        <f t="shared" si="107"/>
        <v>0</v>
      </c>
      <c r="Y369" s="382">
        <f t="shared" si="107"/>
        <v>0</v>
      </c>
      <c r="Z369" s="392">
        <f t="shared" si="107"/>
        <v>0</v>
      </c>
      <c r="AA369" s="382">
        <f t="shared" si="107"/>
        <v>0</v>
      </c>
      <c r="AB369" s="382">
        <f t="shared" si="107"/>
        <v>0</v>
      </c>
      <c r="AC369" s="382">
        <f t="shared" si="107"/>
        <v>0</v>
      </c>
      <c r="AD369" s="382">
        <f t="shared" si="107"/>
        <v>0</v>
      </c>
      <c r="AE369" s="382">
        <f t="shared" si="107"/>
        <v>0</v>
      </c>
      <c r="AF369" s="382">
        <f t="shared" si="107"/>
        <v>0</v>
      </c>
      <c r="AG369" s="382">
        <f t="shared" si="107"/>
        <v>0</v>
      </c>
      <c r="AH369" s="382">
        <f t="shared" si="107"/>
        <v>0</v>
      </c>
      <c r="AI369" s="382">
        <f t="shared" si="107"/>
        <v>0</v>
      </c>
      <c r="AJ369" s="382">
        <f t="shared" si="107"/>
        <v>0</v>
      </c>
      <c r="AK369" s="382"/>
      <c r="AL369" s="382"/>
      <c r="AM369" s="382"/>
      <c r="AN369" s="382"/>
      <c r="AO369" s="382"/>
      <c r="AP369" s="382"/>
      <c r="AQ369" s="382"/>
      <c r="AR369" s="382"/>
      <c r="AS369" s="382"/>
      <c r="AT369" s="382"/>
      <c r="AU369" s="382"/>
      <c r="AV369" s="414">
        <f t="shared" si="107"/>
        <v>0</v>
      </c>
      <c r="AW369" s="382">
        <f t="shared" si="107"/>
        <v>0</v>
      </c>
      <c r="AX369" s="382">
        <f t="shared" si="107"/>
        <v>0</v>
      </c>
      <c r="AY369" s="382">
        <f t="shared" si="107"/>
        <v>0</v>
      </c>
      <c r="AZ369" s="382">
        <f t="shared" si="107"/>
        <v>0</v>
      </c>
      <c r="BA369" s="382">
        <f t="shared" si="107"/>
        <v>0</v>
      </c>
      <c r="BB369" s="382">
        <f t="shared" si="107"/>
        <v>0</v>
      </c>
      <c r="BC369" s="382">
        <f t="shared" si="107"/>
        <v>0</v>
      </c>
      <c r="BD369" s="382">
        <f t="shared" si="107"/>
        <v>0</v>
      </c>
      <c r="BE369" s="382">
        <f>+BE352-(BE365*BE367)</f>
        <v>0</v>
      </c>
      <c r="BF369" s="382">
        <f t="shared" si="107"/>
        <v>0</v>
      </c>
      <c r="BG369" s="357">
        <f>SUM(E369:BF369)</f>
        <v>0</v>
      </c>
      <c r="BH369" s="357">
        <f>+BH352-(BH365*BH367)</f>
        <v>0</v>
      </c>
      <c r="BI369" s="82"/>
      <c r="BK369" s="82"/>
    </row>
    <row r="370" spans="1:63" outlineLevel="1" x14ac:dyDescent="0.25">
      <c r="B370" s="365" t="s">
        <v>153</v>
      </c>
      <c r="C370" s="406"/>
      <c r="D370" s="357"/>
      <c r="E370" s="382">
        <f t="shared" ref="E370:BH370" si="108">-E369/E368</f>
        <v>0</v>
      </c>
      <c r="F370" s="382">
        <f t="shared" si="108"/>
        <v>0</v>
      </c>
      <c r="G370" s="382">
        <f t="shared" si="108"/>
        <v>0</v>
      </c>
      <c r="H370" s="382">
        <f t="shared" si="108"/>
        <v>0</v>
      </c>
      <c r="I370" s="382">
        <f t="shared" si="108"/>
        <v>0</v>
      </c>
      <c r="J370" s="382">
        <f t="shared" si="108"/>
        <v>0</v>
      </c>
      <c r="K370" s="382">
        <f t="shared" si="108"/>
        <v>0</v>
      </c>
      <c r="L370" s="382">
        <f t="shared" si="108"/>
        <v>0</v>
      </c>
      <c r="M370" s="382">
        <f t="shared" si="108"/>
        <v>0</v>
      </c>
      <c r="N370" s="382">
        <f t="shared" si="108"/>
        <v>0</v>
      </c>
      <c r="O370" s="382">
        <f t="shared" si="108"/>
        <v>0</v>
      </c>
      <c r="P370" s="382">
        <f t="shared" si="108"/>
        <v>0</v>
      </c>
      <c r="Q370" s="382">
        <f t="shared" si="108"/>
        <v>0</v>
      </c>
      <c r="R370" s="382">
        <f t="shared" si="108"/>
        <v>0</v>
      </c>
      <c r="S370" s="382">
        <f t="shared" si="108"/>
        <v>0</v>
      </c>
      <c r="T370" s="382">
        <f t="shared" si="108"/>
        <v>0</v>
      </c>
      <c r="U370" s="382">
        <f t="shared" si="108"/>
        <v>0</v>
      </c>
      <c r="V370" s="382">
        <f t="shared" si="108"/>
        <v>0</v>
      </c>
      <c r="W370" s="382">
        <f t="shared" si="108"/>
        <v>0</v>
      </c>
      <c r="X370" s="382">
        <f t="shared" si="108"/>
        <v>0</v>
      </c>
      <c r="Y370" s="382">
        <f t="shared" si="108"/>
        <v>0</v>
      </c>
      <c r="Z370" s="392">
        <f t="shared" si="108"/>
        <v>0</v>
      </c>
      <c r="AA370" s="382">
        <f t="shared" si="108"/>
        <v>0</v>
      </c>
      <c r="AB370" s="382">
        <f t="shared" si="108"/>
        <v>0</v>
      </c>
      <c r="AC370" s="382">
        <f t="shared" si="108"/>
        <v>0</v>
      </c>
      <c r="AD370" s="382">
        <f t="shared" si="108"/>
        <v>0</v>
      </c>
      <c r="AE370" s="382">
        <f t="shared" si="108"/>
        <v>0</v>
      </c>
      <c r="AF370" s="382">
        <f t="shared" si="108"/>
        <v>0</v>
      </c>
      <c r="AG370" s="382">
        <f t="shared" si="108"/>
        <v>0</v>
      </c>
      <c r="AH370" s="382">
        <f t="shared" si="108"/>
        <v>0</v>
      </c>
      <c r="AI370" s="382">
        <f t="shared" si="108"/>
        <v>0</v>
      </c>
      <c r="AJ370" s="382">
        <f t="shared" si="108"/>
        <v>0</v>
      </c>
      <c r="AK370" s="382"/>
      <c r="AL370" s="382"/>
      <c r="AM370" s="382"/>
      <c r="AN370" s="382"/>
      <c r="AO370" s="382"/>
      <c r="AP370" s="382"/>
      <c r="AQ370" s="382"/>
      <c r="AR370" s="382"/>
      <c r="AS370" s="382"/>
      <c r="AT370" s="382"/>
      <c r="AU370" s="382"/>
      <c r="AV370" s="414">
        <f t="shared" si="108"/>
        <v>0</v>
      </c>
      <c r="AW370" s="382">
        <f t="shared" si="108"/>
        <v>0</v>
      </c>
      <c r="AX370" s="382">
        <f t="shared" si="108"/>
        <v>0</v>
      </c>
      <c r="AY370" s="382">
        <f t="shared" si="108"/>
        <v>0</v>
      </c>
      <c r="AZ370" s="382">
        <f t="shared" si="108"/>
        <v>0</v>
      </c>
      <c r="BA370" s="382">
        <f t="shared" si="108"/>
        <v>0</v>
      </c>
      <c r="BB370" s="382">
        <f t="shared" si="108"/>
        <v>0</v>
      </c>
      <c r="BC370" s="382">
        <f t="shared" si="108"/>
        <v>0</v>
      </c>
      <c r="BD370" s="382">
        <f t="shared" si="108"/>
        <v>0</v>
      </c>
      <c r="BE370" s="382">
        <f>-BE369/BE368</f>
        <v>0</v>
      </c>
      <c r="BF370" s="382">
        <f t="shared" si="108"/>
        <v>0</v>
      </c>
      <c r="BG370" s="357">
        <f t="shared" si="108"/>
        <v>0</v>
      </c>
      <c r="BH370" s="357">
        <f t="shared" si="108"/>
        <v>0</v>
      </c>
      <c r="BI370" s="82"/>
      <c r="BK370" s="82"/>
    </row>
    <row r="371" spans="1:63" outlineLevel="1" x14ac:dyDescent="0.25">
      <c r="B371" s="365" t="s">
        <v>128</v>
      </c>
      <c r="C371" s="406"/>
      <c r="D371" s="357"/>
      <c r="E371" s="382"/>
      <c r="F371" s="382"/>
      <c r="G371" s="382"/>
      <c r="H371" s="382"/>
      <c r="I371" s="382"/>
      <c r="J371" s="382"/>
      <c r="K371" s="382"/>
      <c r="L371" s="382"/>
      <c r="M371" s="382"/>
      <c r="N371" s="382"/>
      <c r="O371" s="382"/>
      <c r="P371" s="382"/>
      <c r="Q371" s="382"/>
      <c r="R371" s="382"/>
      <c r="S371" s="382"/>
      <c r="T371" s="382"/>
      <c r="U371" s="382"/>
      <c r="V371" s="382"/>
      <c r="W371" s="382"/>
      <c r="X371" s="382"/>
      <c r="Y371" s="382"/>
      <c r="Z371" s="382"/>
      <c r="AA371" s="382"/>
      <c r="AB371" s="382"/>
      <c r="AC371" s="382"/>
      <c r="AD371" s="382"/>
      <c r="AE371" s="382"/>
      <c r="AF371" s="382"/>
      <c r="AG371" s="382"/>
      <c r="AH371" s="382"/>
      <c r="AI371" s="382"/>
      <c r="AJ371" s="382"/>
      <c r="AK371" s="382"/>
      <c r="AL371" s="382"/>
      <c r="AM371" s="382"/>
      <c r="AN371" s="382"/>
      <c r="AO371" s="382"/>
      <c r="AP371" s="382"/>
      <c r="AQ371" s="382"/>
      <c r="AR371" s="382"/>
      <c r="AS371" s="382"/>
      <c r="AT371" s="382"/>
      <c r="AU371" s="382"/>
      <c r="AV371" s="392"/>
      <c r="AW371" s="382"/>
      <c r="AX371" s="382"/>
      <c r="AY371" s="382"/>
      <c r="AZ371" s="382"/>
      <c r="BA371" s="382"/>
      <c r="BB371" s="382"/>
      <c r="BC371" s="382"/>
      <c r="BD371" s="382"/>
      <c r="BE371" s="382"/>
      <c r="BF371" s="382"/>
      <c r="BG371" s="357"/>
      <c r="BH371" s="357"/>
      <c r="BI371" s="82"/>
      <c r="BK371" s="82"/>
    </row>
    <row r="372" spans="1:63" outlineLevel="1" x14ac:dyDescent="0.25">
      <c r="B372" s="365" t="s">
        <v>129</v>
      </c>
      <c r="C372" s="406"/>
      <c r="D372" s="357"/>
      <c r="E372" s="382"/>
      <c r="F372" s="382"/>
      <c r="G372" s="382"/>
      <c r="H372" s="382"/>
      <c r="I372" s="382"/>
      <c r="J372" s="382"/>
      <c r="K372" s="382"/>
      <c r="L372" s="382"/>
      <c r="M372" s="382"/>
      <c r="N372" s="382"/>
      <c r="O372" s="382"/>
      <c r="P372" s="382"/>
      <c r="Q372" s="382"/>
      <c r="R372" s="382"/>
      <c r="S372" s="382"/>
      <c r="T372" s="382"/>
      <c r="U372" s="382"/>
      <c r="V372" s="382"/>
      <c r="W372" s="382"/>
      <c r="X372" s="382"/>
      <c r="Y372" s="382"/>
      <c r="Z372" s="382"/>
      <c r="AA372" s="382"/>
      <c r="AB372" s="382"/>
      <c r="AC372" s="382"/>
      <c r="AD372" s="382"/>
      <c r="AE372" s="382"/>
      <c r="AF372" s="382"/>
      <c r="AG372" s="382"/>
      <c r="AH372" s="382"/>
      <c r="AI372" s="382"/>
      <c r="AJ372" s="382"/>
      <c r="AK372" s="382"/>
      <c r="AL372" s="382"/>
      <c r="AM372" s="382"/>
      <c r="AN372" s="382"/>
      <c r="AO372" s="382"/>
      <c r="AP372" s="382"/>
      <c r="AQ372" s="382"/>
      <c r="AR372" s="382"/>
      <c r="AS372" s="382"/>
      <c r="AT372" s="382"/>
      <c r="AU372" s="382"/>
      <c r="AV372" s="382"/>
      <c r="AW372" s="382"/>
      <c r="AX372" s="382"/>
      <c r="AY372" s="382"/>
      <c r="AZ372" s="382"/>
      <c r="BA372" s="382"/>
      <c r="BB372" s="382"/>
      <c r="BC372" s="382"/>
      <c r="BD372" s="382"/>
      <c r="BE372" s="382"/>
      <c r="BF372" s="382"/>
      <c r="BG372" s="357"/>
      <c r="BH372" s="425">
        <f>SUM(BH370:BH371)</f>
        <v>0</v>
      </c>
      <c r="BI372" s="82"/>
      <c r="BK372" s="82"/>
    </row>
    <row r="373" spans="1:63" outlineLevel="1" x14ac:dyDescent="0.25">
      <c r="B373" s="365"/>
      <c r="C373" s="406"/>
      <c r="D373" s="393"/>
      <c r="E373" s="382"/>
      <c r="F373" s="382"/>
      <c r="G373" s="382"/>
      <c r="H373" s="382"/>
      <c r="I373" s="382"/>
      <c r="J373" s="382"/>
      <c r="K373" s="382"/>
      <c r="L373" s="382"/>
      <c r="M373" s="382"/>
      <c r="N373" s="382"/>
      <c r="O373" s="382"/>
      <c r="P373" s="382"/>
      <c r="Q373" s="382"/>
      <c r="R373" s="382"/>
      <c r="S373" s="382"/>
      <c r="T373" s="382"/>
      <c r="U373" s="382"/>
      <c r="V373" s="382"/>
      <c r="W373" s="382"/>
      <c r="X373" s="382"/>
      <c r="Y373" s="382"/>
      <c r="Z373" s="382"/>
      <c r="AA373" s="382"/>
      <c r="AB373" s="382"/>
      <c r="AC373" s="382"/>
      <c r="AD373" s="382"/>
      <c r="AE373" s="382"/>
      <c r="AF373" s="382"/>
      <c r="AG373" s="382"/>
      <c r="AH373" s="382"/>
      <c r="AI373" s="382"/>
      <c r="AJ373" s="382"/>
      <c r="AK373" s="382"/>
      <c r="AL373" s="382"/>
      <c r="AM373" s="382"/>
      <c r="AN373" s="382"/>
      <c r="AO373" s="382"/>
      <c r="AP373" s="382"/>
      <c r="AQ373" s="382"/>
      <c r="AR373" s="382"/>
      <c r="AS373" s="382"/>
      <c r="AT373" s="382"/>
      <c r="AU373" s="382"/>
      <c r="AV373" s="382"/>
      <c r="AW373" s="382"/>
      <c r="AX373" s="382"/>
      <c r="AY373" s="382"/>
      <c r="AZ373" s="382"/>
      <c r="BA373" s="382"/>
      <c r="BB373" s="382"/>
      <c r="BC373" s="382"/>
      <c r="BD373" s="382"/>
      <c r="BE373" s="382"/>
      <c r="BF373" s="382"/>
      <c r="BG373" s="393"/>
      <c r="BH373" s="393"/>
      <c r="BI373" s="82"/>
      <c r="BK373" s="82"/>
    </row>
    <row r="374" spans="1:63" outlineLevel="1" x14ac:dyDescent="0.25">
      <c r="B374" s="365"/>
      <c r="C374" s="406"/>
      <c r="BG374" s="80">
        <f>+'SEF-29 pg 1-2'!$K$24</f>
        <v>7.6499999999999999E-2</v>
      </c>
      <c r="BH374" s="80">
        <f>+'SEF-29 pg 1-2'!$K$24</f>
        <v>7.6499999999999999E-2</v>
      </c>
      <c r="BI374" s="82"/>
      <c r="BK374" s="82"/>
    </row>
    <row r="375" spans="1:63" outlineLevel="1" x14ac:dyDescent="0.25">
      <c r="B375" s="395" t="s">
        <v>154</v>
      </c>
      <c r="C375" s="406"/>
      <c r="D375" s="426"/>
      <c r="E375" s="427">
        <f>ROUND('SEF-32 pg 1-34, 46'!O71-E352,0)+E354</f>
        <v>0</v>
      </c>
      <c r="F375" s="427">
        <f>ROUND('SEF-32 pg 1-34, 46'!AG75-F352,0)+F354</f>
        <v>0</v>
      </c>
      <c r="G375" s="427">
        <v>0</v>
      </c>
      <c r="H375" s="427">
        <f>ROUND('SEF-32 pg 1-34, 46'!BO23-H352,0)+ROUND('SEF-32 pg 1-34, 46'!BO28-H354,0)</f>
        <v>0</v>
      </c>
      <c r="I375" s="427">
        <f>ROUND('SEF-32 pg 1-34, 46'!CG24-I352,0)+I354</f>
        <v>0</v>
      </c>
      <c r="J375" s="427">
        <f>ROUND('SEF-32 pg 1-34, 46'!CY21-J352,0)+J354</f>
        <v>0</v>
      </c>
      <c r="K375" s="427">
        <f>ROUND('SEF-32 pg 1-34, 46'!DQ25-K352,0)+K354</f>
        <v>0</v>
      </c>
      <c r="L375" s="427">
        <f>ROUND('SEF-32 pg 1-34, 46'!EI22-L352,0)+L354</f>
        <v>0</v>
      </c>
      <c r="M375" s="427">
        <f>ROUND('SEF-32 pg 1-34, 46'!FA27-M352,0)+M354</f>
        <v>0</v>
      </c>
      <c r="N375" s="427">
        <f>ROUND('SEF-32 pg 1-34, 46'!FS23-N352,0)+N354</f>
        <v>0</v>
      </c>
      <c r="O375" s="427">
        <f>ROUND('SEF-32 pg 1-34, 46'!GK31-O352,0)+O354</f>
        <v>0</v>
      </c>
      <c r="P375" s="427">
        <f>ROUND('SEF-32 pg 1-34, 46'!HC37-P352,0)+P354</f>
        <v>0</v>
      </c>
      <c r="Q375" s="427">
        <f>ROUND('SEF-32 pg 1-34, 46'!HU18-Q352,0)+Q354</f>
        <v>0</v>
      </c>
      <c r="R375" s="427">
        <f>ROUND('SEF-32 pg 1-34, 46'!IM23-R352,0)+R354</f>
        <v>0</v>
      </c>
      <c r="S375" s="427">
        <f>ROUND('SEF-32 pg 1-34, 46'!JE22-S352,0)+S354</f>
        <v>0</v>
      </c>
      <c r="T375" s="427">
        <f>ROUND('SEF-32 pg 1-34, 46'!JW23-T352,0)+T354</f>
        <v>0</v>
      </c>
      <c r="U375" s="427">
        <f>ROUND('SEF-32 pg 1-34, 46'!KO20-U352,0)+U354</f>
        <v>0</v>
      </c>
      <c r="V375" s="427">
        <f>ROUND('SEF-32 pg 1-34, 46'!LG32-V352,0)+V354</f>
        <v>0</v>
      </c>
      <c r="W375" s="427">
        <f>ROUND('SEF-32 pg 1-34, 46'!LY22-W352,0)+W354</f>
        <v>0</v>
      </c>
      <c r="X375" s="427">
        <f>ROUND('SEF-32 pg 1-34, 46'!MQ31-X352,0)+ROUND('SEF-32 pg 1-34, 46'!MQ36-X354,0)</f>
        <v>0</v>
      </c>
      <c r="Y375" s="427">
        <f>ROUND('SEF-32 pg 1-34, 46'!NI21-Y352,0)+Y354</f>
        <v>0</v>
      </c>
      <c r="Z375" s="427">
        <f>ROUND('SEF-32 pg 1-34, 46'!OA33-Z352,0)+Z354</f>
        <v>0</v>
      </c>
      <c r="AA375" s="427" t="e">
        <f>ROUND('SEF-32 pg 1-34, 46'!OS40-AA354,0)+ROUND('SEF-32 pg 1-34, 46'!OS29-AA352,0)</f>
        <v>#REF!</v>
      </c>
      <c r="AB375" s="427">
        <f>ROUND('SEF-32 pg 1-34, 46'!PK46-AB352,0)+ROUND('SEF-32 pg 1-34, 46'!PK35-AB354,0)</f>
        <v>0</v>
      </c>
      <c r="AC375" s="427">
        <f>ROUND('SEF-32 pg 1-34, 46'!QG21-AC352,0)+AC354</f>
        <v>0</v>
      </c>
      <c r="AD375" s="427">
        <f>+ROUND('SEF-32 pg 1-34, 46'!QY21-AD354,0)+ROUND(-AD352,0)</f>
        <v>0</v>
      </c>
      <c r="AE375" s="427">
        <f>ROUND('SEF-32 pg 1-34, 46'!RQ31-AE352,0)+ROUND('SEF-32 pg 1-34, 46'!RQ36-AE354,0)</f>
        <v>0</v>
      </c>
      <c r="AF375" s="427">
        <f>ROUND('SEF-32 pg 1-34, 46'!SI30-AF352,0)+ROUND('SEF-32 pg 1-34, 46'!SI35-AF354,0)</f>
        <v>0</v>
      </c>
      <c r="AG375" s="427">
        <f>ROUND('SEF-32 pg 1-34, 46'!TA26-AG352,0)+ROUND('SEF-32 pg 1-34, 46'!TA31-AG354,0)</f>
        <v>0</v>
      </c>
      <c r="AH375" s="427">
        <f>ROUND('SEF-32 pg 1-34, 46'!TA62-AH352,0)+ROUND('SEF-32 pg 1-34, 46'!TA67-AH354,0)</f>
        <v>0</v>
      </c>
      <c r="AI375" s="427">
        <f>ROUND('SEF-32 pg 1-34, 46'!TA80-AH352,0)+ROUND('SEF-32 pg 1-34, 46'!TA85-AH354,0)</f>
        <v>0</v>
      </c>
      <c r="AJ375" s="427">
        <f>ROUND('SEF-32 pg 1-34, 46'!TA98-AJ352,0)+ROUND('SEF-32 pg 1-34, 46'!TA103-AJ268,0)</f>
        <v>0</v>
      </c>
      <c r="AK375" s="427"/>
      <c r="AL375" s="427"/>
      <c r="AM375" s="427"/>
      <c r="AN375" s="427"/>
      <c r="AO375" s="427"/>
      <c r="AP375" s="427"/>
      <c r="AQ375" s="427"/>
      <c r="AR375" s="427"/>
      <c r="AS375" s="427"/>
      <c r="AT375" s="427"/>
      <c r="AU375" s="427"/>
      <c r="AV375" s="427">
        <f>ROUND('SEF-32 pg 35-45'!O$39-'SEF-30 pg 2 - 36 '!AV352,0)+AV354</f>
        <v>0</v>
      </c>
      <c r="AW375" s="427">
        <f>ROUND('SEF-32 pg 35-45'!AY$29-'SEF-30 pg 2 - 36 '!AW352,0)+ROUND('SEF-32 pg 35-45'!AY$21-'SEF-30 pg 2 - 36 '!AW354,0)</f>
        <v>0</v>
      </c>
      <c r="AX375" s="427">
        <f>ROUND('SEF-32 pg 35-45'!BQ$30-'SEF-30 pg 2 - 36 '!AX352,0)+AX354</f>
        <v>0</v>
      </c>
      <c r="AY375" s="427">
        <f>ROUND('SEF-32 pg 35-45'!CI$32-AY354,0)+ROUND('SEF-32 pg 35-45'!CI$66-AY352,0)</f>
        <v>0</v>
      </c>
      <c r="AZ375" s="427">
        <f>ROUND('SEF-32 pg 35-45'!DA$29-'SEF-30 pg 2 - 36 '!AZ352,0)+ROUND('SEF-32 pg 35-45'!DA$21-'SEF-30 pg 2 - 36 '!AZ354,0)</f>
        <v>0</v>
      </c>
      <c r="BA375" s="427">
        <f>ROUND('SEF-32 pg 35-45'!DS$30-'SEF-30 pg 2 - 36 '!BA352,0)+BA354</f>
        <v>0</v>
      </c>
      <c r="BB375" s="427">
        <f>ROUND('SEF-32 pg 35-45'!EK$70-'SEF-30 pg 2 - 36 '!BB352,0)+ROUND('SEF-32 pg 35-45'!EK$58-'SEF-30 pg 2 - 36 '!BB354,0)</f>
        <v>0</v>
      </c>
      <c r="BC375" s="427">
        <f>ROUND('SEF-32 pg 35-45'!FC$42-'SEF-30 pg 2 - 36 '!BC352,0)+ROUND('SEF-32 pg 35-45'!FC$31-'SEF-30 pg 2 - 36 '!BC354,0)</f>
        <v>0</v>
      </c>
      <c r="BD375" s="427">
        <f>ROUND('SEF-32 pg 35-45'!FU$24-'SEF-30 pg 2 - 36 '!BD352,0)+BD354</f>
        <v>0</v>
      </c>
      <c r="BE375" s="427">
        <f>ROUND('SEF-32 pg 35-45'!GM$42-'SEF-30 pg 2 - 36 '!BE352,0)+ROUND('SEF-32 pg 35-45'!GM$29-'SEF-30 pg 2 - 36 '!BE354,0)</f>
        <v>0</v>
      </c>
      <c r="BF375" s="427">
        <f>ROUND('SEF-32 pg 35-45'!GM$45-'SEF-30 pg 2 - 36 '!BF352,0)+ROUND('SEF-32 pg 35-45'!GM$32-'SEF-30 pg 2 - 36 '!BF354,0)</f>
        <v>0</v>
      </c>
      <c r="BG375" s="428"/>
      <c r="BH375" s="428"/>
      <c r="BI375" s="82"/>
      <c r="BK375" s="82"/>
    </row>
    <row r="376" spans="1:63" outlineLevel="2" x14ac:dyDescent="0.25">
      <c r="B376" s="395" t="s">
        <v>155</v>
      </c>
      <c r="C376" s="406"/>
      <c r="D376" s="429"/>
      <c r="BH376" s="429">
        <f>'SEF-30 pg 1'!O47-BH352</f>
        <v>0</v>
      </c>
      <c r="BI376" s="82"/>
      <c r="BK376" s="82"/>
    </row>
    <row r="377" spans="1:63" outlineLevel="2" x14ac:dyDescent="0.25">
      <c r="B377" s="395" t="s">
        <v>156</v>
      </c>
      <c r="C377" s="406"/>
      <c r="D377" s="429"/>
      <c r="BH377" s="429">
        <f>'SEF-30 pg 1'!O58-BH365</f>
        <v>0</v>
      </c>
      <c r="BI377" s="82"/>
      <c r="BK377" s="82"/>
    </row>
    <row r="378" spans="1:63" outlineLevel="1" x14ac:dyDescent="0.25">
      <c r="A378" s="342"/>
      <c r="B378" s="400"/>
      <c r="C378" s="401"/>
      <c r="D378" s="347"/>
      <c r="E378" s="342"/>
      <c r="F378" s="342"/>
      <c r="G378" s="342"/>
      <c r="H378" s="342"/>
      <c r="I378" s="342"/>
      <c r="J378" s="342"/>
      <c r="K378" s="342"/>
      <c r="L378" s="342"/>
      <c r="M378" s="342"/>
      <c r="N378" s="342"/>
      <c r="O378" s="342"/>
      <c r="P378" s="342"/>
      <c r="Q378" s="342"/>
      <c r="R378" s="342"/>
      <c r="S378" s="342"/>
      <c r="T378" s="342"/>
      <c r="U378" s="342"/>
      <c r="V378" s="342"/>
      <c r="W378" s="342"/>
      <c r="X378" s="342"/>
      <c r="Y378" s="342"/>
      <c r="Z378" s="342"/>
      <c r="AA378" s="342"/>
      <c r="AB378" s="342"/>
      <c r="AC378" s="342"/>
      <c r="AD378" s="342"/>
      <c r="AE378" s="342"/>
      <c r="AF378" s="342"/>
      <c r="AG378" s="342"/>
      <c r="AH378" s="342"/>
      <c r="AI378" s="342"/>
      <c r="AJ378" s="342"/>
      <c r="AK378" s="342"/>
      <c r="AL378" s="342"/>
      <c r="AM378" s="342"/>
      <c r="AN378" s="342"/>
      <c r="AO378" s="342"/>
      <c r="AP378" s="342"/>
      <c r="AQ378" s="342"/>
      <c r="AR378" s="342"/>
      <c r="AS378" s="342"/>
      <c r="AT378" s="342"/>
      <c r="AU378" s="342"/>
      <c r="AV378" s="342"/>
      <c r="AW378" s="342"/>
      <c r="AX378" s="342"/>
      <c r="AY378" s="342"/>
      <c r="AZ378" s="342"/>
      <c r="BA378" s="342"/>
      <c r="BB378" s="342"/>
      <c r="BC378" s="342"/>
      <c r="BD378" s="342"/>
      <c r="BE378" s="342"/>
      <c r="BF378" s="342"/>
      <c r="BG378" s="342"/>
      <c r="BH378" s="347"/>
      <c r="BI378" s="82"/>
      <c r="BK378" s="82"/>
    </row>
    <row r="379" spans="1:63" outlineLevel="1" x14ac:dyDescent="0.25">
      <c r="A379" s="342"/>
      <c r="B379" s="343"/>
      <c r="C379" s="344"/>
      <c r="D379" s="345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  <c r="BB379" s="346"/>
      <c r="BC379" s="346"/>
      <c r="BD379" s="346"/>
      <c r="BE379" s="346"/>
      <c r="BF379" s="346"/>
      <c r="BG379" s="342"/>
      <c r="BH379" s="347"/>
      <c r="BI379" s="82"/>
      <c r="BK379" s="82"/>
    </row>
    <row r="380" spans="1:63" outlineLevel="1" x14ac:dyDescent="0.25">
      <c r="A380" s="342"/>
      <c r="B380" s="343"/>
      <c r="C380" s="344"/>
      <c r="D380" s="347"/>
      <c r="E380" s="348"/>
      <c r="F380" s="348"/>
      <c r="G380" s="348"/>
      <c r="H380" s="348"/>
      <c r="I380" s="348"/>
      <c r="J380" s="348"/>
      <c r="K380" s="348"/>
      <c r="L380" s="348"/>
      <c r="M380" s="348"/>
      <c r="N380" s="348"/>
      <c r="O380" s="348"/>
      <c r="P380" s="348"/>
      <c r="Q380" s="348"/>
      <c r="R380" s="348"/>
      <c r="S380" s="348"/>
      <c r="T380" s="348"/>
      <c r="U380" s="348"/>
      <c r="V380" s="348"/>
      <c r="W380" s="348"/>
      <c r="X380" s="348"/>
      <c r="Y380" s="348"/>
      <c r="Z380" s="348"/>
      <c r="AA380" s="348"/>
      <c r="AB380" s="348"/>
      <c r="AC380" s="348"/>
      <c r="AD380" s="348"/>
      <c r="AE380" s="348"/>
      <c r="AF380" s="348"/>
      <c r="AG380" s="348"/>
      <c r="AH380" s="348"/>
      <c r="AI380" s="348"/>
      <c r="AJ380" s="348"/>
      <c r="AK380" s="348"/>
      <c r="AL380" s="348"/>
      <c r="AM380" s="348"/>
      <c r="AN380" s="348"/>
      <c r="AO380" s="348"/>
      <c r="AP380" s="348"/>
      <c r="AQ380" s="348"/>
      <c r="AR380" s="348"/>
      <c r="AS380" s="348"/>
      <c r="AT380" s="348"/>
      <c r="AU380" s="348"/>
      <c r="AV380" s="348"/>
      <c r="AW380" s="348"/>
      <c r="AX380" s="348"/>
      <c r="AY380" s="348"/>
      <c r="AZ380" s="348"/>
      <c r="BA380" s="348"/>
      <c r="BB380" s="348"/>
      <c r="BC380" s="348"/>
      <c r="BD380" s="348"/>
      <c r="BE380" s="348"/>
      <c r="BF380" s="348"/>
      <c r="BG380" s="342"/>
      <c r="BH380" s="347"/>
      <c r="BI380" s="82"/>
      <c r="BK380" s="82"/>
    </row>
    <row r="381" spans="1:63" outlineLevel="1" x14ac:dyDescent="0.25">
      <c r="B381" s="349" t="s">
        <v>81</v>
      </c>
      <c r="C381" s="350"/>
      <c r="D381" s="366"/>
      <c r="BG381" s="352"/>
      <c r="BH381" s="352"/>
      <c r="BI381" s="82"/>
      <c r="BK381" s="82"/>
    </row>
    <row r="382" spans="1:63" outlineLevel="1" x14ac:dyDescent="0.25">
      <c r="B382" s="349" t="s">
        <v>82</v>
      </c>
      <c r="C382" s="350"/>
      <c r="D382" s="352"/>
      <c r="E382" s="407">
        <f>'SEF-32 pg 1-34, 46'!Q37</f>
        <v>0</v>
      </c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353"/>
      <c r="R382" s="353"/>
      <c r="S382" s="353"/>
      <c r="T382" s="353"/>
      <c r="U382" s="353"/>
      <c r="V382" s="353"/>
      <c r="W382" s="353"/>
      <c r="X382" s="353"/>
      <c r="Y382" s="353"/>
      <c r="Z382" s="353"/>
      <c r="AA382" s="353"/>
      <c r="AB382" s="353"/>
      <c r="AC382" s="353"/>
      <c r="AD382" s="353"/>
      <c r="AE382" s="353"/>
      <c r="AF382" s="353"/>
      <c r="AG382" s="353"/>
      <c r="AH382" s="353"/>
      <c r="AI382" s="353"/>
      <c r="AJ382" s="353"/>
      <c r="AK382" s="353"/>
      <c r="AL382" s="353"/>
      <c r="AM382" s="353"/>
      <c r="AN382" s="353"/>
      <c r="AO382" s="353"/>
      <c r="AP382" s="353"/>
      <c r="AQ382" s="353"/>
      <c r="AR382" s="353"/>
      <c r="AS382" s="353"/>
      <c r="AT382" s="353"/>
      <c r="AU382" s="353"/>
      <c r="AV382" s="353"/>
      <c r="AW382" s="353"/>
      <c r="AX382" s="353"/>
      <c r="AY382" s="353"/>
      <c r="AZ382" s="353"/>
      <c r="BA382" s="353"/>
      <c r="BB382" s="407"/>
      <c r="BC382" s="407"/>
      <c r="BD382" s="353"/>
      <c r="BE382" s="353"/>
      <c r="BF382" s="353"/>
      <c r="BG382" s="352">
        <f>SUM(E382:BF382)</f>
        <v>0</v>
      </c>
      <c r="BH382" s="352">
        <f>+BG382+D382</f>
        <v>0</v>
      </c>
      <c r="BI382" s="82"/>
      <c r="BK382" s="82"/>
    </row>
    <row r="383" spans="1:63" outlineLevel="1" x14ac:dyDescent="0.25">
      <c r="B383" s="349" t="s">
        <v>83</v>
      </c>
      <c r="C383" s="350"/>
      <c r="D383" s="357"/>
      <c r="E383" s="358"/>
      <c r="F383" s="358"/>
      <c r="G383" s="358"/>
      <c r="H383" s="358"/>
      <c r="I383" s="358"/>
      <c r="J383" s="358"/>
      <c r="K383" s="358"/>
      <c r="L383" s="358"/>
      <c r="M383" s="358"/>
      <c r="N383" s="358"/>
      <c r="O383" s="358"/>
      <c r="P383" s="358"/>
      <c r="Q383" s="358"/>
      <c r="R383" s="358"/>
      <c r="S383" s="358"/>
      <c r="T383" s="358"/>
      <c r="U383" s="358"/>
      <c r="V383" s="358"/>
      <c r="W383" s="358"/>
      <c r="X383" s="358"/>
      <c r="Y383" s="358"/>
      <c r="Z383" s="358"/>
      <c r="AA383" s="358"/>
      <c r="AB383" s="358"/>
      <c r="AC383" s="358"/>
      <c r="AD383" s="358"/>
      <c r="AE383" s="358"/>
      <c r="AF383" s="358"/>
      <c r="AG383" s="358"/>
      <c r="AH383" s="358"/>
      <c r="AI383" s="358"/>
      <c r="AJ383" s="358"/>
      <c r="AK383" s="358"/>
      <c r="AL383" s="358"/>
      <c r="AM383" s="358"/>
      <c r="AN383" s="358"/>
      <c r="AO383" s="358"/>
      <c r="AP383" s="358"/>
      <c r="AQ383" s="358"/>
      <c r="AR383" s="358"/>
      <c r="AS383" s="358"/>
      <c r="AT383" s="358"/>
      <c r="AU383" s="358"/>
      <c r="AV383" s="358"/>
      <c r="AW383" s="358"/>
      <c r="AX383" s="358"/>
      <c r="AY383" s="358"/>
      <c r="AZ383" s="358"/>
      <c r="BA383" s="358"/>
      <c r="BB383" s="408"/>
      <c r="BC383" s="408"/>
      <c r="BD383" s="358"/>
      <c r="BE383" s="358"/>
      <c r="BF383" s="358"/>
      <c r="BG383" s="357">
        <f>SUM(E383:BF383)</f>
        <v>0</v>
      </c>
      <c r="BH383" s="357">
        <f>+BG383+D383</f>
        <v>0</v>
      </c>
      <c r="BI383" s="82"/>
      <c r="BK383" s="82"/>
    </row>
    <row r="384" spans="1:63" outlineLevel="1" x14ac:dyDescent="0.25">
      <c r="B384" s="349" t="s">
        <v>84</v>
      </c>
      <c r="C384" s="350"/>
      <c r="D384" s="357"/>
      <c r="E384" s="358"/>
      <c r="F384" s="358"/>
      <c r="G384" s="358"/>
      <c r="H384" s="358"/>
      <c r="I384" s="358"/>
      <c r="J384" s="358"/>
      <c r="K384" s="358"/>
      <c r="L384" s="358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  <c r="Y384" s="358"/>
      <c r="Z384" s="358"/>
      <c r="AA384" s="358"/>
      <c r="AB384" s="358"/>
      <c r="AC384" s="358"/>
      <c r="AD384" s="358"/>
      <c r="AE384" s="358"/>
      <c r="AF384" s="358"/>
      <c r="AG384" s="358"/>
      <c r="AH384" s="358"/>
      <c r="AI384" s="358"/>
      <c r="AJ384" s="358"/>
      <c r="AK384" s="358"/>
      <c r="AL384" s="358"/>
      <c r="AM384" s="358"/>
      <c r="AN384" s="358"/>
      <c r="AO384" s="358"/>
      <c r="AP384" s="358"/>
      <c r="AQ384" s="358"/>
      <c r="AR384" s="358"/>
      <c r="AS384" s="358"/>
      <c r="AT384" s="358"/>
      <c r="AU384" s="358"/>
      <c r="AV384" s="408">
        <f>-'SEF-32 pg 35-45'!$Q$24</f>
        <v>0</v>
      </c>
      <c r="AW384" s="358"/>
      <c r="AX384" s="358"/>
      <c r="AY384" s="358"/>
      <c r="AZ384" s="358"/>
      <c r="BA384" s="358"/>
      <c r="BB384" s="408"/>
      <c r="BC384" s="408"/>
      <c r="BD384" s="358"/>
      <c r="BE384" s="358"/>
      <c r="BF384" s="358"/>
      <c r="BG384" s="357">
        <f>SUM(E384:BF384)</f>
        <v>0</v>
      </c>
      <c r="BH384" s="357">
        <f>+BG384+D384</f>
        <v>0</v>
      </c>
      <c r="BI384" s="82"/>
      <c r="BK384" s="82"/>
    </row>
    <row r="385" spans="2:63" outlineLevel="1" x14ac:dyDescent="0.25">
      <c r="B385" s="349" t="s">
        <v>85</v>
      </c>
      <c r="C385" s="350"/>
      <c r="D385" s="357"/>
      <c r="E385" s="358"/>
      <c r="F385" s="358"/>
      <c r="G385" s="358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  <c r="W385" s="358"/>
      <c r="X385" s="358"/>
      <c r="Y385" s="358"/>
      <c r="Z385" s="408"/>
      <c r="AA385" s="408"/>
      <c r="AB385" s="408">
        <f>'SEF-32 pg 1-34, 46'!PI173</f>
        <v>0</v>
      </c>
      <c r="AC385" s="358"/>
      <c r="AD385" s="358"/>
      <c r="AE385" s="358"/>
      <c r="AF385" s="358"/>
      <c r="AG385" s="358"/>
      <c r="AH385" s="358"/>
      <c r="AI385" s="358"/>
      <c r="AJ385" s="358"/>
      <c r="AK385" s="358"/>
      <c r="AL385" s="358"/>
      <c r="AM385" s="358"/>
      <c r="AN385" s="358"/>
      <c r="AO385" s="358"/>
      <c r="AP385" s="358"/>
      <c r="AQ385" s="358"/>
      <c r="AR385" s="358"/>
      <c r="AS385" s="358"/>
      <c r="AT385" s="358"/>
      <c r="AU385" s="358"/>
      <c r="AV385" s="408">
        <f>-SUM('SEF-32 pg 35-45'!$Q$25,'SEF-32 pg 35-45'!$Q$31)</f>
        <v>0</v>
      </c>
      <c r="AW385" s="358"/>
      <c r="AX385" s="358"/>
      <c r="AY385" s="358"/>
      <c r="AZ385" s="358"/>
      <c r="BA385" s="358"/>
      <c r="BB385" s="408"/>
      <c r="BC385" s="408"/>
      <c r="BD385" s="358"/>
      <c r="BE385" s="358"/>
      <c r="BF385" s="358"/>
      <c r="BG385" s="357">
        <f>SUM(E385:BF385)</f>
        <v>0</v>
      </c>
      <c r="BH385" s="357">
        <f>+BG385+D385</f>
        <v>0</v>
      </c>
      <c r="BI385" s="82"/>
      <c r="BK385" s="82"/>
    </row>
    <row r="386" spans="2:63" outlineLevel="1" x14ac:dyDescent="0.25">
      <c r="B386" s="349" t="s">
        <v>86</v>
      </c>
      <c r="C386" s="350"/>
      <c r="D386" s="359"/>
      <c r="E386" s="360">
        <f t="shared" ref="E386:BH386" si="109">SUM(E382:E385)</f>
        <v>0</v>
      </c>
      <c r="F386" s="360">
        <f t="shared" si="109"/>
        <v>0</v>
      </c>
      <c r="G386" s="360">
        <f t="shared" si="109"/>
        <v>0</v>
      </c>
      <c r="H386" s="360">
        <f t="shared" si="109"/>
        <v>0</v>
      </c>
      <c r="I386" s="360">
        <f t="shared" si="109"/>
        <v>0</v>
      </c>
      <c r="J386" s="360">
        <f t="shared" si="109"/>
        <v>0</v>
      </c>
      <c r="K386" s="360">
        <f t="shared" si="109"/>
        <v>0</v>
      </c>
      <c r="L386" s="360">
        <f t="shared" si="109"/>
        <v>0</v>
      </c>
      <c r="M386" s="360">
        <f t="shared" si="109"/>
        <v>0</v>
      </c>
      <c r="N386" s="360">
        <f t="shared" si="109"/>
        <v>0</v>
      </c>
      <c r="O386" s="360">
        <f t="shared" si="109"/>
        <v>0</v>
      </c>
      <c r="P386" s="360">
        <f t="shared" si="109"/>
        <v>0</v>
      </c>
      <c r="Q386" s="360">
        <f t="shared" si="109"/>
        <v>0</v>
      </c>
      <c r="R386" s="360">
        <f t="shared" si="109"/>
        <v>0</v>
      </c>
      <c r="S386" s="360">
        <f t="shared" si="109"/>
        <v>0</v>
      </c>
      <c r="T386" s="360">
        <f t="shared" si="109"/>
        <v>0</v>
      </c>
      <c r="U386" s="360">
        <f t="shared" si="109"/>
        <v>0</v>
      </c>
      <c r="V386" s="360">
        <f t="shared" si="109"/>
        <v>0</v>
      </c>
      <c r="W386" s="360">
        <f t="shared" si="109"/>
        <v>0</v>
      </c>
      <c r="X386" s="360">
        <f t="shared" si="109"/>
        <v>0</v>
      </c>
      <c r="Y386" s="360">
        <f t="shared" si="109"/>
        <v>0</v>
      </c>
      <c r="Z386" s="410">
        <f t="shared" si="109"/>
        <v>0</v>
      </c>
      <c r="AA386" s="410">
        <f t="shared" si="109"/>
        <v>0</v>
      </c>
      <c r="AB386" s="410">
        <f t="shared" si="109"/>
        <v>0</v>
      </c>
      <c r="AC386" s="360">
        <f t="shared" si="109"/>
        <v>0</v>
      </c>
      <c r="AD386" s="360">
        <f t="shared" si="109"/>
        <v>0</v>
      </c>
      <c r="AE386" s="360">
        <f t="shared" si="109"/>
        <v>0</v>
      </c>
      <c r="AF386" s="360">
        <f t="shared" si="109"/>
        <v>0</v>
      </c>
      <c r="AG386" s="360">
        <f t="shared" si="109"/>
        <v>0</v>
      </c>
      <c r="AH386" s="360">
        <f t="shared" si="109"/>
        <v>0</v>
      </c>
      <c r="AI386" s="360">
        <f t="shared" si="109"/>
        <v>0</v>
      </c>
      <c r="AJ386" s="360">
        <f t="shared" si="109"/>
        <v>0</v>
      </c>
      <c r="AK386" s="360"/>
      <c r="AL386" s="360"/>
      <c r="AM386" s="360"/>
      <c r="AN386" s="360"/>
      <c r="AO386" s="360"/>
      <c r="AP386" s="360"/>
      <c r="AQ386" s="360"/>
      <c r="AR386" s="360"/>
      <c r="AS386" s="360"/>
      <c r="AT386" s="360"/>
      <c r="AU386" s="360"/>
      <c r="AV386" s="410">
        <f t="shared" si="109"/>
        <v>0</v>
      </c>
      <c r="AW386" s="360">
        <f t="shared" si="109"/>
        <v>0</v>
      </c>
      <c r="AX386" s="360">
        <f t="shared" si="109"/>
        <v>0</v>
      </c>
      <c r="AY386" s="360">
        <f t="shared" si="109"/>
        <v>0</v>
      </c>
      <c r="AZ386" s="360">
        <f t="shared" si="109"/>
        <v>0</v>
      </c>
      <c r="BA386" s="360">
        <f t="shared" si="109"/>
        <v>0</v>
      </c>
      <c r="BB386" s="410">
        <f t="shared" si="109"/>
        <v>0</v>
      </c>
      <c r="BC386" s="410">
        <f t="shared" si="109"/>
        <v>0</v>
      </c>
      <c r="BD386" s="360">
        <f t="shared" si="109"/>
        <v>0</v>
      </c>
      <c r="BE386" s="360">
        <f>SUM(BE382:BE385)</f>
        <v>0</v>
      </c>
      <c r="BF386" s="360">
        <f t="shared" si="109"/>
        <v>0</v>
      </c>
      <c r="BG386" s="359">
        <f t="shared" si="109"/>
        <v>0</v>
      </c>
      <c r="BH386" s="359">
        <f t="shared" si="109"/>
        <v>0</v>
      </c>
      <c r="BI386" s="82"/>
      <c r="BK386" s="82"/>
    </row>
    <row r="387" spans="2:63" outlineLevel="1" x14ac:dyDescent="0.25">
      <c r="B387" s="363"/>
      <c r="C387" s="350"/>
      <c r="D387" s="357"/>
      <c r="E387" s="358"/>
      <c r="F387" s="358"/>
      <c r="G387" s="358"/>
      <c r="H387" s="358"/>
      <c r="I387" s="358"/>
      <c r="J387" s="358"/>
      <c r="K387" s="358"/>
      <c r="L387" s="358"/>
      <c r="M387" s="358"/>
      <c r="N387" s="358"/>
      <c r="O387" s="358"/>
      <c r="P387" s="358"/>
      <c r="Q387" s="358"/>
      <c r="R387" s="358"/>
      <c r="S387" s="358"/>
      <c r="T387" s="358"/>
      <c r="U387" s="358"/>
      <c r="V387" s="358"/>
      <c r="W387" s="358"/>
      <c r="X387" s="358"/>
      <c r="Y387" s="358"/>
      <c r="Z387" s="408"/>
      <c r="AA387" s="408"/>
      <c r="AB387" s="408"/>
      <c r="AC387" s="358"/>
      <c r="AD387" s="358"/>
      <c r="AE387" s="358"/>
      <c r="AF387" s="358"/>
      <c r="AG387" s="358"/>
      <c r="AH387" s="358"/>
      <c r="AI387" s="358"/>
      <c r="AJ387" s="358"/>
      <c r="AK387" s="358"/>
      <c r="AL387" s="358"/>
      <c r="AM387" s="358"/>
      <c r="AN387" s="358"/>
      <c r="AO387" s="358"/>
      <c r="AP387" s="358"/>
      <c r="AQ387" s="358"/>
      <c r="AR387" s="358"/>
      <c r="AS387" s="358"/>
      <c r="AT387" s="358"/>
      <c r="AU387" s="358"/>
      <c r="AV387" s="408"/>
      <c r="AW387" s="358"/>
      <c r="AX387" s="358"/>
      <c r="AY387" s="358"/>
      <c r="AZ387" s="358"/>
      <c r="BA387" s="358"/>
      <c r="BB387" s="408"/>
      <c r="BC387" s="408"/>
      <c r="BD387" s="358"/>
      <c r="BE387" s="358"/>
      <c r="BF387" s="358"/>
      <c r="BG387" s="357"/>
      <c r="BH387" s="357"/>
      <c r="BI387" s="82"/>
      <c r="BK387" s="82"/>
    </row>
    <row r="388" spans="2:63" outlineLevel="1" x14ac:dyDescent="0.25">
      <c r="B388" s="349" t="s">
        <v>87</v>
      </c>
      <c r="C388" s="350"/>
      <c r="D388" s="351"/>
      <c r="Z388" s="411"/>
      <c r="AA388" s="411"/>
      <c r="AB388" s="411"/>
      <c r="AV388" s="411"/>
      <c r="BB388" s="411"/>
      <c r="BC388" s="411"/>
      <c r="BG388" s="351"/>
      <c r="BH388" s="351"/>
      <c r="BI388" s="82"/>
      <c r="BK388" s="82"/>
    </row>
    <row r="389" spans="2:63" outlineLevel="1" x14ac:dyDescent="0.25">
      <c r="B389" s="365"/>
      <c r="C389" s="350"/>
      <c r="D389" s="351"/>
      <c r="Z389" s="411"/>
      <c r="AA389" s="411"/>
      <c r="AB389" s="411"/>
      <c r="AV389" s="411"/>
      <c r="BB389" s="411"/>
      <c r="BC389" s="411"/>
      <c r="BG389" s="351"/>
      <c r="BH389" s="351"/>
      <c r="BI389" s="82"/>
      <c r="BK389" s="82"/>
    </row>
    <row r="390" spans="2:63" outlineLevel="1" x14ac:dyDescent="0.25">
      <c r="B390" s="349" t="s">
        <v>88</v>
      </c>
      <c r="C390" s="350"/>
      <c r="D390" s="351"/>
      <c r="Z390" s="411"/>
      <c r="AA390" s="411"/>
      <c r="AB390" s="411"/>
      <c r="AV390" s="411"/>
      <c r="BB390" s="411"/>
      <c r="BC390" s="411"/>
      <c r="BG390" s="351"/>
      <c r="BH390" s="351"/>
      <c r="BI390" s="82"/>
      <c r="BK390" s="82"/>
    </row>
    <row r="391" spans="2:63" outlineLevel="1" x14ac:dyDescent="0.25">
      <c r="B391" s="349" t="s">
        <v>89</v>
      </c>
      <c r="C391" s="350"/>
      <c r="D391" s="366"/>
      <c r="E391" s="356"/>
      <c r="F391" s="356"/>
      <c r="G391" s="356"/>
      <c r="H391" s="356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356"/>
      <c r="V391" s="356"/>
      <c r="W391" s="356"/>
      <c r="X391" s="356"/>
      <c r="Y391" s="356"/>
      <c r="Z391" s="412"/>
      <c r="AA391" s="412"/>
      <c r="AB391" s="412"/>
      <c r="AC391" s="356"/>
      <c r="AD391" s="356"/>
      <c r="AE391" s="356"/>
      <c r="AF391" s="356"/>
      <c r="AG391" s="356"/>
      <c r="AH391" s="356"/>
      <c r="AI391" s="356"/>
      <c r="AJ391" s="356"/>
      <c r="AK391" s="356"/>
      <c r="AL391" s="356"/>
      <c r="AM391" s="356"/>
      <c r="AN391" s="356"/>
      <c r="AO391" s="356"/>
      <c r="AP391" s="356"/>
      <c r="AQ391" s="356"/>
      <c r="AR391" s="356"/>
      <c r="AS391" s="356"/>
      <c r="AT391" s="356"/>
      <c r="AU391" s="356"/>
      <c r="AV391" s="412">
        <f>SUM('SEF-32 pg 35-45'!$Q$18:$Q$19)</f>
        <v>0</v>
      </c>
      <c r="AW391" s="356"/>
      <c r="AX391" s="356"/>
      <c r="AY391" s="356"/>
      <c r="AZ391" s="356"/>
      <c r="BA391" s="356"/>
      <c r="BB391" s="412"/>
      <c r="BC391" s="412"/>
      <c r="BD391" s="356"/>
      <c r="BE391" s="356"/>
      <c r="BF391" s="356"/>
      <c r="BG391" s="366">
        <f>SUM(E391:BF391)</f>
        <v>0</v>
      </c>
      <c r="BH391" s="366">
        <f>+BG391+D391</f>
        <v>0</v>
      </c>
      <c r="BI391" s="82"/>
      <c r="BK391" s="82"/>
    </row>
    <row r="392" spans="2:63" outlineLevel="1" x14ac:dyDescent="0.25">
      <c r="B392" s="349" t="s">
        <v>90</v>
      </c>
      <c r="C392" s="350"/>
      <c r="D392" s="357"/>
      <c r="E392" s="358"/>
      <c r="F392" s="358"/>
      <c r="G392" s="358"/>
      <c r="H392" s="358"/>
      <c r="I392" s="358"/>
      <c r="J392" s="358"/>
      <c r="K392" s="358"/>
      <c r="L392" s="358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  <c r="Y392" s="358"/>
      <c r="Z392" s="408"/>
      <c r="AA392" s="408"/>
      <c r="AB392" s="408"/>
      <c r="AC392" s="358"/>
      <c r="AD392" s="358"/>
      <c r="AE392" s="358"/>
      <c r="AF392" s="358"/>
      <c r="AG392" s="358"/>
      <c r="AH392" s="358"/>
      <c r="AI392" s="358"/>
      <c r="AJ392" s="358"/>
      <c r="AK392" s="358"/>
      <c r="AL392" s="358"/>
      <c r="AM392" s="358"/>
      <c r="AN392" s="358"/>
      <c r="AO392" s="358"/>
      <c r="AP392" s="358"/>
      <c r="AQ392" s="358"/>
      <c r="AR392" s="358"/>
      <c r="AS392" s="358"/>
      <c r="AT392" s="358"/>
      <c r="AU392" s="358"/>
      <c r="AV392" s="408">
        <f>SUM('SEF-32 pg 35-45'!$Q$20:$Q$22,'SEF-32 pg 35-45'!$Q$32)</f>
        <v>0</v>
      </c>
      <c r="AW392" s="358"/>
      <c r="AX392" s="358"/>
      <c r="AY392" s="358"/>
      <c r="AZ392" s="358"/>
      <c r="BA392" s="358"/>
      <c r="BB392" s="408"/>
      <c r="BC392" s="408"/>
      <c r="BD392" s="358"/>
      <c r="BE392" s="358"/>
      <c r="BF392" s="358"/>
      <c r="BG392" s="357">
        <f>SUM(E392:BF392)</f>
        <v>0</v>
      </c>
      <c r="BH392" s="357">
        <f>+BG392+D392</f>
        <v>0</v>
      </c>
      <c r="BI392" s="82"/>
      <c r="BK392" s="82"/>
    </row>
    <row r="393" spans="2:63" outlineLevel="1" x14ac:dyDescent="0.25">
      <c r="B393" s="349" t="s">
        <v>91</v>
      </c>
      <c r="C393" s="350"/>
      <c r="D393" s="357"/>
      <c r="E393" s="358"/>
      <c r="F393" s="358"/>
      <c r="G393" s="358"/>
      <c r="H393" s="358"/>
      <c r="I393" s="358"/>
      <c r="J393" s="358"/>
      <c r="K393" s="358"/>
      <c r="L393" s="358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  <c r="Y393" s="358"/>
      <c r="Z393" s="408"/>
      <c r="AA393" s="408"/>
      <c r="AB393" s="408"/>
      <c r="AC393" s="358"/>
      <c r="AD393" s="358"/>
      <c r="AE393" s="358"/>
      <c r="AF393" s="358"/>
      <c r="AG393" s="358"/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408">
        <f>+'SEF-32 pg 35-45'!$Q$23</f>
        <v>0</v>
      </c>
      <c r="AW393" s="358"/>
      <c r="AX393" s="358"/>
      <c r="AY393" s="358"/>
      <c r="AZ393" s="358"/>
      <c r="BA393" s="358"/>
      <c r="BB393" s="408"/>
      <c r="BC393" s="408"/>
      <c r="BD393" s="358"/>
      <c r="BE393" s="358"/>
      <c r="BF393" s="358"/>
      <c r="BG393" s="357">
        <f>SUM(E393:BF393)</f>
        <v>0</v>
      </c>
      <c r="BH393" s="357">
        <f>+BG393+D393</f>
        <v>0</v>
      </c>
      <c r="BI393" s="82"/>
      <c r="BK393" s="82"/>
    </row>
    <row r="394" spans="2:63" outlineLevel="1" x14ac:dyDescent="0.25">
      <c r="B394" s="365" t="s">
        <v>92</v>
      </c>
      <c r="C394" s="350"/>
      <c r="D394" s="357"/>
      <c r="E394" s="358"/>
      <c r="F394" s="358"/>
      <c r="G394" s="358"/>
      <c r="H394" s="358"/>
      <c r="I394" s="358"/>
      <c r="J394" s="358"/>
      <c r="K394" s="358"/>
      <c r="L394" s="358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  <c r="Y394" s="358"/>
      <c r="Z394" s="408"/>
      <c r="AA394" s="408"/>
      <c r="AB394" s="408"/>
      <c r="AC394" s="358"/>
      <c r="AD394" s="358"/>
      <c r="AE394" s="358"/>
      <c r="AF394" s="358"/>
      <c r="AG394" s="358"/>
      <c r="AH394" s="358"/>
      <c r="AI394" s="358"/>
      <c r="AJ394" s="358"/>
      <c r="AK394" s="358"/>
      <c r="AL394" s="358"/>
      <c r="AM394" s="358"/>
      <c r="AN394" s="358"/>
      <c r="AO394" s="358"/>
      <c r="AP394" s="358"/>
      <c r="AQ394" s="358"/>
      <c r="AR394" s="358"/>
      <c r="AS394" s="358"/>
      <c r="AT394" s="358"/>
      <c r="AU394" s="358"/>
      <c r="AV394" s="408"/>
      <c r="AW394" s="358"/>
      <c r="AX394" s="358"/>
      <c r="AY394" s="358"/>
      <c r="AZ394" s="358"/>
      <c r="BA394" s="358"/>
      <c r="BB394" s="408"/>
      <c r="BC394" s="408"/>
      <c r="BD394" s="358"/>
      <c r="BE394" s="358"/>
      <c r="BF394" s="358"/>
      <c r="BG394" s="357">
        <f>SUM(E394:BF394)</f>
        <v>0</v>
      </c>
      <c r="BH394" s="357">
        <f>+BG394+D394</f>
        <v>0</v>
      </c>
      <c r="BI394" s="82"/>
      <c r="BK394" s="82"/>
    </row>
    <row r="395" spans="2:63" outlineLevel="1" x14ac:dyDescent="0.25">
      <c r="B395" s="349" t="s">
        <v>93</v>
      </c>
      <c r="C395" s="350"/>
      <c r="D395" s="367"/>
      <c r="E395" s="368">
        <f t="shared" ref="E395:BH395" si="110">SUM(E390:E394)</f>
        <v>0</v>
      </c>
      <c r="F395" s="368">
        <f t="shared" si="110"/>
        <v>0</v>
      </c>
      <c r="G395" s="368">
        <f t="shared" si="110"/>
        <v>0</v>
      </c>
      <c r="H395" s="368">
        <f t="shared" si="110"/>
        <v>0</v>
      </c>
      <c r="I395" s="368">
        <f t="shared" si="110"/>
        <v>0</v>
      </c>
      <c r="J395" s="368">
        <f t="shared" si="110"/>
        <v>0</v>
      </c>
      <c r="K395" s="368">
        <f t="shared" si="110"/>
        <v>0</v>
      </c>
      <c r="L395" s="368">
        <f t="shared" si="110"/>
        <v>0</v>
      </c>
      <c r="M395" s="368">
        <f t="shared" si="110"/>
        <v>0</v>
      </c>
      <c r="N395" s="368">
        <f t="shared" si="110"/>
        <v>0</v>
      </c>
      <c r="O395" s="368">
        <f t="shared" si="110"/>
        <v>0</v>
      </c>
      <c r="P395" s="368">
        <f t="shared" si="110"/>
        <v>0</v>
      </c>
      <c r="Q395" s="368">
        <f t="shared" si="110"/>
        <v>0</v>
      </c>
      <c r="R395" s="368">
        <f t="shared" si="110"/>
        <v>0</v>
      </c>
      <c r="S395" s="368">
        <f t="shared" si="110"/>
        <v>0</v>
      </c>
      <c r="T395" s="368">
        <f t="shared" si="110"/>
        <v>0</v>
      </c>
      <c r="U395" s="368">
        <f t="shared" si="110"/>
        <v>0</v>
      </c>
      <c r="V395" s="368">
        <f t="shared" si="110"/>
        <v>0</v>
      </c>
      <c r="W395" s="368">
        <f t="shared" si="110"/>
        <v>0</v>
      </c>
      <c r="X395" s="368">
        <f t="shared" si="110"/>
        <v>0</v>
      </c>
      <c r="Y395" s="368">
        <f t="shared" si="110"/>
        <v>0</v>
      </c>
      <c r="Z395" s="409">
        <f t="shared" si="110"/>
        <v>0</v>
      </c>
      <c r="AA395" s="409">
        <f t="shared" si="110"/>
        <v>0</v>
      </c>
      <c r="AB395" s="409">
        <f t="shared" si="110"/>
        <v>0</v>
      </c>
      <c r="AC395" s="368">
        <f t="shared" si="110"/>
        <v>0</v>
      </c>
      <c r="AD395" s="368">
        <f t="shared" si="110"/>
        <v>0</v>
      </c>
      <c r="AE395" s="368">
        <f t="shared" si="110"/>
        <v>0</v>
      </c>
      <c r="AF395" s="368">
        <f t="shared" si="110"/>
        <v>0</v>
      </c>
      <c r="AG395" s="368">
        <f t="shared" si="110"/>
        <v>0</v>
      </c>
      <c r="AH395" s="368">
        <f t="shared" si="110"/>
        <v>0</v>
      </c>
      <c r="AI395" s="368">
        <f t="shared" si="110"/>
        <v>0</v>
      </c>
      <c r="AJ395" s="368">
        <f t="shared" si="110"/>
        <v>0</v>
      </c>
      <c r="AK395" s="368"/>
      <c r="AL395" s="368"/>
      <c r="AM395" s="368"/>
      <c r="AN395" s="368"/>
      <c r="AO395" s="368"/>
      <c r="AP395" s="368"/>
      <c r="AQ395" s="368"/>
      <c r="AR395" s="368"/>
      <c r="AS395" s="368"/>
      <c r="AT395" s="368"/>
      <c r="AU395" s="368"/>
      <c r="AV395" s="409">
        <f>SUM(AV390:AV394)</f>
        <v>0</v>
      </c>
      <c r="AW395" s="368">
        <f t="shared" si="110"/>
        <v>0</v>
      </c>
      <c r="AX395" s="368">
        <f t="shared" si="110"/>
        <v>0</v>
      </c>
      <c r="AY395" s="368">
        <f t="shared" si="110"/>
        <v>0</v>
      </c>
      <c r="AZ395" s="368">
        <f t="shared" si="110"/>
        <v>0</v>
      </c>
      <c r="BA395" s="368">
        <f t="shared" si="110"/>
        <v>0</v>
      </c>
      <c r="BB395" s="409">
        <f t="shared" si="110"/>
        <v>0</v>
      </c>
      <c r="BC395" s="409">
        <f t="shared" si="110"/>
        <v>0</v>
      </c>
      <c r="BD395" s="368">
        <f t="shared" si="110"/>
        <v>0</v>
      </c>
      <c r="BE395" s="368">
        <f>SUM(BE390:BE394)</f>
        <v>0</v>
      </c>
      <c r="BF395" s="368">
        <f t="shared" si="110"/>
        <v>0</v>
      </c>
      <c r="BG395" s="367">
        <f t="shared" si="110"/>
        <v>0</v>
      </c>
      <c r="BH395" s="367">
        <f t="shared" si="110"/>
        <v>0</v>
      </c>
      <c r="BI395" s="82"/>
      <c r="BK395" s="82"/>
    </row>
    <row r="396" spans="2:63" outlineLevel="1" x14ac:dyDescent="0.25">
      <c r="B396" s="349"/>
      <c r="C396" s="350"/>
      <c r="D396" s="366"/>
      <c r="E396" s="356"/>
      <c r="F396" s="356"/>
      <c r="G396" s="356"/>
      <c r="H396" s="356"/>
      <c r="I396" s="356"/>
      <c r="J396" s="356"/>
      <c r="K396" s="356"/>
      <c r="L396" s="356"/>
      <c r="M396" s="356"/>
      <c r="N396" s="356"/>
      <c r="O396" s="356"/>
      <c r="P396" s="356"/>
      <c r="Q396" s="356"/>
      <c r="R396" s="356"/>
      <c r="S396" s="356"/>
      <c r="T396" s="356"/>
      <c r="U396" s="356"/>
      <c r="V396" s="356"/>
      <c r="W396" s="356"/>
      <c r="X396" s="356"/>
      <c r="Y396" s="356"/>
      <c r="Z396" s="412"/>
      <c r="AA396" s="412"/>
      <c r="AB396" s="412"/>
      <c r="AC396" s="356"/>
      <c r="AD396" s="356"/>
      <c r="AE396" s="356"/>
      <c r="AF396" s="356"/>
      <c r="AG396" s="356"/>
      <c r="AH396" s="356"/>
      <c r="AI396" s="356"/>
      <c r="AJ396" s="356"/>
      <c r="AK396" s="356"/>
      <c r="AL396" s="356"/>
      <c r="AM396" s="356"/>
      <c r="AN396" s="356"/>
      <c r="AO396" s="356"/>
      <c r="AP396" s="356"/>
      <c r="AQ396" s="356"/>
      <c r="AR396" s="356"/>
      <c r="AS396" s="356"/>
      <c r="AT396" s="356"/>
      <c r="AU396" s="356"/>
      <c r="AV396" s="412"/>
      <c r="AW396" s="356"/>
      <c r="AX396" s="356"/>
      <c r="AY396" s="356"/>
      <c r="AZ396" s="356"/>
      <c r="BA396" s="356"/>
      <c r="BB396" s="412"/>
      <c r="BC396" s="412"/>
      <c r="BD396" s="356"/>
      <c r="BE396" s="356"/>
      <c r="BF396" s="356"/>
      <c r="BG396" s="366"/>
      <c r="BH396" s="366"/>
      <c r="BI396" s="82"/>
      <c r="BK396" s="82"/>
    </row>
    <row r="397" spans="2:63" outlineLevel="1" x14ac:dyDescent="0.25">
      <c r="B397" s="369" t="s">
        <v>94</v>
      </c>
      <c r="C397" s="350"/>
      <c r="D397" s="357"/>
      <c r="E397" s="356"/>
      <c r="F397" s="356"/>
      <c r="G397" s="356"/>
      <c r="H397" s="356"/>
      <c r="I397" s="356"/>
      <c r="J397" s="356"/>
      <c r="K397" s="356"/>
      <c r="L397" s="356"/>
      <c r="M397" s="356"/>
      <c r="N397" s="356"/>
      <c r="O397" s="358"/>
      <c r="P397" s="356"/>
      <c r="Q397" s="356"/>
      <c r="R397" s="356"/>
      <c r="S397" s="356"/>
      <c r="T397" s="356"/>
      <c r="U397" s="356"/>
      <c r="V397" s="356"/>
      <c r="W397" s="356"/>
      <c r="X397" s="356"/>
      <c r="Y397" s="356"/>
      <c r="Z397" s="408">
        <f>'SEF-32 pg 1-34, 46'!OC18</f>
        <v>0</v>
      </c>
      <c r="AA397" s="412"/>
      <c r="AB397" s="412"/>
      <c r="AC397" s="356"/>
      <c r="AD397" s="356"/>
      <c r="AE397" s="356"/>
      <c r="AF397" s="356"/>
      <c r="AG397" s="356"/>
      <c r="AH397" s="356"/>
      <c r="AI397" s="356"/>
      <c r="AJ397" s="356"/>
      <c r="AK397" s="356"/>
      <c r="AL397" s="356"/>
      <c r="AM397" s="356"/>
      <c r="AN397" s="356"/>
      <c r="AO397" s="356"/>
      <c r="AP397" s="356"/>
      <c r="AQ397" s="356"/>
      <c r="AR397" s="356"/>
      <c r="AS397" s="356"/>
      <c r="AT397" s="356"/>
      <c r="AU397" s="356"/>
      <c r="AV397" s="412">
        <f>+'SEF-32 pg 35-45'!M151</f>
        <v>0</v>
      </c>
      <c r="AW397" s="356"/>
      <c r="AX397" s="356"/>
      <c r="AY397" s="356"/>
      <c r="AZ397" s="356"/>
      <c r="BA397" s="356"/>
      <c r="BB397" s="412"/>
      <c r="BC397" s="412"/>
      <c r="BD397" s="356"/>
      <c r="BE397" s="356"/>
      <c r="BF397" s="356"/>
      <c r="BG397" s="357">
        <f t="shared" ref="BG397:BG410" si="111">SUM(E397:BF397)</f>
        <v>0</v>
      </c>
      <c r="BH397" s="366">
        <f t="shared" ref="BH397:BH410" si="112">+BG397+D397</f>
        <v>0</v>
      </c>
      <c r="BI397" s="82"/>
      <c r="BK397" s="82"/>
    </row>
    <row r="398" spans="2:63" outlineLevel="1" x14ac:dyDescent="0.25">
      <c r="B398" s="349" t="s">
        <v>95</v>
      </c>
      <c r="C398" s="350"/>
      <c r="D398" s="357"/>
      <c r="E398" s="358"/>
      <c r="F398" s="358"/>
      <c r="G398" s="358"/>
      <c r="H398" s="358"/>
      <c r="I398" s="358"/>
      <c r="J398" s="358"/>
      <c r="K398" s="358"/>
      <c r="L398" s="358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  <c r="Y398" s="358"/>
      <c r="Z398" s="408">
        <f>'SEF-32 pg 1-34, 46'!OC19</f>
        <v>0</v>
      </c>
      <c r="AA398" s="408"/>
      <c r="AB398" s="408"/>
      <c r="AC398" s="358"/>
      <c r="AD398" s="358"/>
      <c r="AE398" s="358"/>
      <c r="AF398" s="358"/>
      <c r="AG398" s="358"/>
      <c r="AH398" s="358"/>
      <c r="AI398" s="358"/>
      <c r="AJ398" s="358"/>
      <c r="AK398" s="358"/>
      <c r="AL398" s="358"/>
      <c r="AM398" s="358"/>
      <c r="AN398" s="358"/>
      <c r="AO398" s="358"/>
      <c r="AP398" s="358"/>
      <c r="AQ398" s="358"/>
      <c r="AR398" s="358"/>
      <c r="AS398" s="358"/>
      <c r="AT398" s="358"/>
      <c r="AU398" s="358"/>
      <c r="AV398" s="408"/>
      <c r="AW398" s="358"/>
      <c r="AX398" s="358"/>
      <c r="AY398" s="358"/>
      <c r="AZ398" s="358"/>
      <c r="BA398" s="358"/>
      <c r="BB398" s="408"/>
      <c r="BC398" s="408"/>
      <c r="BD398" s="358"/>
      <c r="BE398" s="358"/>
      <c r="BF398" s="358"/>
      <c r="BG398" s="357">
        <f t="shared" si="111"/>
        <v>0</v>
      </c>
      <c r="BH398" s="357">
        <f t="shared" si="112"/>
        <v>0</v>
      </c>
      <c r="BI398" s="82"/>
      <c r="BK398" s="82"/>
    </row>
    <row r="399" spans="2:63" outlineLevel="1" x14ac:dyDescent="0.25">
      <c r="B399" s="349" t="s">
        <v>96</v>
      </c>
      <c r="C399" s="350"/>
      <c r="D399" s="357"/>
      <c r="E399" s="358"/>
      <c r="F399" s="358"/>
      <c r="G399" s="358"/>
      <c r="H399" s="358"/>
      <c r="I399" s="358"/>
      <c r="J399" s="358"/>
      <c r="K399" s="358"/>
      <c r="L399" s="358"/>
      <c r="M399" s="358"/>
      <c r="N399" s="358"/>
      <c r="O399" s="358"/>
      <c r="P399" s="358"/>
      <c r="Q399" s="358"/>
      <c r="R399" s="358"/>
      <c r="S399" s="358"/>
      <c r="T399" s="358"/>
      <c r="U399" s="358"/>
      <c r="V399" s="358"/>
      <c r="W399" s="358"/>
      <c r="X399" s="358"/>
      <c r="Y399" s="358"/>
      <c r="Z399" s="408">
        <f>'SEF-32 pg 1-34, 46'!OC20</f>
        <v>0</v>
      </c>
      <c r="AA399" s="408"/>
      <c r="AB399" s="408"/>
      <c r="AC399" s="358"/>
      <c r="AD399" s="358"/>
      <c r="AE399" s="358"/>
      <c r="AF399" s="358"/>
      <c r="AG399" s="358"/>
      <c r="AH399" s="358"/>
      <c r="AI399" s="358"/>
      <c r="AJ399" s="358"/>
      <c r="AK399" s="358"/>
      <c r="AL399" s="358"/>
      <c r="AM399" s="358"/>
      <c r="AN399" s="358"/>
      <c r="AO399" s="358"/>
      <c r="AP399" s="358"/>
      <c r="AQ399" s="358"/>
      <c r="AR399" s="358"/>
      <c r="AS399" s="358"/>
      <c r="AT399" s="358"/>
      <c r="AU399" s="358"/>
      <c r="AV399" s="408"/>
      <c r="AW399" s="358"/>
      <c r="AX399" s="358"/>
      <c r="AY399" s="358"/>
      <c r="AZ399" s="358"/>
      <c r="BA399" s="358"/>
      <c r="BB399" s="408"/>
      <c r="BC399" s="408"/>
      <c r="BD399" s="358"/>
      <c r="BE399" s="358"/>
      <c r="BF399" s="358"/>
      <c r="BG399" s="357">
        <f t="shared" si="111"/>
        <v>0</v>
      </c>
      <c r="BH399" s="357">
        <f t="shared" si="112"/>
        <v>0</v>
      </c>
      <c r="BI399" s="82"/>
      <c r="BK399" s="82"/>
    </row>
    <row r="400" spans="2:63" outlineLevel="1" x14ac:dyDescent="0.25">
      <c r="B400" s="349" t="s">
        <v>97</v>
      </c>
      <c r="C400" s="350"/>
      <c r="D400" s="357"/>
      <c r="E400" s="407">
        <f>'SEF-32 pg 1-34, 46'!Q63</f>
        <v>0</v>
      </c>
      <c r="F400" s="408"/>
      <c r="G400" s="408"/>
      <c r="H400" s="408"/>
      <c r="I400" s="408"/>
      <c r="J400" s="358"/>
      <c r="K400" s="358"/>
      <c r="L400" s="358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  <c r="Y400" s="358"/>
      <c r="Z400" s="408">
        <f>'SEF-32 pg 1-34, 46'!OC21</f>
        <v>0</v>
      </c>
      <c r="AA400" s="408"/>
      <c r="AB400" s="408"/>
      <c r="AC400" s="358"/>
      <c r="AD400" s="358"/>
      <c r="AE400" s="358"/>
      <c r="AF400" s="358"/>
      <c r="AG400" s="358"/>
      <c r="AH400" s="358"/>
      <c r="AI400" s="358"/>
      <c r="AJ400" s="358"/>
      <c r="AK400" s="358"/>
      <c r="AL400" s="358"/>
      <c r="AM400" s="358"/>
      <c r="AN400" s="358"/>
      <c r="AO400" s="358"/>
      <c r="AP400" s="358"/>
      <c r="AQ400" s="358"/>
      <c r="AR400" s="358"/>
      <c r="AS400" s="358"/>
      <c r="AT400" s="358"/>
      <c r="AU400" s="358"/>
      <c r="AV400" s="408"/>
      <c r="AW400" s="358"/>
      <c r="AX400" s="358"/>
      <c r="AY400" s="358"/>
      <c r="AZ400" s="358"/>
      <c r="BA400" s="358"/>
      <c r="BB400" s="408"/>
      <c r="BC400" s="408"/>
      <c r="BD400" s="358"/>
      <c r="BE400" s="358"/>
      <c r="BF400" s="358"/>
      <c r="BG400" s="357">
        <f t="shared" si="111"/>
        <v>0</v>
      </c>
      <c r="BH400" s="357">
        <f t="shared" si="112"/>
        <v>0</v>
      </c>
      <c r="BI400" s="82"/>
      <c r="BK400" s="82"/>
    </row>
    <row r="401" spans="2:63" outlineLevel="1" x14ac:dyDescent="0.25">
      <c r="B401" s="349" t="s">
        <v>98</v>
      </c>
      <c r="C401" s="350"/>
      <c r="D401" s="357"/>
      <c r="E401" s="408"/>
      <c r="F401" s="408"/>
      <c r="G401" s="408"/>
      <c r="H401" s="408"/>
      <c r="I401" s="408"/>
      <c r="J401" s="358"/>
      <c r="K401" s="358"/>
      <c r="L401" s="358"/>
      <c r="M401" s="358"/>
      <c r="N401" s="358"/>
      <c r="O401" s="358"/>
      <c r="P401" s="358"/>
      <c r="Q401" s="358"/>
      <c r="R401" s="358"/>
      <c r="S401" s="358"/>
      <c r="T401" s="358"/>
      <c r="U401" s="358"/>
      <c r="V401" s="358"/>
      <c r="W401" s="358"/>
      <c r="X401" s="358"/>
      <c r="Y401" s="358"/>
      <c r="Z401" s="408">
        <f>'SEF-32 pg 1-34, 46'!OC22</f>
        <v>0</v>
      </c>
      <c r="AA401" s="408"/>
      <c r="AB401" s="408"/>
      <c r="AC401" s="358"/>
      <c r="AD401" s="358"/>
      <c r="AE401" s="358"/>
      <c r="AF401" s="358"/>
      <c r="AG401" s="358"/>
      <c r="AH401" s="358"/>
      <c r="AI401" s="358"/>
      <c r="AJ401" s="358"/>
      <c r="AK401" s="358"/>
      <c r="AL401" s="358"/>
      <c r="AM401" s="358"/>
      <c r="AN401" s="358"/>
      <c r="AO401" s="358"/>
      <c r="AP401" s="358"/>
      <c r="AQ401" s="358"/>
      <c r="AR401" s="358"/>
      <c r="AS401" s="358"/>
      <c r="AT401" s="358"/>
      <c r="AU401" s="358"/>
      <c r="AV401" s="408"/>
      <c r="AW401" s="358"/>
      <c r="AX401" s="358"/>
      <c r="AY401" s="358"/>
      <c r="AZ401" s="358"/>
      <c r="BA401" s="358"/>
      <c r="BB401" s="408"/>
      <c r="BC401" s="408"/>
      <c r="BD401" s="358"/>
      <c r="BE401" s="358"/>
      <c r="BF401" s="358"/>
      <c r="BG401" s="357">
        <f t="shared" si="111"/>
        <v>0</v>
      </c>
      <c r="BH401" s="357">
        <f t="shared" si="112"/>
        <v>0</v>
      </c>
      <c r="BI401" s="82"/>
      <c r="BK401" s="82"/>
    </row>
    <row r="402" spans="2:63" outlineLevel="1" x14ac:dyDescent="0.25">
      <c r="B402" s="349" t="s">
        <v>99</v>
      </c>
      <c r="C402" s="350"/>
      <c r="D402" s="357"/>
      <c r="E402" s="408"/>
      <c r="F402" s="408"/>
      <c r="G402" s="408"/>
      <c r="H402" s="408"/>
      <c r="I402" s="408"/>
      <c r="J402" s="358"/>
      <c r="K402" s="358"/>
      <c r="L402" s="358"/>
      <c r="M402" s="358"/>
      <c r="N402" s="358"/>
      <c r="O402" s="358"/>
      <c r="P402" s="358"/>
      <c r="Q402" s="358"/>
      <c r="R402" s="358"/>
      <c r="S402" s="358"/>
      <c r="T402" s="358"/>
      <c r="U402" s="370"/>
      <c r="V402" s="358"/>
      <c r="W402" s="358"/>
      <c r="X402" s="358"/>
      <c r="Y402" s="358"/>
      <c r="Z402" s="408">
        <f>'SEF-32 pg 1-34, 46'!OC23</f>
        <v>0</v>
      </c>
      <c r="AA402" s="408"/>
      <c r="AB402" s="408"/>
      <c r="AC402" s="358"/>
      <c r="AD402" s="358"/>
      <c r="AE402" s="358"/>
      <c r="AF402" s="358"/>
      <c r="AG402" s="358"/>
      <c r="AH402" s="358"/>
      <c r="AI402" s="358"/>
      <c r="AJ402" s="358"/>
      <c r="AK402" s="358"/>
      <c r="AL402" s="358"/>
      <c r="AM402" s="358"/>
      <c r="AN402" s="358"/>
      <c r="AO402" s="358"/>
      <c r="AP402" s="358"/>
      <c r="AQ402" s="358"/>
      <c r="AR402" s="358"/>
      <c r="AS402" s="358"/>
      <c r="AT402" s="358"/>
      <c r="AU402" s="358"/>
      <c r="AV402" s="408"/>
      <c r="AW402" s="358"/>
      <c r="AX402" s="358"/>
      <c r="AY402" s="358"/>
      <c r="AZ402" s="358"/>
      <c r="BA402" s="358"/>
      <c r="BB402" s="408"/>
      <c r="BC402" s="408"/>
      <c r="BD402" s="358"/>
      <c r="BE402" s="358"/>
      <c r="BF402" s="358"/>
      <c r="BG402" s="357">
        <f t="shared" si="111"/>
        <v>0</v>
      </c>
      <c r="BH402" s="357">
        <f t="shared" si="112"/>
        <v>0</v>
      </c>
      <c r="BI402" s="82"/>
      <c r="BK402" s="82"/>
    </row>
    <row r="403" spans="2:63" outlineLevel="1" x14ac:dyDescent="0.25">
      <c r="B403" s="349" t="s">
        <v>100</v>
      </c>
      <c r="C403" s="350"/>
      <c r="D403" s="357"/>
      <c r="E403" s="407">
        <f>'SEF-32 pg 1-34, 46'!Q64</f>
        <v>0</v>
      </c>
      <c r="F403" s="408"/>
      <c r="G403" s="408"/>
      <c r="H403" s="408"/>
      <c r="I403" s="408"/>
      <c r="J403" s="358"/>
      <c r="K403" s="358"/>
      <c r="L403" s="358"/>
      <c r="M403" s="358"/>
      <c r="N403" s="358"/>
      <c r="O403" s="358"/>
      <c r="P403" s="358"/>
      <c r="Q403" s="358"/>
      <c r="R403" s="358"/>
      <c r="S403" s="358"/>
      <c r="T403" s="358"/>
      <c r="U403" s="358"/>
      <c r="V403" s="358"/>
      <c r="W403" s="358"/>
      <c r="X403" s="358"/>
      <c r="Y403" s="358"/>
      <c r="Z403" s="408">
        <f>'SEF-32 pg 1-34, 46'!OC24</f>
        <v>0</v>
      </c>
      <c r="AA403" s="408"/>
      <c r="AB403" s="408"/>
      <c r="AC403" s="358"/>
      <c r="AD403" s="358"/>
      <c r="AE403" s="358"/>
      <c r="AF403" s="358"/>
      <c r="AG403" s="358"/>
      <c r="AH403" s="358"/>
      <c r="AI403" s="358"/>
      <c r="AJ403" s="358"/>
      <c r="AK403" s="358"/>
      <c r="AL403" s="358"/>
      <c r="AM403" s="358"/>
      <c r="AN403" s="358"/>
      <c r="AO403" s="358"/>
      <c r="AP403" s="358"/>
      <c r="AQ403" s="358"/>
      <c r="AR403" s="358"/>
      <c r="AS403" s="358"/>
      <c r="AT403" s="358"/>
      <c r="AU403" s="358"/>
      <c r="AV403" s="408"/>
      <c r="AW403" s="358"/>
      <c r="AX403" s="358"/>
      <c r="AY403" s="358"/>
      <c r="AZ403" s="358"/>
      <c r="BA403" s="358"/>
      <c r="BB403" s="408"/>
      <c r="BC403" s="408"/>
      <c r="BD403" s="358"/>
      <c r="BE403" s="358"/>
      <c r="BF403" s="358"/>
      <c r="BG403" s="357">
        <f t="shared" si="111"/>
        <v>0</v>
      </c>
      <c r="BH403" s="357">
        <f t="shared" si="112"/>
        <v>0</v>
      </c>
      <c r="BI403" s="82"/>
      <c r="BK403" s="82"/>
    </row>
    <row r="404" spans="2:63" outlineLevel="1" x14ac:dyDescent="0.25">
      <c r="B404" s="349" t="s">
        <v>101</v>
      </c>
      <c r="C404" s="350"/>
      <c r="D404" s="357"/>
      <c r="E404" s="411"/>
      <c r="F404" s="411"/>
      <c r="G404" s="411"/>
      <c r="H404" s="411"/>
      <c r="I404" s="411"/>
      <c r="O404" s="358"/>
      <c r="Y404" s="358"/>
      <c r="Z404" s="411"/>
      <c r="AA404" s="408"/>
      <c r="AB404" s="411"/>
      <c r="AE404" s="382"/>
      <c r="AF404" s="382"/>
      <c r="AG404" s="382"/>
      <c r="AH404" s="382"/>
      <c r="AI404" s="382"/>
      <c r="AJ404" s="382"/>
      <c r="AK404" s="382"/>
      <c r="AL404" s="382"/>
      <c r="AM404" s="382"/>
      <c r="AN404" s="382"/>
      <c r="AO404" s="382"/>
      <c r="AP404" s="382"/>
      <c r="AQ404" s="382"/>
      <c r="AR404" s="382"/>
      <c r="AS404" s="382"/>
      <c r="AT404" s="382"/>
      <c r="AU404" s="382"/>
      <c r="AV404" s="414"/>
      <c r="AZ404" s="356"/>
      <c r="BB404" s="408"/>
      <c r="BC404" s="411"/>
      <c r="BG404" s="357">
        <f t="shared" si="111"/>
        <v>0</v>
      </c>
      <c r="BH404" s="357">
        <f t="shared" si="112"/>
        <v>0</v>
      </c>
      <c r="BI404" s="82"/>
      <c r="BK404" s="82"/>
    </row>
    <row r="405" spans="2:63" outlineLevel="1" x14ac:dyDescent="0.25">
      <c r="B405" s="349" t="s">
        <v>102</v>
      </c>
      <c r="C405" s="350"/>
      <c r="D405" s="357"/>
      <c r="E405" s="408"/>
      <c r="F405" s="408"/>
      <c r="G405" s="408"/>
      <c r="H405" s="408"/>
      <c r="I405" s="408"/>
      <c r="J405" s="358"/>
      <c r="K405" s="358"/>
      <c r="L405" s="358"/>
      <c r="M405" s="358"/>
      <c r="N405" s="358"/>
      <c r="O405" s="358"/>
      <c r="P405" s="358"/>
      <c r="Q405" s="358"/>
      <c r="R405" s="358"/>
      <c r="S405" s="358"/>
      <c r="T405" s="358"/>
      <c r="U405" s="358"/>
      <c r="V405" s="358"/>
      <c r="W405" s="358"/>
      <c r="X405" s="358"/>
      <c r="Y405" s="358"/>
      <c r="Z405" s="408"/>
      <c r="AA405" s="408"/>
      <c r="AB405" s="408"/>
      <c r="AC405" s="358"/>
      <c r="AD405" s="358"/>
      <c r="AE405" s="358"/>
      <c r="AF405" s="358"/>
      <c r="AG405" s="358"/>
      <c r="AH405" s="358"/>
      <c r="AI405" s="358"/>
      <c r="AJ405" s="358"/>
      <c r="AK405" s="358"/>
      <c r="AL405" s="358"/>
      <c r="AM405" s="358"/>
      <c r="AN405" s="358"/>
      <c r="AO405" s="358"/>
      <c r="AP405" s="358"/>
      <c r="AQ405" s="358"/>
      <c r="AR405" s="358"/>
      <c r="AS405" s="358"/>
      <c r="AT405" s="358"/>
      <c r="AU405" s="358"/>
      <c r="AV405" s="408"/>
      <c r="AW405" s="358"/>
      <c r="AX405" s="358"/>
      <c r="AY405" s="358"/>
      <c r="AZ405" s="358"/>
      <c r="BA405" s="358"/>
      <c r="BB405" s="408"/>
      <c r="BC405" s="408">
        <f>'SEF-32 pg 35-45'!FE37</f>
        <v>0</v>
      </c>
      <c r="BD405" s="358"/>
      <c r="BE405" s="358"/>
      <c r="BF405" s="358"/>
      <c r="BG405" s="357">
        <f t="shared" si="111"/>
        <v>0</v>
      </c>
      <c r="BH405" s="357">
        <f t="shared" si="112"/>
        <v>0</v>
      </c>
      <c r="BI405" s="82"/>
      <c r="BK405" s="82"/>
    </row>
    <row r="406" spans="2:63" outlineLevel="1" x14ac:dyDescent="0.25">
      <c r="B406" s="369" t="s">
        <v>103</v>
      </c>
      <c r="C406" s="350"/>
      <c r="D406" s="357"/>
      <c r="E406" s="408"/>
      <c r="F406" s="408"/>
      <c r="G406" s="408"/>
      <c r="H406" s="408"/>
      <c r="I406" s="408"/>
      <c r="J406" s="358"/>
      <c r="K406" s="358"/>
      <c r="L406" s="358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  <c r="Y406" s="358"/>
      <c r="Z406" s="408"/>
      <c r="AA406" s="408"/>
      <c r="AB406" s="408"/>
      <c r="AC406" s="358"/>
      <c r="AD406" s="358"/>
      <c r="AE406" s="358"/>
      <c r="AF406" s="358"/>
      <c r="AG406" s="358"/>
      <c r="AH406" s="358"/>
      <c r="AI406" s="358"/>
      <c r="AJ406" s="358"/>
      <c r="AK406" s="358"/>
      <c r="AL406" s="358"/>
      <c r="AM406" s="358"/>
      <c r="AN406" s="358"/>
      <c r="AO406" s="358"/>
      <c r="AP406" s="358"/>
      <c r="AQ406" s="358"/>
      <c r="AR406" s="358"/>
      <c r="AS406" s="358"/>
      <c r="AT406" s="358"/>
      <c r="AU406" s="358"/>
      <c r="AV406" s="408"/>
      <c r="AW406" s="358"/>
      <c r="AX406" s="358"/>
      <c r="AY406" s="358"/>
      <c r="AZ406" s="358"/>
      <c r="BA406" s="408">
        <f>'SEF-32 pg 35-45'!DU$26</f>
        <v>0</v>
      </c>
      <c r="BB406" s="408"/>
      <c r="BC406" s="408"/>
      <c r="BD406" s="358"/>
      <c r="BE406" s="358"/>
      <c r="BF406" s="358"/>
      <c r="BG406" s="357">
        <f t="shared" si="111"/>
        <v>0</v>
      </c>
      <c r="BH406" s="357">
        <f t="shared" si="112"/>
        <v>0</v>
      </c>
      <c r="BI406" s="82"/>
      <c r="BK406" s="82"/>
    </row>
    <row r="407" spans="2:63" outlineLevel="1" x14ac:dyDescent="0.25">
      <c r="B407" s="349" t="s">
        <v>104</v>
      </c>
      <c r="C407" s="350"/>
      <c r="D407" s="357"/>
      <c r="E407" s="408"/>
      <c r="F407" s="408"/>
      <c r="G407" s="408"/>
      <c r="H407" s="408"/>
      <c r="I407" s="408"/>
      <c r="J407" s="358"/>
      <c r="K407" s="358"/>
      <c r="L407" s="358"/>
      <c r="M407" s="358"/>
      <c r="N407" s="358"/>
      <c r="O407" s="358"/>
      <c r="P407" s="358"/>
      <c r="Q407" s="358"/>
      <c r="R407" s="358"/>
      <c r="S407" s="358"/>
      <c r="T407" s="358"/>
      <c r="U407" s="358"/>
      <c r="V407" s="358"/>
      <c r="W407" s="358"/>
      <c r="X407" s="358"/>
      <c r="Y407" s="358"/>
      <c r="Z407" s="408"/>
      <c r="AA407" s="408"/>
      <c r="AB407" s="408"/>
      <c r="AC407" s="358"/>
      <c r="AD407" s="358"/>
      <c r="AE407" s="358"/>
      <c r="AF407" s="358"/>
      <c r="AG407" s="358"/>
      <c r="AH407" s="358"/>
      <c r="AI407" s="358"/>
      <c r="AJ407" s="358"/>
      <c r="AK407" s="358"/>
      <c r="AL407" s="358"/>
      <c r="AM407" s="358"/>
      <c r="AN407" s="358"/>
      <c r="AO407" s="358"/>
      <c r="AP407" s="358"/>
      <c r="AQ407" s="358"/>
      <c r="AR407" s="358"/>
      <c r="AS407" s="358"/>
      <c r="AT407" s="358"/>
      <c r="AU407" s="358"/>
      <c r="AV407" s="408"/>
      <c r="AW407" s="358"/>
      <c r="AX407" s="358"/>
      <c r="AY407" s="358">
        <f>'SEF-32 pg 35-45'!CK62</f>
        <v>0</v>
      </c>
      <c r="AZ407" s="358"/>
      <c r="BA407" s="408"/>
      <c r="BB407" s="408"/>
      <c r="BC407" s="408"/>
      <c r="BD407" s="358"/>
      <c r="BE407" s="358"/>
      <c r="BF407" s="358"/>
      <c r="BG407" s="357">
        <f t="shared" si="111"/>
        <v>0</v>
      </c>
      <c r="BH407" s="357">
        <f t="shared" si="112"/>
        <v>0</v>
      </c>
      <c r="BI407" s="82"/>
      <c r="BK407" s="82"/>
    </row>
    <row r="408" spans="2:63" outlineLevel="1" x14ac:dyDescent="0.25">
      <c r="B408" s="349" t="s">
        <v>105</v>
      </c>
      <c r="C408" s="350"/>
      <c r="D408" s="357"/>
      <c r="E408" s="407">
        <f>'SEF-32 pg 1-34, 46'!Q65</f>
        <v>0</v>
      </c>
      <c r="F408" s="408"/>
      <c r="G408" s="408"/>
      <c r="H408" s="408"/>
      <c r="I408" s="408"/>
      <c r="J408" s="358"/>
      <c r="K408" s="358"/>
      <c r="L408" s="358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  <c r="Y408" s="358"/>
      <c r="Z408" s="408">
        <f>'SEF-32 pg 1-34, 46'!OC25</f>
        <v>0</v>
      </c>
      <c r="AA408" s="408"/>
      <c r="AB408" s="408"/>
      <c r="AC408" s="358"/>
      <c r="AD408" s="358"/>
      <c r="AE408" s="358"/>
      <c r="AF408" s="358"/>
      <c r="AG408" s="358"/>
      <c r="AH408" s="358"/>
      <c r="AI408" s="358"/>
      <c r="AJ408" s="358"/>
      <c r="AK408" s="358"/>
      <c r="AL408" s="358"/>
      <c r="AM408" s="358"/>
      <c r="AN408" s="358"/>
      <c r="AO408" s="358"/>
      <c r="AP408" s="358"/>
      <c r="AQ408" s="358"/>
      <c r="AR408" s="358"/>
      <c r="AS408" s="358"/>
      <c r="AT408" s="358"/>
      <c r="AU408" s="358"/>
      <c r="AV408" s="408">
        <f>+'SEF-32 pg 35-45'!M157</f>
        <v>0</v>
      </c>
      <c r="AW408" s="358"/>
      <c r="AX408" s="358"/>
      <c r="AY408" s="358"/>
      <c r="AZ408" s="358"/>
      <c r="BA408" s="408"/>
      <c r="BB408" s="408"/>
      <c r="BC408" s="408"/>
      <c r="BD408" s="358"/>
      <c r="BE408" s="358"/>
      <c r="BF408" s="358"/>
      <c r="BG408" s="357">
        <f t="shared" si="111"/>
        <v>0</v>
      </c>
      <c r="BH408" s="357">
        <f t="shared" si="112"/>
        <v>0</v>
      </c>
      <c r="BI408" s="82"/>
      <c r="BK408" s="82"/>
    </row>
    <row r="409" spans="2:63" outlineLevel="1" x14ac:dyDescent="0.25">
      <c r="B409" s="349" t="s">
        <v>106</v>
      </c>
      <c r="C409" s="350"/>
      <c r="D409" s="357"/>
      <c r="E409" s="407">
        <f>'SEF-32 pg 1-34, 46'!Q70</f>
        <v>0</v>
      </c>
      <c r="F409" s="408"/>
      <c r="G409" s="408"/>
      <c r="H409" s="408"/>
      <c r="I409" s="408">
        <f>'SEF-32 pg 1-34, 46'!CI23</f>
        <v>0</v>
      </c>
      <c r="J409" s="358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408">
        <f>'SEF-32 pg 1-34, 46'!OC32</f>
        <v>0</v>
      </c>
      <c r="AA409" s="408"/>
      <c r="AB409" s="408"/>
      <c r="AC409" s="358"/>
      <c r="AD409" s="358"/>
      <c r="AE409" s="358"/>
      <c r="AF409" s="358"/>
      <c r="AG409" s="358"/>
      <c r="AH409" s="358"/>
      <c r="AI409" s="358"/>
      <c r="AJ409" s="358"/>
      <c r="AK409" s="358"/>
      <c r="AL409" s="358"/>
      <c r="AM409" s="358"/>
      <c r="AN409" s="358"/>
      <c r="AO409" s="358"/>
      <c r="AP409" s="358"/>
      <c r="AQ409" s="358"/>
      <c r="AR409" s="358"/>
      <c r="AS409" s="358"/>
      <c r="AT409" s="358"/>
      <c r="AU409" s="358"/>
      <c r="AV409" s="408">
        <f>+'SEF-32 pg 35-45'!$Q$38</f>
        <v>0</v>
      </c>
      <c r="AW409" s="358"/>
      <c r="AX409" s="358"/>
      <c r="AY409" s="358">
        <f>'SEF-32 pg 35-45'!CK64</f>
        <v>0</v>
      </c>
      <c r="AZ409" s="385"/>
      <c r="BA409" s="416">
        <f>'SEF-32 pg 35-45'!DU$28</f>
        <v>0</v>
      </c>
      <c r="BB409" s="408"/>
      <c r="BC409" s="408">
        <f>'SEF-32 pg 35-45'!FE41</f>
        <v>0</v>
      </c>
      <c r="BD409" s="358"/>
      <c r="BE409" s="358"/>
      <c r="BF409" s="358"/>
      <c r="BG409" s="357">
        <f t="shared" si="111"/>
        <v>0</v>
      </c>
      <c r="BH409" s="357">
        <f t="shared" si="112"/>
        <v>0</v>
      </c>
      <c r="BI409" s="82"/>
      <c r="BK409" s="82"/>
    </row>
    <row r="410" spans="2:63" outlineLevel="1" x14ac:dyDescent="0.25">
      <c r="B410" s="365" t="s">
        <v>107</v>
      </c>
      <c r="C410" s="350"/>
      <c r="D410" s="357"/>
      <c r="E410" s="408"/>
      <c r="F410" s="408"/>
      <c r="G410" s="408"/>
      <c r="H410" s="408"/>
      <c r="I410" s="408"/>
      <c r="J410" s="358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408"/>
      <c r="AA410" s="408"/>
      <c r="AB410" s="408"/>
      <c r="AC410" s="358"/>
      <c r="AD410" s="358"/>
      <c r="AE410" s="358"/>
      <c r="AF410" s="358"/>
      <c r="AG410" s="358"/>
      <c r="AH410" s="358"/>
      <c r="AI410" s="358"/>
      <c r="AJ410" s="358"/>
      <c r="AK410" s="358"/>
      <c r="AL410" s="358"/>
      <c r="AM410" s="358"/>
      <c r="AN410" s="358"/>
      <c r="AO410" s="358"/>
      <c r="AP410" s="358"/>
      <c r="AQ410" s="358"/>
      <c r="AR410" s="358"/>
      <c r="AS410" s="358"/>
      <c r="AT410" s="358"/>
      <c r="AU410" s="358"/>
      <c r="AV410" s="408"/>
      <c r="AW410" s="358"/>
      <c r="AX410" s="358"/>
      <c r="AY410" s="358"/>
      <c r="AZ410" s="358"/>
      <c r="BA410" s="358"/>
      <c r="BB410" s="408"/>
      <c r="BC410" s="408"/>
      <c r="BD410" s="358"/>
      <c r="BE410" s="358"/>
      <c r="BF410" s="358"/>
      <c r="BG410" s="357">
        <f t="shared" si="111"/>
        <v>0</v>
      </c>
      <c r="BH410" s="357">
        <f t="shared" si="112"/>
        <v>0</v>
      </c>
      <c r="BI410" s="82"/>
      <c r="BK410" s="82"/>
    </row>
    <row r="411" spans="2:63" outlineLevel="1" x14ac:dyDescent="0.25">
      <c r="B411" s="349" t="s">
        <v>109</v>
      </c>
      <c r="C411" s="350"/>
      <c r="D411" s="367"/>
      <c r="E411" s="368">
        <f t="shared" ref="E411:BH411" si="113">SUM(E395:E410)</f>
        <v>0</v>
      </c>
      <c r="F411" s="368">
        <f t="shared" si="113"/>
        <v>0</v>
      </c>
      <c r="G411" s="368">
        <f t="shared" si="113"/>
        <v>0</v>
      </c>
      <c r="H411" s="368">
        <f t="shared" si="113"/>
        <v>0</v>
      </c>
      <c r="I411" s="368">
        <f t="shared" si="113"/>
        <v>0</v>
      </c>
      <c r="J411" s="368">
        <f t="shared" si="113"/>
        <v>0</v>
      </c>
      <c r="K411" s="368">
        <f t="shared" si="113"/>
        <v>0</v>
      </c>
      <c r="L411" s="368">
        <f t="shared" si="113"/>
        <v>0</v>
      </c>
      <c r="M411" s="368">
        <f t="shared" si="113"/>
        <v>0</v>
      </c>
      <c r="N411" s="368">
        <f t="shared" si="113"/>
        <v>0</v>
      </c>
      <c r="O411" s="368">
        <f t="shared" si="113"/>
        <v>0</v>
      </c>
      <c r="P411" s="368">
        <f t="shared" si="113"/>
        <v>0</v>
      </c>
      <c r="Q411" s="368">
        <f t="shared" si="113"/>
        <v>0</v>
      </c>
      <c r="R411" s="368">
        <f t="shared" si="113"/>
        <v>0</v>
      </c>
      <c r="S411" s="368">
        <f t="shared" si="113"/>
        <v>0</v>
      </c>
      <c r="T411" s="368">
        <f t="shared" si="113"/>
        <v>0</v>
      </c>
      <c r="U411" s="368">
        <f t="shared" si="113"/>
        <v>0</v>
      </c>
      <c r="V411" s="368">
        <f t="shared" si="113"/>
        <v>0</v>
      </c>
      <c r="W411" s="368">
        <f t="shared" si="113"/>
        <v>0</v>
      </c>
      <c r="X411" s="368">
        <f t="shared" si="113"/>
        <v>0</v>
      </c>
      <c r="Y411" s="368">
        <f t="shared" si="113"/>
        <v>0</v>
      </c>
      <c r="Z411" s="372">
        <f t="shared" si="113"/>
        <v>0</v>
      </c>
      <c r="AA411" s="409">
        <f t="shared" si="113"/>
        <v>0</v>
      </c>
      <c r="AB411" s="409">
        <f t="shared" si="113"/>
        <v>0</v>
      </c>
      <c r="AC411" s="368">
        <f t="shared" si="113"/>
        <v>0</v>
      </c>
      <c r="AD411" s="368">
        <f t="shared" si="113"/>
        <v>0</v>
      </c>
      <c r="AE411" s="368">
        <f t="shared" si="113"/>
        <v>0</v>
      </c>
      <c r="AF411" s="368">
        <f t="shared" si="113"/>
        <v>0</v>
      </c>
      <c r="AG411" s="368">
        <f t="shared" si="113"/>
        <v>0</v>
      </c>
      <c r="AH411" s="368">
        <f t="shared" si="113"/>
        <v>0</v>
      </c>
      <c r="AI411" s="368">
        <f t="shared" si="113"/>
        <v>0</v>
      </c>
      <c r="AJ411" s="368">
        <f t="shared" si="113"/>
        <v>0</v>
      </c>
      <c r="AK411" s="368"/>
      <c r="AL411" s="368"/>
      <c r="AM411" s="368"/>
      <c r="AN411" s="368"/>
      <c r="AO411" s="368"/>
      <c r="AP411" s="368"/>
      <c r="AQ411" s="368"/>
      <c r="AR411" s="368"/>
      <c r="AS411" s="368"/>
      <c r="AT411" s="368"/>
      <c r="AU411" s="368"/>
      <c r="AV411" s="409">
        <f t="shared" si="113"/>
        <v>0</v>
      </c>
      <c r="AW411" s="368">
        <f t="shared" si="113"/>
        <v>0</v>
      </c>
      <c r="AX411" s="368">
        <f t="shared" si="113"/>
        <v>0</v>
      </c>
      <c r="AY411" s="368">
        <f t="shared" si="113"/>
        <v>0</v>
      </c>
      <c r="AZ411" s="368">
        <f t="shared" si="113"/>
        <v>0</v>
      </c>
      <c r="BA411" s="368">
        <f t="shared" si="113"/>
        <v>0</v>
      </c>
      <c r="BB411" s="409">
        <f t="shared" si="113"/>
        <v>0</v>
      </c>
      <c r="BC411" s="409">
        <f t="shared" si="113"/>
        <v>0</v>
      </c>
      <c r="BD411" s="368">
        <f t="shared" si="113"/>
        <v>0</v>
      </c>
      <c r="BE411" s="368">
        <f>SUM(BE395:BE410)</f>
        <v>0</v>
      </c>
      <c r="BF411" s="368">
        <f t="shared" si="113"/>
        <v>0</v>
      </c>
      <c r="BG411" s="367">
        <f t="shared" si="113"/>
        <v>0</v>
      </c>
      <c r="BH411" s="367">
        <f t="shared" si="113"/>
        <v>0</v>
      </c>
      <c r="BI411" s="82"/>
      <c r="BK411" s="82"/>
    </row>
    <row r="412" spans="2:63" outlineLevel="1" x14ac:dyDescent="0.25">
      <c r="B412" s="365"/>
      <c r="C412" s="350"/>
      <c r="D412" s="374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417"/>
      <c r="AA412" s="417"/>
      <c r="AB412" s="417"/>
      <c r="AC412" s="375"/>
      <c r="AD412" s="375"/>
      <c r="AE412" s="375"/>
      <c r="AF412" s="375"/>
      <c r="AG412" s="375"/>
      <c r="AH412" s="375"/>
      <c r="AI412" s="375"/>
      <c r="AJ412" s="375"/>
      <c r="AK412" s="375"/>
      <c r="AL412" s="375"/>
      <c r="AM412" s="375"/>
      <c r="AN412" s="375"/>
      <c r="AO412" s="375"/>
      <c r="AP412" s="375"/>
      <c r="AQ412" s="375"/>
      <c r="AR412" s="375"/>
      <c r="AS412" s="375"/>
      <c r="AT412" s="375"/>
      <c r="AU412" s="375"/>
      <c r="AV412" s="417"/>
      <c r="AW412" s="375"/>
      <c r="AX412" s="375"/>
      <c r="AY412" s="375"/>
      <c r="AZ412" s="375"/>
      <c r="BA412" s="375"/>
      <c r="BB412" s="417"/>
      <c r="BC412" s="417"/>
      <c r="BD412" s="375"/>
      <c r="BE412" s="375"/>
      <c r="BF412" s="375"/>
      <c r="BG412" s="374"/>
      <c r="BH412" s="374"/>
      <c r="BI412" s="82"/>
      <c r="BK412" s="82"/>
    </row>
    <row r="413" spans="2:63" ht="15.75" outlineLevel="1" thickBot="1" x14ac:dyDescent="0.3">
      <c r="B413" s="365" t="s">
        <v>110</v>
      </c>
      <c r="C413" s="350"/>
      <c r="D413" s="376"/>
      <c r="E413" s="378">
        <f t="shared" ref="E413:BH413" si="114">+E386-E411</f>
        <v>0</v>
      </c>
      <c r="F413" s="378">
        <f t="shared" si="114"/>
        <v>0</v>
      </c>
      <c r="G413" s="378">
        <f t="shared" si="114"/>
        <v>0</v>
      </c>
      <c r="H413" s="378">
        <f t="shared" si="114"/>
        <v>0</v>
      </c>
      <c r="I413" s="378">
        <f t="shared" si="114"/>
        <v>0</v>
      </c>
      <c r="J413" s="378">
        <f t="shared" si="114"/>
        <v>0</v>
      </c>
      <c r="K413" s="378">
        <f t="shared" si="114"/>
        <v>0</v>
      </c>
      <c r="L413" s="378">
        <f t="shared" si="114"/>
        <v>0</v>
      </c>
      <c r="M413" s="378">
        <f t="shared" si="114"/>
        <v>0</v>
      </c>
      <c r="N413" s="378">
        <f t="shared" si="114"/>
        <v>0</v>
      </c>
      <c r="O413" s="378">
        <f t="shared" si="114"/>
        <v>0</v>
      </c>
      <c r="P413" s="378">
        <f t="shared" si="114"/>
        <v>0</v>
      </c>
      <c r="Q413" s="378">
        <f t="shared" si="114"/>
        <v>0</v>
      </c>
      <c r="R413" s="378">
        <f t="shared" si="114"/>
        <v>0</v>
      </c>
      <c r="S413" s="378">
        <f t="shared" si="114"/>
        <v>0</v>
      </c>
      <c r="T413" s="378">
        <f t="shared" si="114"/>
        <v>0</v>
      </c>
      <c r="U413" s="378">
        <f t="shared" si="114"/>
        <v>0</v>
      </c>
      <c r="V413" s="378">
        <f t="shared" si="114"/>
        <v>0</v>
      </c>
      <c r="W413" s="378">
        <f t="shared" si="114"/>
        <v>0</v>
      </c>
      <c r="X413" s="378">
        <f t="shared" si="114"/>
        <v>0</v>
      </c>
      <c r="Y413" s="378">
        <f t="shared" si="114"/>
        <v>0</v>
      </c>
      <c r="Z413" s="377">
        <f t="shared" si="114"/>
        <v>0</v>
      </c>
      <c r="AA413" s="419">
        <f t="shared" si="114"/>
        <v>0</v>
      </c>
      <c r="AB413" s="419">
        <f t="shared" si="114"/>
        <v>0</v>
      </c>
      <c r="AC413" s="378">
        <f t="shared" si="114"/>
        <v>0</v>
      </c>
      <c r="AD413" s="378">
        <f t="shared" si="114"/>
        <v>0</v>
      </c>
      <c r="AE413" s="378">
        <f t="shared" si="114"/>
        <v>0</v>
      </c>
      <c r="AF413" s="378">
        <f t="shared" si="114"/>
        <v>0</v>
      </c>
      <c r="AG413" s="378">
        <f t="shared" si="114"/>
        <v>0</v>
      </c>
      <c r="AH413" s="378">
        <f t="shared" si="114"/>
        <v>0</v>
      </c>
      <c r="AI413" s="378">
        <f t="shared" si="114"/>
        <v>0</v>
      </c>
      <c r="AJ413" s="378">
        <f t="shared" si="114"/>
        <v>0</v>
      </c>
      <c r="AK413" s="378"/>
      <c r="AL413" s="378"/>
      <c r="AM413" s="378"/>
      <c r="AN413" s="378"/>
      <c r="AO413" s="378"/>
      <c r="AP413" s="378"/>
      <c r="AQ413" s="378"/>
      <c r="AR413" s="378"/>
      <c r="AS413" s="378"/>
      <c r="AT413" s="378"/>
      <c r="AU413" s="378"/>
      <c r="AV413" s="419">
        <f t="shared" si="114"/>
        <v>0</v>
      </c>
      <c r="AW413" s="378">
        <f t="shared" si="114"/>
        <v>0</v>
      </c>
      <c r="AX413" s="378">
        <f t="shared" si="114"/>
        <v>0</v>
      </c>
      <c r="AY413" s="378">
        <f t="shared" si="114"/>
        <v>0</v>
      </c>
      <c r="AZ413" s="378">
        <f t="shared" si="114"/>
        <v>0</v>
      </c>
      <c r="BA413" s="378">
        <f t="shared" si="114"/>
        <v>0</v>
      </c>
      <c r="BB413" s="419">
        <f t="shared" si="114"/>
        <v>0</v>
      </c>
      <c r="BC413" s="419">
        <f t="shared" si="114"/>
        <v>0</v>
      </c>
      <c r="BD413" s="378">
        <f t="shared" si="114"/>
        <v>0</v>
      </c>
      <c r="BE413" s="378">
        <f>+BE386-BE411</f>
        <v>0</v>
      </c>
      <c r="BF413" s="378">
        <f t="shared" si="114"/>
        <v>0</v>
      </c>
      <c r="BG413" s="376">
        <f t="shared" si="114"/>
        <v>0</v>
      </c>
      <c r="BH413" s="376">
        <f t="shared" si="114"/>
        <v>0</v>
      </c>
      <c r="BI413" s="82"/>
      <c r="BK413" s="82"/>
    </row>
    <row r="414" spans="2:63" ht="15.75" outlineLevel="1" thickTop="1" x14ac:dyDescent="0.25">
      <c r="B414" s="18"/>
      <c r="C414" s="350"/>
      <c r="D414" s="380"/>
      <c r="E414" s="381"/>
      <c r="F414" s="381"/>
      <c r="G414" s="381"/>
      <c r="H414" s="381"/>
      <c r="I414" s="381"/>
      <c r="J414" s="381"/>
      <c r="K414" s="381"/>
      <c r="L414" s="381"/>
      <c r="M414" s="381"/>
      <c r="N414" s="381"/>
      <c r="O414" s="381"/>
      <c r="P414" s="381"/>
      <c r="Q414" s="381"/>
      <c r="R414" s="381"/>
      <c r="S414" s="381"/>
      <c r="T414" s="381"/>
      <c r="U414" s="381"/>
      <c r="V414" s="381"/>
      <c r="W414" s="381"/>
      <c r="X414" s="381"/>
      <c r="Y414" s="381"/>
      <c r="Z414" s="420"/>
      <c r="AA414" s="420"/>
      <c r="AB414" s="420"/>
      <c r="AC414" s="381"/>
      <c r="AD414" s="381"/>
      <c r="AE414" s="381"/>
      <c r="AF414" s="381"/>
      <c r="AG414" s="381"/>
      <c r="AH414" s="381"/>
      <c r="AI414" s="381"/>
      <c r="AJ414" s="381"/>
      <c r="AK414" s="381"/>
      <c r="AL414" s="381"/>
      <c r="AM414" s="381"/>
      <c r="AN414" s="381"/>
      <c r="AO414" s="381"/>
      <c r="AP414" s="381"/>
      <c r="AQ414" s="381"/>
      <c r="AR414" s="381"/>
      <c r="AS414" s="381"/>
      <c r="AT414" s="381"/>
      <c r="AU414" s="381"/>
      <c r="AV414" s="381"/>
      <c r="AW414" s="381"/>
      <c r="AX414" s="381"/>
      <c r="AY414" s="381"/>
      <c r="AZ414" s="381"/>
      <c r="BA414" s="381"/>
      <c r="BB414" s="420"/>
      <c r="BC414" s="420"/>
      <c r="BD414" s="381"/>
      <c r="BE414" s="381"/>
      <c r="BF414" s="381"/>
      <c r="BG414" s="380"/>
      <c r="BH414" s="380"/>
      <c r="BI414" s="82"/>
      <c r="BK414" s="82"/>
    </row>
    <row r="415" spans="2:63" outlineLevel="1" x14ac:dyDescent="0.25">
      <c r="B415" s="349" t="s">
        <v>145</v>
      </c>
      <c r="C415" s="350"/>
      <c r="D415" s="366"/>
      <c r="E415" s="356">
        <f t="shared" ref="E415:BH415" si="115">E426</f>
        <v>0</v>
      </c>
      <c r="F415" s="356">
        <f t="shared" si="115"/>
        <v>0</v>
      </c>
      <c r="G415" s="356">
        <f t="shared" si="115"/>
        <v>0</v>
      </c>
      <c r="H415" s="356">
        <f t="shared" si="115"/>
        <v>0</v>
      </c>
      <c r="I415" s="356">
        <f t="shared" si="115"/>
        <v>0</v>
      </c>
      <c r="J415" s="356">
        <f t="shared" si="115"/>
        <v>0</v>
      </c>
      <c r="K415" s="356">
        <f t="shared" si="115"/>
        <v>0</v>
      </c>
      <c r="L415" s="356">
        <f t="shared" si="115"/>
        <v>0</v>
      </c>
      <c r="M415" s="356">
        <f t="shared" si="115"/>
        <v>0</v>
      </c>
      <c r="N415" s="356">
        <f t="shared" si="115"/>
        <v>0</v>
      </c>
      <c r="O415" s="356">
        <f t="shared" si="115"/>
        <v>0</v>
      </c>
      <c r="P415" s="356">
        <f t="shared" si="115"/>
        <v>0</v>
      </c>
      <c r="Q415" s="356">
        <f t="shared" si="115"/>
        <v>0</v>
      </c>
      <c r="R415" s="356">
        <f t="shared" si="115"/>
        <v>0</v>
      </c>
      <c r="S415" s="356">
        <f t="shared" si="115"/>
        <v>0</v>
      </c>
      <c r="T415" s="356">
        <f t="shared" si="115"/>
        <v>0</v>
      </c>
      <c r="U415" s="356">
        <f t="shared" si="115"/>
        <v>0</v>
      </c>
      <c r="V415" s="356">
        <f t="shared" si="115"/>
        <v>0</v>
      </c>
      <c r="W415" s="356">
        <f t="shared" si="115"/>
        <v>0</v>
      </c>
      <c r="X415" s="356">
        <f t="shared" si="115"/>
        <v>0</v>
      </c>
      <c r="Y415" s="356">
        <f t="shared" si="115"/>
        <v>0</v>
      </c>
      <c r="Z415" s="412">
        <f t="shared" si="115"/>
        <v>0</v>
      </c>
      <c r="AA415" s="412">
        <f t="shared" si="115"/>
        <v>0</v>
      </c>
      <c r="AB415" s="412">
        <f t="shared" si="115"/>
        <v>0</v>
      </c>
      <c r="AC415" s="356">
        <f t="shared" si="115"/>
        <v>0</v>
      </c>
      <c r="AD415" s="356">
        <f t="shared" si="115"/>
        <v>0</v>
      </c>
      <c r="AE415" s="356">
        <f t="shared" si="115"/>
        <v>0</v>
      </c>
      <c r="AF415" s="356">
        <f t="shared" si="115"/>
        <v>0</v>
      </c>
      <c r="AG415" s="356">
        <f t="shared" si="115"/>
        <v>0</v>
      </c>
      <c r="AH415" s="356">
        <f t="shared" si="115"/>
        <v>0</v>
      </c>
      <c r="AI415" s="356">
        <f t="shared" si="115"/>
        <v>0</v>
      </c>
      <c r="AJ415" s="356">
        <f t="shared" si="115"/>
        <v>0</v>
      </c>
      <c r="AK415" s="356"/>
      <c r="AL415" s="356"/>
      <c r="AM415" s="356"/>
      <c r="AN415" s="356"/>
      <c r="AO415" s="356"/>
      <c r="AP415" s="356"/>
      <c r="AQ415" s="356"/>
      <c r="AR415" s="356"/>
      <c r="AS415" s="356"/>
      <c r="AT415" s="356"/>
      <c r="AU415" s="356"/>
      <c r="AV415" s="356">
        <f t="shared" si="115"/>
        <v>0</v>
      </c>
      <c r="AW415" s="356">
        <f t="shared" si="115"/>
        <v>0</v>
      </c>
      <c r="AX415" s="356">
        <f t="shared" si="115"/>
        <v>0</v>
      </c>
      <c r="AY415" s="356">
        <f t="shared" si="115"/>
        <v>0</v>
      </c>
      <c r="AZ415" s="356">
        <f t="shared" si="115"/>
        <v>0</v>
      </c>
      <c r="BA415" s="356">
        <f t="shared" si="115"/>
        <v>0</v>
      </c>
      <c r="BB415" s="412">
        <f t="shared" si="115"/>
        <v>0</v>
      </c>
      <c r="BC415" s="412">
        <f t="shared" si="115"/>
        <v>0</v>
      </c>
      <c r="BD415" s="356">
        <f t="shared" si="115"/>
        <v>0</v>
      </c>
      <c r="BE415" s="356">
        <f>BE426</f>
        <v>0</v>
      </c>
      <c r="BF415" s="356">
        <f t="shared" si="115"/>
        <v>0</v>
      </c>
      <c r="BG415" s="366">
        <f t="shared" si="115"/>
        <v>0</v>
      </c>
      <c r="BH415" s="366">
        <f t="shared" si="115"/>
        <v>0</v>
      </c>
      <c r="BI415" s="82"/>
      <c r="BK415" s="82"/>
    </row>
    <row r="416" spans="2:63" outlineLevel="1" x14ac:dyDescent="0.25">
      <c r="B416" s="365"/>
      <c r="C416" s="350"/>
      <c r="D416" s="351"/>
      <c r="Z416" s="411"/>
      <c r="AA416" s="411"/>
      <c r="AB416" s="411"/>
      <c r="BB416" s="411"/>
      <c r="BC416" s="411"/>
      <c r="BG416" s="351"/>
      <c r="BH416" s="351"/>
      <c r="BI416" s="82"/>
      <c r="BK416" s="82"/>
    </row>
    <row r="417" spans="2:63" outlineLevel="1" x14ac:dyDescent="0.25">
      <c r="B417" s="349" t="s">
        <v>18</v>
      </c>
      <c r="C417" s="350"/>
      <c r="D417" s="383"/>
      <c r="E417" s="358"/>
      <c r="F417" s="358"/>
      <c r="G417" s="358"/>
      <c r="H417" s="358"/>
      <c r="I417" s="358"/>
      <c r="J417" s="358"/>
      <c r="K417" s="358"/>
      <c r="L417" s="358"/>
      <c r="M417" s="358"/>
      <c r="N417" s="358"/>
      <c r="O417" s="358"/>
      <c r="P417" s="358"/>
      <c r="Q417" s="358"/>
      <c r="R417" s="358"/>
      <c r="S417" s="358"/>
      <c r="T417" s="358"/>
      <c r="U417" s="358"/>
      <c r="V417" s="358"/>
      <c r="W417" s="358"/>
      <c r="X417" s="358"/>
      <c r="Y417" s="358"/>
      <c r="Z417" s="408"/>
      <c r="AA417" s="408"/>
      <c r="AB417" s="408"/>
      <c r="AC417" s="358"/>
      <c r="AD417" s="358"/>
      <c r="AE417" s="358"/>
      <c r="AF417" s="358"/>
      <c r="AG417" s="358"/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358"/>
      <c r="AX417" s="358"/>
      <c r="AY417" s="358"/>
      <c r="AZ417" s="358"/>
      <c r="BA417" s="358"/>
      <c r="BB417" s="408"/>
      <c r="BC417" s="408"/>
      <c r="BD417" s="358"/>
      <c r="BE417" s="358"/>
      <c r="BF417" s="358"/>
      <c r="BG417" s="383"/>
      <c r="BH417" s="383" t="e">
        <f>+BH413/BH415</f>
        <v>#DIV/0!</v>
      </c>
      <c r="BI417" s="82"/>
      <c r="BK417" s="82"/>
    </row>
    <row r="418" spans="2:63" outlineLevel="1" x14ac:dyDescent="0.25">
      <c r="B418" s="365"/>
      <c r="C418" s="350"/>
      <c r="D418" s="357"/>
      <c r="E418" s="358"/>
      <c r="F418" s="358"/>
      <c r="G418" s="358"/>
      <c r="H418" s="358"/>
      <c r="I418" s="358"/>
      <c r="J418" s="358"/>
      <c r="K418" s="358"/>
      <c r="L418" s="358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  <c r="Y418" s="358"/>
      <c r="Z418" s="408"/>
      <c r="AA418" s="408"/>
      <c r="AB418" s="408"/>
      <c r="AC418" s="358"/>
      <c r="AD418" s="358"/>
      <c r="AE418" s="358"/>
      <c r="AF418" s="358"/>
      <c r="AG418" s="358"/>
      <c r="AH418" s="358"/>
      <c r="AI418" s="358"/>
      <c r="AJ418" s="358"/>
      <c r="AK418" s="358"/>
      <c r="AL418" s="358"/>
      <c r="AM418" s="358"/>
      <c r="AN418" s="358"/>
      <c r="AO418" s="358"/>
      <c r="AP418" s="358"/>
      <c r="AQ418" s="358"/>
      <c r="AR418" s="358"/>
      <c r="AS418" s="358"/>
      <c r="AT418" s="358"/>
      <c r="AU418" s="358"/>
      <c r="AV418" s="358"/>
      <c r="AW418" s="358"/>
      <c r="AX418" s="358"/>
      <c r="AY418" s="358"/>
      <c r="AZ418" s="358"/>
      <c r="BA418" s="358"/>
      <c r="BB418" s="408"/>
      <c r="BC418" s="408"/>
      <c r="BD418" s="358"/>
      <c r="BE418" s="358"/>
      <c r="BF418" s="358"/>
      <c r="BG418" s="357"/>
      <c r="BH418" s="357"/>
      <c r="BI418" s="82"/>
      <c r="BK418" s="82"/>
    </row>
    <row r="419" spans="2:63" outlineLevel="1" x14ac:dyDescent="0.25">
      <c r="B419" s="365" t="s">
        <v>146</v>
      </c>
      <c r="C419" s="350"/>
      <c r="D419" s="357"/>
      <c r="E419" s="358"/>
      <c r="F419" s="358"/>
      <c r="G419" s="358"/>
      <c r="H419" s="358"/>
      <c r="I419" s="358"/>
      <c r="J419" s="358"/>
      <c r="K419" s="358"/>
      <c r="L419" s="358"/>
      <c r="M419" s="358"/>
      <c r="N419" s="358"/>
      <c r="O419" s="358"/>
      <c r="P419" s="358"/>
      <c r="Q419" s="358"/>
      <c r="R419" s="358"/>
      <c r="S419" s="358"/>
      <c r="T419" s="358"/>
      <c r="U419" s="358"/>
      <c r="V419" s="358"/>
      <c r="W419" s="358"/>
      <c r="X419" s="358"/>
      <c r="Y419" s="358"/>
      <c r="Z419" s="408"/>
      <c r="AA419" s="408"/>
      <c r="AB419" s="408"/>
      <c r="AC419" s="358"/>
      <c r="AD419" s="358"/>
      <c r="AE419" s="358"/>
      <c r="AF419" s="358"/>
      <c r="AG419" s="358"/>
      <c r="AH419" s="358"/>
      <c r="AI419" s="358"/>
      <c r="AJ419" s="358"/>
      <c r="AK419" s="358"/>
      <c r="AL419" s="358"/>
      <c r="AM419" s="358"/>
      <c r="AN419" s="358"/>
      <c r="AO419" s="358"/>
      <c r="AP419" s="358"/>
      <c r="AQ419" s="358"/>
      <c r="AR419" s="358"/>
      <c r="AS419" s="358"/>
      <c r="AT419" s="358"/>
      <c r="AU419" s="358"/>
      <c r="AV419" s="358"/>
      <c r="AW419" s="358"/>
      <c r="AX419" s="358"/>
      <c r="AY419" s="358"/>
      <c r="AZ419" s="358"/>
      <c r="BA419" s="358"/>
      <c r="BB419" s="408"/>
      <c r="BC419" s="408"/>
      <c r="BD419" s="358"/>
      <c r="BE419" s="358"/>
      <c r="BF419" s="358"/>
      <c r="BG419" s="357"/>
      <c r="BH419" s="357"/>
      <c r="BI419" s="82"/>
      <c r="BK419" s="82"/>
    </row>
    <row r="420" spans="2:63" outlineLevel="1" x14ac:dyDescent="0.25">
      <c r="B420" s="384" t="s">
        <v>112</v>
      </c>
      <c r="C420" s="350"/>
      <c r="D420" s="366"/>
      <c r="E420" s="356"/>
      <c r="F420" s="356"/>
      <c r="G420" s="356"/>
      <c r="H420" s="356"/>
      <c r="I420" s="356"/>
      <c r="J420" s="356"/>
      <c r="K420" s="356"/>
      <c r="L420" s="356"/>
      <c r="M420" s="356"/>
      <c r="N420" s="356"/>
      <c r="O420" s="356"/>
      <c r="P420" s="356"/>
      <c r="Q420" s="356"/>
      <c r="R420" s="356"/>
      <c r="S420" s="356"/>
      <c r="T420" s="356"/>
      <c r="U420" s="356"/>
      <c r="V420" s="356"/>
      <c r="W420" s="356"/>
      <c r="X420" s="356"/>
      <c r="Y420" s="356"/>
      <c r="Z420" s="412"/>
      <c r="AA420" s="412">
        <f>'SEF-32 pg 1-34, 46'!OQ145</f>
        <v>0</v>
      </c>
      <c r="AB420" s="412">
        <f>+'SEF-32 pg 1-34, 46'!PI154</f>
        <v>0</v>
      </c>
      <c r="AC420" s="356"/>
      <c r="AD420" s="356">
        <f>'SEF-32 pg 1-34, 46'!RA19</f>
        <v>0</v>
      </c>
      <c r="AE420" s="358"/>
      <c r="AF420" s="356"/>
      <c r="AG420" s="356"/>
      <c r="AH420" s="356"/>
      <c r="AI420" s="356"/>
      <c r="AJ420" s="356"/>
      <c r="AK420" s="356"/>
      <c r="AL420" s="356"/>
      <c r="AM420" s="356"/>
      <c r="AN420" s="356"/>
      <c r="AO420" s="356"/>
      <c r="AP420" s="356"/>
      <c r="AQ420" s="356"/>
      <c r="AR420" s="356"/>
      <c r="AS420" s="356"/>
      <c r="AT420" s="356"/>
      <c r="AU420" s="356"/>
      <c r="AV420" s="356"/>
      <c r="AW420" s="356">
        <f>'SEF-32 pg 35-45'!AW151</f>
        <v>0</v>
      </c>
      <c r="AX420" s="356"/>
      <c r="AY420" s="356"/>
      <c r="AZ420" s="356">
        <f>+'SEF-32 pg 35-45'!CY150</f>
        <v>0</v>
      </c>
      <c r="BA420" s="356"/>
      <c r="BB420" s="412">
        <f>'SEF-32 pg 35-45'!EI191</f>
        <v>0</v>
      </c>
      <c r="BC420" s="412">
        <f>'SEF-32 pg 35-45'!FE23</f>
        <v>0</v>
      </c>
      <c r="BD420" s="356"/>
      <c r="BE420" s="356">
        <f>'SEF-32 pg 35-45'!GJ156</f>
        <v>0</v>
      </c>
      <c r="BF420" s="356">
        <f>'SEF-32 pg 35-45'!GK156</f>
        <v>0</v>
      </c>
      <c r="BG420" s="366">
        <f t="shared" ref="BG420:BG425" si="116">SUM(E420:BF420)</f>
        <v>0</v>
      </c>
      <c r="BH420" s="366">
        <f t="shared" ref="BH420:BH425" si="117">+BG420+D420</f>
        <v>0</v>
      </c>
      <c r="BI420" s="82"/>
      <c r="BK420" s="82"/>
    </row>
    <row r="421" spans="2:63" outlineLevel="1" x14ac:dyDescent="0.25">
      <c r="B421" s="384" t="s">
        <v>113</v>
      </c>
      <c r="C421" s="350"/>
      <c r="D421" s="357"/>
      <c r="E421" s="358"/>
      <c r="F421" s="358"/>
      <c r="G421" s="358"/>
      <c r="H421" s="358"/>
      <c r="I421" s="358"/>
      <c r="J421" s="358"/>
      <c r="K421" s="358"/>
      <c r="L421" s="358"/>
      <c r="M421" s="358"/>
      <c r="N421" s="358"/>
      <c r="O421" s="358"/>
      <c r="P421" s="358"/>
      <c r="Q421" s="358"/>
      <c r="R421" s="358"/>
      <c r="S421" s="358"/>
      <c r="T421" s="358"/>
      <c r="U421" s="358"/>
      <c r="V421" s="358"/>
      <c r="W421" s="358"/>
      <c r="X421" s="358"/>
      <c r="Y421" s="358"/>
      <c r="Z421" s="408"/>
      <c r="AA421" s="408">
        <f>'SEF-32 pg 1-34, 46'!OQ146</f>
        <v>0</v>
      </c>
      <c r="AB421" s="408">
        <f>+'SEF-32 pg 1-34, 46'!PI160</f>
        <v>0</v>
      </c>
      <c r="AC421" s="358"/>
      <c r="AD421" s="358">
        <f>'SEF-32 pg 1-34, 46'!RA20</f>
        <v>0</v>
      </c>
      <c r="AE421" s="358"/>
      <c r="AF421" s="358"/>
      <c r="AG421" s="358"/>
      <c r="AH421" s="358"/>
      <c r="AI421" s="358"/>
      <c r="AJ421" s="358"/>
      <c r="AK421" s="358"/>
      <c r="AL421" s="358"/>
      <c r="AM421" s="358"/>
      <c r="AN421" s="358"/>
      <c r="AO421" s="358"/>
      <c r="AP421" s="358"/>
      <c r="AQ421" s="358"/>
      <c r="AR421" s="358"/>
      <c r="AS421" s="358"/>
      <c r="AT421" s="358"/>
      <c r="AU421" s="358"/>
      <c r="AV421" s="358"/>
      <c r="AW421" s="358">
        <f>'SEF-32 pg 35-45'!AW152</f>
        <v>0</v>
      </c>
      <c r="AX421" s="358"/>
      <c r="AY421" s="358"/>
      <c r="AZ421" s="385">
        <f>+'SEF-32 pg 35-45'!CY151</f>
        <v>0</v>
      </c>
      <c r="BA421" s="358"/>
      <c r="BB421" s="408">
        <f>'SEF-32 pg 35-45'!EI192</f>
        <v>0</v>
      </c>
      <c r="BC421" s="408">
        <f>'SEF-32 pg 35-45'!FE29</f>
        <v>0</v>
      </c>
      <c r="BD421" s="358"/>
      <c r="BE421" s="358">
        <f>'SEF-32 pg 35-45'!GJ162</f>
        <v>0</v>
      </c>
      <c r="BF421" s="358">
        <f>'SEF-32 pg 35-45'!GK162</f>
        <v>0</v>
      </c>
      <c r="BG421" s="357">
        <f t="shared" si="116"/>
        <v>0</v>
      </c>
      <c r="BH421" s="357">
        <f t="shared" si="117"/>
        <v>0</v>
      </c>
      <c r="BI421" s="82"/>
      <c r="BK421" s="82"/>
    </row>
    <row r="422" spans="2:63" outlineLevel="1" x14ac:dyDescent="0.25">
      <c r="B422" s="365" t="s">
        <v>147</v>
      </c>
      <c r="C422" s="350"/>
      <c r="D422" s="357"/>
      <c r="E422" s="358"/>
      <c r="F422" s="358"/>
      <c r="G422" s="358"/>
      <c r="H422" s="358"/>
      <c r="I422" s="358"/>
      <c r="J422" s="358"/>
      <c r="K422" s="358"/>
      <c r="L422" s="358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  <c r="Y422" s="358"/>
      <c r="Z422" s="408"/>
      <c r="AA422" s="408">
        <f>'SEF-32 pg 1-34, 46'!OQ151+'SEF-32 pg 1-34, 46'!OQ152</f>
        <v>0</v>
      </c>
      <c r="AB422" s="408"/>
      <c r="AC422" s="358"/>
      <c r="AD422" s="358"/>
      <c r="AE422" s="358"/>
      <c r="AF422" s="358"/>
      <c r="AG422" s="358"/>
      <c r="AH422" s="358"/>
      <c r="AI422" s="358"/>
      <c r="AJ422" s="358"/>
      <c r="AK422" s="358"/>
      <c r="AL422" s="358"/>
      <c r="AM422" s="358"/>
      <c r="AN422" s="358"/>
      <c r="AO422" s="358"/>
      <c r="AP422" s="358"/>
      <c r="AQ422" s="358"/>
      <c r="AR422" s="358"/>
      <c r="AS422" s="358"/>
      <c r="AT422" s="358"/>
      <c r="AU422" s="358"/>
      <c r="AV422" s="358"/>
      <c r="AW422" s="358"/>
      <c r="AX422" s="358"/>
      <c r="AY422" s="358">
        <f>'SEF-32 pg 35-45'!CK36</f>
        <v>0</v>
      </c>
      <c r="AZ422" s="385"/>
      <c r="BA422" s="358"/>
      <c r="BB422" s="408">
        <f>'SEF-32 pg 35-45'!EI193</f>
        <v>0</v>
      </c>
      <c r="BC422" s="408">
        <f>'SEF-32 pg 35-45'!FA154</f>
        <v>0</v>
      </c>
      <c r="BD422" s="358"/>
      <c r="BE422" s="358"/>
      <c r="BF422" s="358"/>
      <c r="BG422" s="357">
        <f t="shared" si="116"/>
        <v>0</v>
      </c>
      <c r="BH422" s="357">
        <f t="shared" si="117"/>
        <v>0</v>
      </c>
      <c r="BI422" s="82"/>
      <c r="BK422" s="82"/>
    </row>
    <row r="423" spans="2:63" outlineLevel="1" x14ac:dyDescent="0.25">
      <c r="B423" s="365" t="s">
        <v>148</v>
      </c>
      <c r="C423" s="350"/>
      <c r="D423" s="357"/>
      <c r="E423" s="358"/>
      <c r="F423" s="358"/>
      <c r="G423" s="358"/>
      <c r="H423" s="358">
        <f>+'SEF-32 pg 1-34, 46'!BM161</f>
        <v>0</v>
      </c>
      <c r="I423" s="358"/>
      <c r="J423" s="358"/>
      <c r="K423" s="358"/>
      <c r="L423" s="358"/>
      <c r="M423" s="358"/>
      <c r="N423" s="358"/>
      <c r="O423" s="358"/>
      <c r="P423" s="358"/>
      <c r="Q423" s="358"/>
      <c r="R423" s="358"/>
      <c r="S423" s="358"/>
      <c r="T423" s="358"/>
      <c r="U423" s="358"/>
      <c r="V423" s="358"/>
      <c r="W423" s="358"/>
      <c r="X423" s="358"/>
      <c r="Z423" s="408"/>
      <c r="AA423" s="408">
        <f>'SEF-32 pg 1-34, 46'!OQ153</f>
        <v>0</v>
      </c>
      <c r="AB423" s="408">
        <f>+'SEF-32 pg 1-34, 46'!PI166</f>
        <v>0</v>
      </c>
      <c r="AC423" s="358"/>
      <c r="AD423" s="358"/>
      <c r="AE423" s="358"/>
      <c r="AF423" s="358"/>
      <c r="AG423" s="358"/>
      <c r="AH423" s="358"/>
      <c r="AI423" s="358"/>
      <c r="AJ423" s="358"/>
      <c r="AK423" s="358"/>
      <c r="AL423" s="358"/>
      <c r="AM423" s="358"/>
      <c r="AN423" s="358"/>
      <c r="AO423" s="358"/>
      <c r="AP423" s="358"/>
      <c r="AQ423" s="358"/>
      <c r="AR423" s="358"/>
      <c r="AS423" s="358"/>
      <c r="AT423" s="358"/>
      <c r="AU423" s="358"/>
      <c r="AV423" s="358"/>
      <c r="AW423" s="358"/>
      <c r="AX423" s="358"/>
      <c r="AY423" s="358">
        <f>'SEF-32 pg 35-45'!CK37</f>
        <v>0</v>
      </c>
      <c r="AZ423" s="382">
        <f>+'SEF-32 pg 35-45'!CY152</f>
        <v>0</v>
      </c>
      <c r="BA423" s="358"/>
      <c r="BB423" s="408">
        <f>'SEF-32 pg 35-45'!EI194</f>
        <v>0</v>
      </c>
      <c r="BC423" s="408">
        <f>'SEF-32 pg 35-45'!FA155</f>
        <v>0</v>
      </c>
      <c r="BD423" s="358"/>
      <c r="BE423" s="358"/>
      <c r="BF423" s="358"/>
      <c r="BG423" s="357">
        <f t="shared" si="116"/>
        <v>0</v>
      </c>
      <c r="BH423" s="357">
        <f t="shared" si="117"/>
        <v>0</v>
      </c>
      <c r="BI423" s="82"/>
      <c r="BK423" s="82"/>
    </row>
    <row r="424" spans="2:63" outlineLevel="1" x14ac:dyDescent="0.25">
      <c r="B424" s="365" t="s">
        <v>149</v>
      </c>
      <c r="C424" s="350"/>
      <c r="D424" s="386"/>
      <c r="E424" s="358"/>
      <c r="F424" s="358"/>
      <c r="G424" s="358"/>
      <c r="H424" s="358"/>
      <c r="I424" s="358"/>
      <c r="J424" s="358"/>
      <c r="K424" s="358"/>
      <c r="L424" s="358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  <c r="Z424" s="408"/>
      <c r="AA424" s="408"/>
      <c r="AB424" s="408"/>
      <c r="AC424" s="358"/>
      <c r="AD424" s="358"/>
      <c r="AE424" s="358"/>
      <c r="AF424" s="358"/>
      <c r="AG424" s="358"/>
      <c r="AH424" s="358"/>
      <c r="AI424" s="358"/>
      <c r="AJ424" s="358"/>
      <c r="AK424" s="358"/>
      <c r="AL424" s="358"/>
      <c r="AM424" s="358"/>
      <c r="AN424" s="358"/>
      <c r="AO424" s="358"/>
      <c r="AP424" s="358"/>
      <c r="AQ424" s="358"/>
      <c r="AR424" s="358"/>
      <c r="AS424" s="358"/>
      <c r="AT424" s="358"/>
      <c r="AU424" s="358"/>
      <c r="AV424" s="358"/>
      <c r="AW424" s="358"/>
      <c r="AX424" s="358"/>
      <c r="AY424" s="358"/>
      <c r="AZ424" s="358"/>
      <c r="BA424" s="358"/>
      <c r="BB424" s="408"/>
      <c r="BC424" s="408"/>
      <c r="BD424" s="358"/>
      <c r="BE424" s="358"/>
      <c r="BF424" s="358"/>
      <c r="BG424" s="387">
        <f t="shared" si="116"/>
        <v>0</v>
      </c>
      <c r="BH424" s="357">
        <f t="shared" si="117"/>
        <v>0</v>
      </c>
      <c r="BI424" s="82"/>
      <c r="BK424" s="82"/>
    </row>
    <row r="425" spans="2:63" outlineLevel="1" x14ac:dyDescent="0.25">
      <c r="B425" s="365" t="s">
        <v>150</v>
      </c>
      <c r="C425" s="350"/>
      <c r="D425" s="357"/>
      <c r="E425" s="358"/>
      <c r="F425" s="358"/>
      <c r="G425" s="358"/>
      <c r="H425" s="358"/>
      <c r="I425" s="358"/>
      <c r="J425" s="358"/>
      <c r="K425" s="358"/>
      <c r="L425" s="358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  <c r="Y425" s="358"/>
      <c r="Z425" s="358"/>
      <c r="AA425" s="358"/>
      <c r="AB425" s="358"/>
      <c r="AC425" s="358"/>
      <c r="AD425" s="358"/>
      <c r="AE425" s="358"/>
      <c r="AF425" s="358"/>
      <c r="AG425" s="358"/>
      <c r="AH425" s="358"/>
      <c r="AI425" s="358"/>
      <c r="AJ425" s="358"/>
      <c r="AK425" s="358"/>
      <c r="AL425" s="358"/>
      <c r="AM425" s="358"/>
      <c r="AN425" s="358"/>
      <c r="AO425" s="358"/>
      <c r="AP425" s="358"/>
      <c r="AQ425" s="358"/>
      <c r="AR425" s="358"/>
      <c r="AS425" s="358"/>
      <c r="AT425" s="358"/>
      <c r="AU425" s="358"/>
      <c r="AV425" s="358"/>
      <c r="AW425" s="358"/>
      <c r="AX425" s="358"/>
      <c r="AY425" s="358"/>
      <c r="AZ425" s="358"/>
      <c r="BA425" s="358"/>
      <c r="BB425" s="408"/>
      <c r="BC425" s="408"/>
      <c r="BD425" s="358"/>
      <c r="BE425" s="358"/>
      <c r="BF425" s="358"/>
      <c r="BG425" s="357">
        <f t="shared" si="116"/>
        <v>0</v>
      </c>
      <c r="BH425" s="357">
        <f t="shared" si="117"/>
        <v>0</v>
      </c>
      <c r="BI425" s="82"/>
      <c r="BK425" s="82"/>
    </row>
    <row r="426" spans="2:63" ht="15.75" outlineLevel="1" thickBot="1" x14ac:dyDescent="0.3">
      <c r="B426" s="365" t="s">
        <v>118</v>
      </c>
      <c r="C426" s="350"/>
      <c r="D426" s="388"/>
      <c r="E426" s="389">
        <f t="shared" ref="E426:BH426" si="118">SUM(E420:E425)</f>
        <v>0</v>
      </c>
      <c r="F426" s="389">
        <f t="shared" si="118"/>
        <v>0</v>
      </c>
      <c r="G426" s="389">
        <f t="shared" si="118"/>
        <v>0</v>
      </c>
      <c r="H426" s="389">
        <f t="shared" si="118"/>
        <v>0</v>
      </c>
      <c r="I426" s="389">
        <f t="shared" si="118"/>
        <v>0</v>
      </c>
      <c r="J426" s="389">
        <f t="shared" si="118"/>
        <v>0</v>
      </c>
      <c r="K426" s="389">
        <f t="shared" si="118"/>
        <v>0</v>
      </c>
      <c r="L426" s="389">
        <f t="shared" si="118"/>
        <v>0</v>
      </c>
      <c r="M426" s="389">
        <f t="shared" si="118"/>
        <v>0</v>
      </c>
      <c r="N426" s="389">
        <f t="shared" si="118"/>
        <v>0</v>
      </c>
      <c r="O426" s="389">
        <f t="shared" si="118"/>
        <v>0</v>
      </c>
      <c r="P426" s="389">
        <f t="shared" si="118"/>
        <v>0</v>
      </c>
      <c r="Q426" s="389">
        <f t="shared" si="118"/>
        <v>0</v>
      </c>
      <c r="R426" s="389">
        <f t="shared" si="118"/>
        <v>0</v>
      </c>
      <c r="S426" s="389">
        <f t="shared" si="118"/>
        <v>0</v>
      </c>
      <c r="T426" s="389">
        <f t="shared" si="118"/>
        <v>0</v>
      </c>
      <c r="U426" s="389">
        <f t="shared" si="118"/>
        <v>0</v>
      </c>
      <c r="V426" s="389">
        <f t="shared" si="118"/>
        <v>0</v>
      </c>
      <c r="W426" s="389">
        <f t="shared" si="118"/>
        <v>0</v>
      </c>
      <c r="X426" s="389">
        <f t="shared" si="118"/>
        <v>0</v>
      </c>
      <c r="Y426" s="389">
        <f t="shared" si="118"/>
        <v>0</v>
      </c>
      <c r="Z426" s="389">
        <f t="shared" si="118"/>
        <v>0</v>
      </c>
      <c r="AA426" s="389">
        <f t="shared" si="118"/>
        <v>0</v>
      </c>
      <c r="AB426" s="389">
        <f t="shared" si="118"/>
        <v>0</v>
      </c>
      <c r="AC426" s="389">
        <f t="shared" si="118"/>
        <v>0</v>
      </c>
      <c r="AD426" s="389">
        <f t="shared" si="118"/>
        <v>0</v>
      </c>
      <c r="AE426" s="389">
        <f t="shared" si="118"/>
        <v>0</v>
      </c>
      <c r="AF426" s="389">
        <f t="shared" si="118"/>
        <v>0</v>
      </c>
      <c r="AG426" s="389">
        <f t="shared" si="118"/>
        <v>0</v>
      </c>
      <c r="AH426" s="389">
        <f t="shared" si="118"/>
        <v>0</v>
      </c>
      <c r="AI426" s="389">
        <f t="shared" si="118"/>
        <v>0</v>
      </c>
      <c r="AJ426" s="389">
        <f t="shared" si="118"/>
        <v>0</v>
      </c>
      <c r="AK426" s="389"/>
      <c r="AL426" s="389"/>
      <c r="AM426" s="389"/>
      <c r="AN426" s="389"/>
      <c r="AO426" s="389"/>
      <c r="AP426" s="389"/>
      <c r="AQ426" s="389"/>
      <c r="AR426" s="389"/>
      <c r="AS426" s="389"/>
      <c r="AT426" s="389"/>
      <c r="AU426" s="389"/>
      <c r="AV426" s="389">
        <f t="shared" si="118"/>
        <v>0</v>
      </c>
      <c r="AW426" s="389">
        <f t="shared" si="118"/>
        <v>0</v>
      </c>
      <c r="AX426" s="389">
        <f t="shared" si="118"/>
        <v>0</v>
      </c>
      <c r="AY426" s="389">
        <f t="shared" si="118"/>
        <v>0</v>
      </c>
      <c r="AZ426" s="389">
        <f t="shared" si="118"/>
        <v>0</v>
      </c>
      <c r="BA426" s="389">
        <f t="shared" si="118"/>
        <v>0</v>
      </c>
      <c r="BB426" s="421">
        <f t="shared" si="118"/>
        <v>0</v>
      </c>
      <c r="BC426" s="421">
        <f t="shared" si="118"/>
        <v>0</v>
      </c>
      <c r="BD426" s="389">
        <f t="shared" si="118"/>
        <v>0</v>
      </c>
      <c r="BE426" s="389">
        <f>SUM(BE420:BE425)</f>
        <v>0</v>
      </c>
      <c r="BF426" s="389">
        <f t="shared" si="118"/>
        <v>0</v>
      </c>
      <c r="BG426" s="388">
        <f t="shared" si="118"/>
        <v>0</v>
      </c>
      <c r="BH426" s="388">
        <f t="shared" si="118"/>
        <v>0</v>
      </c>
      <c r="BI426" s="82"/>
      <c r="BK426" s="82"/>
    </row>
    <row r="427" spans="2:63" ht="15.75" outlineLevel="1" thickTop="1" x14ac:dyDescent="0.25">
      <c r="C427" s="350"/>
      <c r="D427" s="351"/>
      <c r="BG427" s="351"/>
      <c r="BH427" s="351"/>
      <c r="BI427" s="82"/>
      <c r="BK427" s="82"/>
    </row>
    <row r="428" spans="2:63" outlineLevel="1" x14ac:dyDescent="0.25">
      <c r="B428" s="365" t="s">
        <v>119</v>
      </c>
      <c r="C428" s="350"/>
      <c r="D428" s="81"/>
      <c r="E428" s="80">
        <f>+'SEF-29 pg 1-2'!$F$13</f>
        <v>0</v>
      </c>
      <c r="F428" s="80">
        <f>+'SEF-29 pg 1-2'!$F$13</f>
        <v>0</v>
      </c>
      <c r="G428" s="80">
        <f>+'SEF-29 pg 1-2'!$F$13</f>
        <v>0</v>
      </c>
      <c r="H428" s="80">
        <f>+'SEF-29 pg 1-2'!$F$13</f>
        <v>0</v>
      </c>
      <c r="I428" s="80">
        <f>+'SEF-29 pg 1-2'!$F$13</f>
        <v>0</v>
      </c>
      <c r="J428" s="80">
        <f>+'SEF-29 pg 1-2'!$F$13</f>
        <v>0</v>
      </c>
      <c r="K428" s="80">
        <f>+'SEF-29 pg 1-2'!$F$13</f>
        <v>0</v>
      </c>
      <c r="L428" s="80">
        <f>+'SEF-29 pg 1-2'!$F$13</f>
        <v>0</v>
      </c>
      <c r="M428" s="80">
        <f>+'SEF-29 pg 1-2'!$F$13</f>
        <v>0</v>
      </c>
      <c r="N428" s="80">
        <f>+'SEF-29 pg 1-2'!$F$13</f>
        <v>0</v>
      </c>
      <c r="O428" s="80">
        <f>+'SEF-29 pg 1-2'!$F$13</f>
        <v>0</v>
      </c>
      <c r="P428" s="80">
        <f>+'SEF-29 pg 1-2'!$F$13</f>
        <v>0</v>
      </c>
      <c r="Q428" s="80">
        <f>+'SEF-29 pg 1-2'!$F$13</f>
        <v>0</v>
      </c>
      <c r="R428" s="80">
        <f>+'SEF-29 pg 1-2'!$F$13</f>
        <v>0</v>
      </c>
      <c r="S428" s="80">
        <f>+'SEF-29 pg 1-2'!$F$13</f>
        <v>0</v>
      </c>
      <c r="T428" s="80">
        <f>+'SEF-29 pg 1-2'!$F$13</f>
        <v>0</v>
      </c>
      <c r="U428" s="80">
        <f>+'SEF-29 pg 1-2'!$F$13</f>
        <v>0</v>
      </c>
      <c r="V428" s="80">
        <f>+'SEF-29 pg 1-2'!$F$13</f>
        <v>0</v>
      </c>
      <c r="W428" s="80">
        <f>+'SEF-29 pg 1-2'!$F$13</f>
        <v>0</v>
      </c>
      <c r="X428" s="80">
        <f>+'SEF-29 pg 1-2'!$F$13</f>
        <v>0</v>
      </c>
      <c r="Y428" s="80">
        <f>+'SEF-29 pg 1-2'!$F$13</f>
        <v>0</v>
      </c>
      <c r="Z428" s="80">
        <f>+'SEF-29 pg 1-2'!$F$13</f>
        <v>0</v>
      </c>
      <c r="AA428" s="80">
        <f>+'SEF-29 pg 1-2'!$F$13</f>
        <v>0</v>
      </c>
      <c r="AB428" s="80">
        <f>+'SEF-29 pg 1-2'!$F$13</f>
        <v>0</v>
      </c>
      <c r="AC428" s="80">
        <f>+'SEF-29 pg 1-2'!$F$13</f>
        <v>0</v>
      </c>
      <c r="AD428" s="80">
        <f>+'SEF-29 pg 1-2'!$F$13</f>
        <v>0</v>
      </c>
      <c r="AE428" s="80">
        <f>+'SEF-29 pg 1-2'!$F$13</f>
        <v>0</v>
      </c>
      <c r="AF428" s="80">
        <f>+'SEF-29 pg 1-2'!$F$13</f>
        <v>0</v>
      </c>
      <c r="AG428" s="80">
        <f>+'SEF-29 pg 1-2'!$F$13</f>
        <v>0</v>
      </c>
      <c r="AH428" s="80">
        <f>+'SEF-29 pg 1-2'!$F$13</f>
        <v>0</v>
      </c>
      <c r="AI428" s="80">
        <f>+'SEF-29 pg 1-2'!$F$13</f>
        <v>0</v>
      </c>
      <c r="AJ428" s="80">
        <f>+'SEF-29 pg 1-2'!$F$13</f>
        <v>0</v>
      </c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>
        <f>+'SEF-29 pg 1-2'!$F$13</f>
        <v>0</v>
      </c>
      <c r="AW428" s="80">
        <f>+'SEF-29 pg 1-2'!$F$13</f>
        <v>0</v>
      </c>
      <c r="AX428" s="80">
        <f>+'SEF-29 pg 1-2'!$F$13</f>
        <v>0</v>
      </c>
      <c r="AY428" s="80">
        <f>+'SEF-29 pg 1-2'!$F$13</f>
        <v>0</v>
      </c>
      <c r="AZ428" s="80">
        <f>+'SEF-29 pg 1-2'!$F$13</f>
        <v>0</v>
      </c>
      <c r="BA428" s="80">
        <f>+'SEF-29 pg 1-2'!$F$13</f>
        <v>0</v>
      </c>
      <c r="BB428" s="80">
        <f>+'SEF-29 pg 1-2'!$F$13</f>
        <v>0</v>
      </c>
      <c r="BC428" s="80">
        <f>+'SEF-29 pg 1-2'!$F$13</f>
        <v>0</v>
      </c>
      <c r="BD428" s="80">
        <f>+'SEF-29 pg 1-2'!$F$13</f>
        <v>0</v>
      </c>
      <c r="BE428" s="80">
        <f>+'SEF-29 pg 1-2'!$F$13</f>
        <v>0</v>
      </c>
      <c r="BF428" s="80">
        <f>+'SEF-29 pg 1-2'!$F$13</f>
        <v>0</v>
      </c>
      <c r="BG428" s="81">
        <f>+'SEF-29 pg 1-2'!$F$13</f>
        <v>0</v>
      </c>
      <c r="BH428" s="81">
        <f>+'SEF-29 pg 1-2'!$F$13</f>
        <v>0</v>
      </c>
      <c r="BI428" s="82"/>
      <c r="BK428" s="82"/>
    </row>
    <row r="429" spans="2:63" outlineLevel="1" x14ac:dyDescent="0.25">
      <c r="B429" s="365" t="s">
        <v>3</v>
      </c>
      <c r="C429" s="350"/>
      <c r="D429" s="351"/>
      <c r="E429" s="317">
        <f>+'SEF-31'!$E$20</f>
        <v>0.75052300000000005</v>
      </c>
      <c r="F429" s="317">
        <f>+'SEF-31'!$E$20</f>
        <v>0.75052300000000005</v>
      </c>
      <c r="G429" s="317">
        <f>+'SEF-31'!$E$20</f>
        <v>0.75052300000000005</v>
      </c>
      <c r="H429" s="317">
        <f>+'SEF-31'!$E$20</f>
        <v>0.75052300000000005</v>
      </c>
      <c r="I429" s="317">
        <f>+'SEF-31'!$E$20</f>
        <v>0.75052300000000005</v>
      </c>
      <c r="J429" s="317">
        <f>+'SEF-31'!$E$20</f>
        <v>0.75052300000000005</v>
      </c>
      <c r="K429" s="317">
        <f>+'SEF-31'!$E$20</f>
        <v>0.75052300000000005</v>
      </c>
      <c r="L429" s="317">
        <f>+'SEF-31'!$E$20</f>
        <v>0.75052300000000005</v>
      </c>
      <c r="M429" s="317">
        <f>+'SEF-31'!$E$20</f>
        <v>0.75052300000000005</v>
      </c>
      <c r="N429" s="317">
        <f>+'SEF-31'!$E$20</f>
        <v>0.75052300000000005</v>
      </c>
      <c r="O429" s="317">
        <f>+'SEF-31'!$E$20</f>
        <v>0.75052300000000005</v>
      </c>
      <c r="P429" s="317">
        <f>+'SEF-31'!$E$20</f>
        <v>0.75052300000000005</v>
      </c>
      <c r="Q429" s="317">
        <f>+'SEF-31'!$E$20</f>
        <v>0.75052300000000005</v>
      </c>
      <c r="R429" s="317">
        <f>+'SEF-31'!$E$20</f>
        <v>0.75052300000000005</v>
      </c>
      <c r="S429" s="317">
        <f>+'SEF-31'!$E$20</f>
        <v>0.75052300000000005</v>
      </c>
      <c r="T429" s="317">
        <f>+'SEF-31'!$E$20</f>
        <v>0.75052300000000005</v>
      </c>
      <c r="U429" s="317">
        <f>+'SEF-31'!$E$20</f>
        <v>0.75052300000000005</v>
      </c>
      <c r="V429" s="317">
        <f>+'SEF-31'!$E$20</f>
        <v>0.75052300000000005</v>
      </c>
      <c r="W429" s="317">
        <f>+'SEF-31'!$E$20</f>
        <v>0.75052300000000005</v>
      </c>
      <c r="X429" s="317">
        <f>+'SEF-31'!$E$20</f>
        <v>0.75052300000000005</v>
      </c>
      <c r="Y429" s="317">
        <f>+'SEF-31'!$E$20</f>
        <v>0.75052300000000005</v>
      </c>
      <c r="Z429" s="317">
        <f>+'SEF-31'!$E$20</f>
        <v>0.75052300000000005</v>
      </c>
      <c r="AA429" s="317">
        <f>+'SEF-31'!$E$20</f>
        <v>0.75052300000000005</v>
      </c>
      <c r="AB429" s="317">
        <f>+'SEF-31'!$E$20</f>
        <v>0.75052300000000005</v>
      </c>
      <c r="AC429" s="317">
        <f>+'SEF-31'!$E$20</f>
        <v>0.75052300000000005</v>
      </c>
      <c r="AD429" s="317">
        <f>+'SEF-31'!$E$20</f>
        <v>0.75052300000000005</v>
      </c>
      <c r="AE429" s="317">
        <f>+'SEF-31'!$E$20</f>
        <v>0.75052300000000005</v>
      </c>
      <c r="AF429" s="317">
        <f>+'SEF-31'!$E$20</f>
        <v>0.75052300000000005</v>
      </c>
      <c r="AG429" s="317">
        <f>+'SEF-31'!$E$20</f>
        <v>0.75052300000000005</v>
      </c>
      <c r="AH429" s="317">
        <f>+'SEF-31'!$E$20</f>
        <v>0.75052300000000005</v>
      </c>
      <c r="AI429" s="317">
        <f>+'SEF-31'!$E$20</f>
        <v>0.75052300000000005</v>
      </c>
      <c r="AJ429" s="317">
        <f>+'SEF-31'!$E$20</f>
        <v>0.75052300000000005</v>
      </c>
      <c r="AV429" s="317">
        <f>+'SEF-31'!$E$20</f>
        <v>0.75052300000000005</v>
      </c>
      <c r="AW429" s="317">
        <f>+'SEF-31'!$E$20</f>
        <v>0.75052300000000005</v>
      </c>
      <c r="AX429" s="317">
        <f>+'SEF-31'!$E$20</f>
        <v>0.75052300000000005</v>
      </c>
      <c r="AY429" s="317">
        <f>+'SEF-31'!$E$20</f>
        <v>0.75052300000000005</v>
      </c>
      <c r="AZ429" s="317">
        <f>+'SEF-31'!$E$20</f>
        <v>0.75052300000000005</v>
      </c>
      <c r="BA429" s="317">
        <f>+'SEF-31'!$E$20</f>
        <v>0.75052300000000005</v>
      </c>
      <c r="BB429" s="317">
        <f>+'SEF-31'!$E$20</f>
        <v>0.75052300000000005</v>
      </c>
      <c r="BC429" s="317">
        <f>+'SEF-31'!$E$20</f>
        <v>0.75052300000000005</v>
      </c>
      <c r="BD429" s="317">
        <f>+'SEF-31'!$E$20</f>
        <v>0.75052300000000005</v>
      </c>
      <c r="BE429" s="317">
        <f>+'SEF-31'!$E$20</f>
        <v>0.75052300000000005</v>
      </c>
      <c r="BF429" s="317">
        <f>+'SEF-31'!$E$20</f>
        <v>0.75052300000000005</v>
      </c>
      <c r="BG429" s="351">
        <f>+'SEF-31'!$E$20</f>
        <v>0.75052300000000005</v>
      </c>
      <c r="BH429" s="351">
        <f>+'SEF-31'!$E$20</f>
        <v>0.75052300000000005</v>
      </c>
      <c r="BI429" s="82"/>
      <c r="BK429" s="82"/>
    </row>
    <row r="430" spans="2:63" outlineLevel="1" x14ac:dyDescent="0.25">
      <c r="B430" s="365" t="s">
        <v>152</v>
      </c>
      <c r="C430" s="350"/>
      <c r="D430" s="357"/>
      <c r="E430" s="382">
        <f t="shared" ref="E430:BF430" si="119">+E413-(E426*E428)</f>
        <v>0</v>
      </c>
      <c r="F430" s="382">
        <f t="shared" si="119"/>
        <v>0</v>
      </c>
      <c r="G430" s="382">
        <f t="shared" si="119"/>
        <v>0</v>
      </c>
      <c r="H430" s="382">
        <f t="shared" si="119"/>
        <v>0</v>
      </c>
      <c r="I430" s="382">
        <f t="shared" si="119"/>
        <v>0</v>
      </c>
      <c r="J430" s="382">
        <f t="shared" si="119"/>
        <v>0</v>
      </c>
      <c r="K430" s="382">
        <f t="shared" si="119"/>
        <v>0</v>
      </c>
      <c r="L430" s="382">
        <f t="shared" si="119"/>
        <v>0</v>
      </c>
      <c r="M430" s="382">
        <f t="shared" si="119"/>
        <v>0</v>
      </c>
      <c r="N430" s="382">
        <f t="shared" si="119"/>
        <v>0</v>
      </c>
      <c r="O430" s="382">
        <f t="shared" si="119"/>
        <v>0</v>
      </c>
      <c r="P430" s="382">
        <f t="shared" si="119"/>
        <v>0</v>
      </c>
      <c r="Q430" s="382">
        <f t="shared" si="119"/>
        <v>0</v>
      </c>
      <c r="R430" s="382">
        <f t="shared" si="119"/>
        <v>0</v>
      </c>
      <c r="S430" s="382">
        <f t="shared" si="119"/>
        <v>0</v>
      </c>
      <c r="T430" s="382">
        <f t="shared" si="119"/>
        <v>0</v>
      </c>
      <c r="U430" s="382">
        <f t="shared" si="119"/>
        <v>0</v>
      </c>
      <c r="V430" s="382">
        <f t="shared" si="119"/>
        <v>0</v>
      </c>
      <c r="W430" s="382">
        <f t="shared" si="119"/>
        <v>0</v>
      </c>
      <c r="X430" s="382">
        <f t="shared" si="119"/>
        <v>0</v>
      </c>
      <c r="Y430" s="382">
        <f t="shared" si="119"/>
        <v>0</v>
      </c>
      <c r="Z430" s="392">
        <f t="shared" si="119"/>
        <v>0</v>
      </c>
      <c r="AA430" s="382">
        <f t="shared" si="119"/>
        <v>0</v>
      </c>
      <c r="AB430" s="382">
        <f t="shared" si="119"/>
        <v>0</v>
      </c>
      <c r="AC430" s="382">
        <f t="shared" si="119"/>
        <v>0</v>
      </c>
      <c r="AD430" s="382">
        <f t="shared" si="119"/>
        <v>0</v>
      </c>
      <c r="AE430" s="382">
        <f t="shared" si="119"/>
        <v>0</v>
      </c>
      <c r="AF430" s="382">
        <f t="shared" si="119"/>
        <v>0</v>
      </c>
      <c r="AG430" s="382">
        <f t="shared" si="119"/>
        <v>0</v>
      </c>
      <c r="AH430" s="382">
        <f t="shared" si="119"/>
        <v>0</v>
      </c>
      <c r="AI430" s="382">
        <f t="shared" si="119"/>
        <v>0</v>
      </c>
      <c r="AJ430" s="382">
        <f t="shared" si="119"/>
        <v>0</v>
      </c>
      <c r="AK430" s="382"/>
      <c r="AL430" s="382"/>
      <c r="AM430" s="382"/>
      <c r="AN430" s="382"/>
      <c r="AO430" s="382"/>
      <c r="AP430" s="382"/>
      <c r="AQ430" s="382"/>
      <c r="AR430" s="382"/>
      <c r="AS430" s="382"/>
      <c r="AT430" s="382"/>
      <c r="AU430" s="382"/>
      <c r="AV430" s="414">
        <f t="shared" si="119"/>
        <v>0</v>
      </c>
      <c r="AW430" s="382">
        <f t="shared" si="119"/>
        <v>0</v>
      </c>
      <c r="AX430" s="382">
        <f t="shared" si="119"/>
        <v>0</v>
      </c>
      <c r="AY430" s="382">
        <f t="shared" si="119"/>
        <v>0</v>
      </c>
      <c r="AZ430" s="382">
        <f t="shared" si="119"/>
        <v>0</v>
      </c>
      <c r="BA430" s="382">
        <f t="shared" si="119"/>
        <v>0</v>
      </c>
      <c r="BB430" s="382">
        <f t="shared" si="119"/>
        <v>0</v>
      </c>
      <c r="BC430" s="382">
        <f t="shared" si="119"/>
        <v>0</v>
      </c>
      <c r="BD430" s="382">
        <f t="shared" si="119"/>
        <v>0</v>
      </c>
      <c r="BE430" s="382">
        <f>+BE413-(BE426*BE428)</f>
        <v>0</v>
      </c>
      <c r="BF430" s="382">
        <f t="shared" si="119"/>
        <v>0</v>
      </c>
      <c r="BG430" s="357">
        <f>SUM(E430:BF430)</f>
        <v>0</v>
      </c>
      <c r="BH430" s="357">
        <f>+BH413-(BH426*BH428)</f>
        <v>0</v>
      </c>
      <c r="BI430" s="82"/>
      <c r="BK430" s="82"/>
    </row>
    <row r="431" spans="2:63" outlineLevel="1" x14ac:dyDescent="0.25">
      <c r="B431" s="365" t="s">
        <v>153</v>
      </c>
      <c r="C431" s="350"/>
      <c r="D431" s="357"/>
      <c r="E431" s="382">
        <f t="shared" ref="E431:BH431" si="120">-E430/E429</f>
        <v>0</v>
      </c>
      <c r="F431" s="382">
        <f t="shared" si="120"/>
        <v>0</v>
      </c>
      <c r="G431" s="382">
        <f t="shared" si="120"/>
        <v>0</v>
      </c>
      <c r="H431" s="382">
        <f t="shared" si="120"/>
        <v>0</v>
      </c>
      <c r="I431" s="382">
        <f t="shared" si="120"/>
        <v>0</v>
      </c>
      <c r="J431" s="382">
        <f t="shared" si="120"/>
        <v>0</v>
      </c>
      <c r="K431" s="382">
        <f t="shared" si="120"/>
        <v>0</v>
      </c>
      <c r="L431" s="382">
        <f t="shared" si="120"/>
        <v>0</v>
      </c>
      <c r="M431" s="382">
        <f t="shared" si="120"/>
        <v>0</v>
      </c>
      <c r="N431" s="382">
        <f t="shared" si="120"/>
        <v>0</v>
      </c>
      <c r="O431" s="382">
        <f t="shared" si="120"/>
        <v>0</v>
      </c>
      <c r="P431" s="382">
        <f t="shared" si="120"/>
        <v>0</v>
      </c>
      <c r="Q431" s="382">
        <f t="shared" si="120"/>
        <v>0</v>
      </c>
      <c r="R431" s="382">
        <f t="shared" si="120"/>
        <v>0</v>
      </c>
      <c r="S431" s="382">
        <f t="shared" si="120"/>
        <v>0</v>
      </c>
      <c r="T431" s="382">
        <f t="shared" si="120"/>
        <v>0</v>
      </c>
      <c r="U431" s="382">
        <f t="shared" si="120"/>
        <v>0</v>
      </c>
      <c r="V431" s="382">
        <f t="shared" si="120"/>
        <v>0</v>
      </c>
      <c r="W431" s="382">
        <f t="shared" si="120"/>
        <v>0</v>
      </c>
      <c r="X431" s="382">
        <f t="shared" si="120"/>
        <v>0</v>
      </c>
      <c r="Y431" s="382">
        <f t="shared" si="120"/>
        <v>0</v>
      </c>
      <c r="Z431" s="392">
        <f t="shared" si="120"/>
        <v>0</v>
      </c>
      <c r="AA431" s="382">
        <f t="shared" si="120"/>
        <v>0</v>
      </c>
      <c r="AB431" s="382">
        <f t="shared" si="120"/>
        <v>0</v>
      </c>
      <c r="AC431" s="382">
        <f t="shared" si="120"/>
        <v>0</v>
      </c>
      <c r="AD431" s="382">
        <f t="shared" si="120"/>
        <v>0</v>
      </c>
      <c r="AE431" s="382">
        <f t="shared" si="120"/>
        <v>0</v>
      </c>
      <c r="AF431" s="382">
        <f t="shared" si="120"/>
        <v>0</v>
      </c>
      <c r="AG431" s="382">
        <f t="shared" si="120"/>
        <v>0</v>
      </c>
      <c r="AH431" s="382">
        <f t="shared" si="120"/>
        <v>0</v>
      </c>
      <c r="AI431" s="382">
        <f t="shared" si="120"/>
        <v>0</v>
      </c>
      <c r="AJ431" s="382">
        <f t="shared" si="120"/>
        <v>0</v>
      </c>
      <c r="AK431" s="382"/>
      <c r="AL431" s="382"/>
      <c r="AM431" s="382"/>
      <c r="AN431" s="382"/>
      <c r="AO431" s="382"/>
      <c r="AP431" s="382"/>
      <c r="AQ431" s="382"/>
      <c r="AR431" s="382"/>
      <c r="AS431" s="382"/>
      <c r="AT431" s="382"/>
      <c r="AU431" s="382"/>
      <c r="AV431" s="414">
        <f t="shared" si="120"/>
        <v>0</v>
      </c>
      <c r="AW431" s="382">
        <f t="shared" si="120"/>
        <v>0</v>
      </c>
      <c r="AX431" s="382">
        <f t="shared" si="120"/>
        <v>0</v>
      </c>
      <c r="AY431" s="382">
        <f t="shared" si="120"/>
        <v>0</v>
      </c>
      <c r="AZ431" s="382">
        <f t="shared" si="120"/>
        <v>0</v>
      </c>
      <c r="BA431" s="382">
        <f t="shared" si="120"/>
        <v>0</v>
      </c>
      <c r="BB431" s="382">
        <f t="shared" si="120"/>
        <v>0</v>
      </c>
      <c r="BC431" s="382">
        <f t="shared" si="120"/>
        <v>0</v>
      </c>
      <c r="BD431" s="382">
        <f t="shared" si="120"/>
        <v>0</v>
      </c>
      <c r="BE431" s="382">
        <f>-BE430/BE429</f>
        <v>0</v>
      </c>
      <c r="BF431" s="382">
        <f t="shared" si="120"/>
        <v>0</v>
      </c>
      <c r="BG431" s="357">
        <f t="shared" si="120"/>
        <v>0</v>
      </c>
      <c r="BH431" s="357">
        <f t="shared" si="120"/>
        <v>0</v>
      </c>
      <c r="BI431" s="82"/>
      <c r="BK431" s="82"/>
    </row>
    <row r="432" spans="2:63" outlineLevel="1" x14ac:dyDescent="0.25">
      <c r="B432" s="365" t="s">
        <v>128</v>
      </c>
      <c r="C432" s="350"/>
      <c r="D432" s="357"/>
      <c r="E432" s="382"/>
      <c r="F432" s="382"/>
      <c r="G432" s="382"/>
      <c r="H432" s="382"/>
      <c r="I432" s="382"/>
      <c r="J432" s="382"/>
      <c r="K432" s="382"/>
      <c r="L432" s="382"/>
      <c r="M432" s="382"/>
      <c r="N432" s="382"/>
      <c r="O432" s="382"/>
      <c r="P432" s="382"/>
      <c r="Q432" s="382"/>
      <c r="R432" s="382"/>
      <c r="S432" s="382"/>
      <c r="T432" s="382"/>
      <c r="U432" s="382"/>
      <c r="V432" s="382"/>
      <c r="W432" s="382"/>
      <c r="X432" s="382"/>
      <c r="Y432" s="382"/>
      <c r="Z432" s="382"/>
      <c r="AA432" s="382"/>
      <c r="AB432" s="382"/>
      <c r="AC432" s="382"/>
      <c r="AD432" s="382"/>
      <c r="AE432" s="382"/>
      <c r="AF432" s="382"/>
      <c r="AG432" s="382"/>
      <c r="AH432" s="382"/>
      <c r="AI432" s="382"/>
      <c r="AJ432" s="382"/>
      <c r="AK432" s="382"/>
      <c r="AL432" s="382"/>
      <c r="AM432" s="382"/>
      <c r="AN432" s="382"/>
      <c r="AO432" s="382"/>
      <c r="AP432" s="382"/>
      <c r="AQ432" s="382"/>
      <c r="AR432" s="382"/>
      <c r="AS432" s="382"/>
      <c r="AT432" s="382"/>
      <c r="AU432" s="382"/>
      <c r="AV432" s="392"/>
      <c r="AW432" s="382"/>
      <c r="AX432" s="382"/>
      <c r="AY432" s="382"/>
      <c r="AZ432" s="382"/>
      <c r="BA432" s="382"/>
      <c r="BB432" s="382"/>
      <c r="BC432" s="382"/>
      <c r="BD432" s="382"/>
      <c r="BE432" s="382"/>
      <c r="BF432" s="382"/>
      <c r="BG432" s="357"/>
      <c r="BH432" s="357">
        <f>+BH371</f>
        <v>0</v>
      </c>
      <c r="BI432" s="82"/>
      <c r="BK432" s="82"/>
    </row>
    <row r="433" spans="2:63" outlineLevel="1" x14ac:dyDescent="0.25">
      <c r="B433" s="365" t="s">
        <v>129</v>
      </c>
      <c r="C433" s="350"/>
      <c r="D433" s="357"/>
      <c r="E433" s="382"/>
      <c r="F433" s="382"/>
      <c r="G433" s="382"/>
      <c r="H433" s="382"/>
      <c r="I433" s="382"/>
      <c r="J433" s="382"/>
      <c r="K433" s="382"/>
      <c r="L433" s="382"/>
      <c r="M433" s="382"/>
      <c r="N433" s="382"/>
      <c r="O433" s="382"/>
      <c r="P433" s="382"/>
      <c r="Q433" s="382"/>
      <c r="R433" s="382"/>
      <c r="S433" s="382"/>
      <c r="T433" s="382"/>
      <c r="U433" s="382"/>
      <c r="V433" s="382"/>
      <c r="W433" s="382"/>
      <c r="X433" s="382"/>
      <c r="Y433" s="382"/>
      <c r="Z433" s="382"/>
      <c r="AA433" s="382"/>
      <c r="AB433" s="382"/>
      <c r="AC433" s="382"/>
      <c r="AD433" s="382"/>
      <c r="AE433" s="382"/>
      <c r="AF433" s="382"/>
      <c r="AG433" s="382"/>
      <c r="AH433" s="382"/>
      <c r="AI433" s="382"/>
      <c r="AJ433" s="382"/>
      <c r="AK433" s="382"/>
      <c r="AL433" s="382"/>
      <c r="AM433" s="382"/>
      <c r="AN433" s="382"/>
      <c r="AO433" s="382"/>
      <c r="AP433" s="382"/>
      <c r="AQ433" s="382"/>
      <c r="AR433" s="382"/>
      <c r="AS433" s="382"/>
      <c r="AT433" s="382"/>
      <c r="AU433" s="382"/>
      <c r="AV433" s="382"/>
      <c r="AW433" s="382"/>
      <c r="AX433" s="382"/>
      <c r="AY433" s="382"/>
      <c r="AZ433" s="382"/>
      <c r="BA433" s="382"/>
      <c r="BB433" s="382"/>
      <c r="BC433" s="382"/>
      <c r="BD433" s="382"/>
      <c r="BE433" s="382"/>
      <c r="BF433" s="382"/>
      <c r="BG433" s="357"/>
      <c r="BH433" s="425">
        <f>SUM(BH431:BH432)</f>
        <v>0</v>
      </c>
      <c r="BI433" s="82"/>
      <c r="BK433" s="82"/>
    </row>
    <row r="434" spans="2:63" outlineLevel="1" x14ac:dyDescent="0.25">
      <c r="B434" s="365"/>
      <c r="C434" s="350"/>
      <c r="D434" s="393"/>
      <c r="E434" s="382"/>
      <c r="F434" s="382"/>
      <c r="G434" s="382"/>
      <c r="H434" s="382"/>
      <c r="I434" s="382"/>
      <c r="J434" s="382"/>
      <c r="K434" s="382"/>
      <c r="L434" s="382"/>
      <c r="M434" s="382"/>
      <c r="N434" s="382"/>
      <c r="O434" s="382"/>
      <c r="P434" s="382"/>
      <c r="Q434" s="382"/>
      <c r="R434" s="382"/>
      <c r="S434" s="382"/>
      <c r="T434" s="382"/>
      <c r="U434" s="382"/>
      <c r="V434" s="382"/>
      <c r="W434" s="382"/>
      <c r="X434" s="382"/>
      <c r="Y434" s="382"/>
      <c r="Z434" s="382"/>
      <c r="AA434" s="382"/>
      <c r="AB434" s="382"/>
      <c r="AC434" s="382"/>
      <c r="AD434" s="382"/>
      <c r="AE434" s="382"/>
      <c r="AF434" s="382"/>
      <c r="AG434" s="382"/>
      <c r="AH434" s="382"/>
      <c r="AI434" s="382"/>
      <c r="AJ434" s="382"/>
      <c r="AK434" s="382"/>
      <c r="AL434" s="382"/>
      <c r="AM434" s="382"/>
      <c r="AN434" s="382"/>
      <c r="AO434" s="382"/>
      <c r="AP434" s="382"/>
      <c r="AQ434" s="382"/>
      <c r="AR434" s="382"/>
      <c r="AS434" s="382"/>
      <c r="AT434" s="382"/>
      <c r="AU434" s="382"/>
      <c r="AV434" s="382"/>
      <c r="AW434" s="382"/>
      <c r="AX434" s="382"/>
      <c r="AY434" s="382"/>
      <c r="AZ434" s="382"/>
      <c r="BA434" s="382"/>
      <c r="BB434" s="382"/>
      <c r="BC434" s="382"/>
      <c r="BD434" s="382"/>
      <c r="BE434" s="382"/>
      <c r="BF434" s="382"/>
      <c r="BG434" s="393"/>
      <c r="BH434" s="393"/>
      <c r="BI434" s="82"/>
      <c r="BK434" s="82"/>
    </row>
    <row r="435" spans="2:63" outlineLevel="1" x14ac:dyDescent="0.25">
      <c r="B435" s="365"/>
      <c r="C435" s="350"/>
      <c r="BG435" s="80">
        <f>+'SEF-29 pg 1-2'!$K$24</f>
        <v>7.6499999999999999E-2</v>
      </c>
      <c r="BH435" s="80">
        <f>+'SEF-29 pg 1-2'!$K$24</f>
        <v>7.6499999999999999E-2</v>
      </c>
      <c r="BI435" s="82"/>
      <c r="BK435" s="82"/>
    </row>
    <row r="436" spans="2:63" outlineLevel="1" x14ac:dyDescent="0.25">
      <c r="B436" s="395" t="s">
        <v>154</v>
      </c>
      <c r="C436" s="350"/>
      <c r="D436" s="426"/>
      <c r="E436" s="427">
        <f>ROUND('SEF-32 pg 1-34, 46'!Q71-E413,0)+E415</f>
        <v>0</v>
      </c>
      <c r="F436" s="427">
        <f>ROUND('SEF-32 pg 1-34, 46'!AI75-F413,0)+F415</f>
        <v>0</v>
      </c>
      <c r="G436" s="427">
        <v>0</v>
      </c>
      <c r="H436" s="427">
        <f>ROUND('SEF-32 pg 1-34, 46'!BQ23-H413,0)+ROUND('SEF-32 pg 1-34, 46'!BQ28-H415,0)</f>
        <v>0</v>
      </c>
      <c r="I436" s="427">
        <f>ROUND('SEF-32 pg 1-34, 46'!CI24-I413,0)+I415</f>
        <v>0</v>
      </c>
      <c r="J436" s="427">
        <f>ROUND('SEF-32 pg 1-34, 46'!DA21-J413,0)+J415</f>
        <v>0</v>
      </c>
      <c r="K436" s="427">
        <f>ROUND('SEF-32 pg 1-34, 46'!DS25-K413,0)+K415</f>
        <v>0</v>
      </c>
      <c r="L436" s="427">
        <f>ROUND('SEF-32 pg 1-34, 46'!EK22-L413,0)+L415</f>
        <v>0</v>
      </c>
      <c r="M436" s="427">
        <f>ROUND('SEF-32 pg 1-34, 46'!FC27-M413,0)+M415</f>
        <v>0</v>
      </c>
      <c r="N436" s="427">
        <f>ROUND('SEF-32 pg 1-34, 46'!FU23-N413,0)+N415</f>
        <v>0</v>
      </c>
      <c r="O436" s="427">
        <f>ROUND('SEF-32 pg 1-34, 46'!GM31-O413,0)+O415</f>
        <v>0</v>
      </c>
      <c r="P436" s="427">
        <f>ROUND('SEF-32 pg 1-34, 46'!HE37-P413,0)+P415</f>
        <v>0</v>
      </c>
      <c r="Q436" s="427">
        <f>ROUND('SEF-32 pg 1-34, 46'!HW18-Q413,0)+Q415</f>
        <v>0</v>
      </c>
      <c r="R436" s="427">
        <f>ROUND('SEF-32 pg 1-34, 46'!IO23-R413,0)+R415</f>
        <v>0</v>
      </c>
      <c r="S436" s="427">
        <f>ROUND('SEF-32 pg 1-34, 46'!JG22-S413,0)+S415</f>
        <v>0</v>
      </c>
      <c r="T436" s="427">
        <f>ROUND('SEF-32 pg 1-34, 46'!JY23-T413,0)+T415</f>
        <v>0</v>
      </c>
      <c r="U436" s="427">
        <f>ROUND('SEF-32 pg 1-34, 46'!KQ20-U413,0)+U415</f>
        <v>0</v>
      </c>
      <c r="V436" s="427">
        <f>ROUND('SEF-32 pg 1-34, 46'!LI32-V413,0)+V415</f>
        <v>0</v>
      </c>
      <c r="W436" s="427">
        <f>ROUND('SEF-32 pg 1-34, 46'!MA22-W413,0)+W415</f>
        <v>0</v>
      </c>
      <c r="X436" s="427">
        <f>ROUND('SEF-32 pg 1-34, 46'!MS31-X413,0)+ROUND('SEF-32 pg 1-34, 46'!MS36-X415,0)</f>
        <v>0</v>
      </c>
      <c r="Y436" s="427">
        <f>ROUND('SEF-32 pg 1-34, 46'!NK21-Y413,0)+Y415</f>
        <v>0</v>
      </c>
      <c r="Z436" s="427">
        <f>ROUND('SEF-32 pg 1-34, 46'!OC33-Z413,0)+Z415</f>
        <v>0</v>
      </c>
      <c r="AA436" s="427">
        <f>ROUND('SEF-32 pg 1-34, 46'!OU40-AA415,0)+ROUND('SEF-32 pg 1-34, 46'!OU29-AA413,0)</f>
        <v>0</v>
      </c>
      <c r="AB436" s="427">
        <f>ROUND('SEF-32 pg 1-34, 46'!PM46-AB413,0)+ROUND('SEF-32 pg 1-34, 46'!PM35-AB415,0)</f>
        <v>0</v>
      </c>
      <c r="AC436" s="427">
        <f>ROUND('SEF-32 pg 1-34, 46'!QI21-AC413,0)+AC415</f>
        <v>0</v>
      </c>
      <c r="AD436" s="427">
        <f>+ROUND('SEF-32 pg 1-34, 46'!RA21-AD415,0)+ROUND(-AD413,0)</f>
        <v>0</v>
      </c>
      <c r="AE436" s="427">
        <f>ROUND('SEF-32 pg 1-34, 46'!RS31-AE413,0)+ROUND('SEF-32 pg 1-34, 46'!RS36-AE415,0)</f>
        <v>0</v>
      </c>
      <c r="AF436" s="427">
        <f>ROUND('SEF-32 pg 1-34, 46'!SI91-AF413,0)+ROUND('SEF-32 pg 1-34, 46'!SI96-AF415,0)</f>
        <v>0</v>
      </c>
      <c r="AG436" s="427">
        <f>ROUND('SEF-32 pg 1-34, 46'!TC26-AG413,0)+ROUND('SEF-32 pg 1-34, 46'!TC31-AG415,0)</f>
        <v>0</v>
      </c>
      <c r="AH436" s="427">
        <f>ROUND('SEF-32 pg 1-34, 46'!TC44-AH413,0)+ROUND('SEF-32 pg 1-34, 46'!TC49-AH415,0)</f>
        <v>0</v>
      </c>
      <c r="AI436" s="427">
        <f>ROUND('SEF-32 pg 1-34, 46'!TC62-AH413,0)+ROUND('SEF-32 pg 1-34, 46'!TC67-AH415,0)</f>
        <v>0</v>
      </c>
      <c r="AJ436" s="427">
        <f>ROUND('SEF-32 pg 1-34, 46'!TC81-AJ413,0)+ROUND('SEF-32 pg 1-34, 46'!TC85-AJ329,0)</f>
        <v>0</v>
      </c>
      <c r="AK436" s="427"/>
      <c r="AL436" s="427"/>
      <c r="AM436" s="427"/>
      <c r="AN436" s="427"/>
      <c r="AO436" s="427"/>
      <c r="AP436" s="427"/>
      <c r="AQ436" s="427"/>
      <c r="AR436" s="427"/>
      <c r="AS436" s="427"/>
      <c r="AT436" s="427"/>
      <c r="AU436" s="427"/>
      <c r="AV436" s="427">
        <f>ROUND('SEF-32 pg 35-45'!Q$39-'SEF-30 pg 2 - 36 '!AV413,0)+AV415</f>
        <v>0</v>
      </c>
      <c r="AW436" s="427">
        <f>ROUND('SEF-32 pg 35-45'!BA$29-'SEF-30 pg 2 - 36 '!AW413,0)+ROUND('SEF-32 pg 35-45'!BA$21-'SEF-30 pg 2 - 36 '!AW415,0)</f>
        <v>0</v>
      </c>
      <c r="AX436" s="427">
        <f>ROUND('SEF-32 pg 35-45'!BS$30-'SEF-30 pg 2 - 36 '!AX413,0)+AX415</f>
        <v>0</v>
      </c>
      <c r="AY436" s="427">
        <f>ROUND('SEF-32 pg 35-45'!CK$32-AY415,0)+ROUND('SEF-32 pg 35-45'!CK$66-AY413,0)</f>
        <v>0</v>
      </c>
      <c r="AZ436" s="427">
        <f>ROUND('SEF-32 pg 35-45'!DC$29-'SEF-30 pg 2 - 36 '!AZ413,0)+ROUND('SEF-32 pg 35-45'!DC$21-'SEF-30 pg 2 - 36 '!AZ415,0)</f>
        <v>0</v>
      </c>
      <c r="BA436" s="427">
        <f>ROUND('SEF-32 pg 35-45'!DU$30-'SEF-30 pg 2 - 36 '!BA413,0)+BA415</f>
        <v>0</v>
      </c>
      <c r="BB436" s="427">
        <f>ROUND('SEF-32 pg 35-45'!EM$70-'SEF-30 pg 2 - 36 '!BB413,0)+ROUND('SEF-32 pg 35-45'!EM$58-'SEF-30 pg 2 - 36 '!BB415,0)</f>
        <v>0</v>
      </c>
      <c r="BC436" s="427">
        <f>ROUND('SEF-32 pg 35-45'!FE$42-'SEF-30 pg 2 - 36 '!BC413,0)+ROUND('SEF-32 pg 35-45'!FE$31-'SEF-30 pg 2 - 36 '!BC415,0)</f>
        <v>0</v>
      </c>
      <c r="BD436" s="427">
        <f>ROUND('SEF-32 pg 35-45'!FW$24-'SEF-30 pg 2 - 36 '!BD413,0)+BD415</f>
        <v>0</v>
      </c>
      <c r="BE436" s="427">
        <f>ROUND('SEF-32 pg 35-45'!GN$45-'SEF-30 pg 2 - 36 '!BE413,0)+ROUND('SEF-32 pg 35-45'!GN$32-'SEF-30 pg 2 - 36 '!BE415,0)</f>
        <v>0</v>
      </c>
      <c r="BF436" s="427">
        <f>ROUND('SEF-32 pg 35-45'!GO$45-'SEF-30 pg 2 - 36 '!BF413,0)+ROUND('SEF-32 pg 35-45'!GO$32-'SEF-30 pg 2 - 36 '!BF415,0)</f>
        <v>0</v>
      </c>
      <c r="BG436" s="428"/>
      <c r="BH436" s="428"/>
      <c r="BI436" s="82"/>
      <c r="BK436" s="82"/>
    </row>
    <row r="437" spans="2:63" outlineLevel="1" x14ac:dyDescent="0.25">
      <c r="B437" s="395" t="s">
        <v>155</v>
      </c>
      <c r="C437" s="350"/>
      <c r="D437" s="429">
        <f>'SEF-30 pg 1'!O47-D413</f>
        <v>0</v>
      </c>
      <c r="BH437" s="429">
        <f>'SEF-30 pg 1'!Q47-BH413</f>
        <v>0</v>
      </c>
      <c r="BI437" s="82"/>
      <c r="BK437" s="82"/>
    </row>
    <row r="438" spans="2:63" outlineLevel="1" x14ac:dyDescent="0.25">
      <c r="B438" s="395" t="s">
        <v>156</v>
      </c>
      <c r="C438" s="350"/>
      <c r="D438" s="429">
        <f>'SEF-30 pg 1'!O58-D426</f>
        <v>0</v>
      </c>
      <c r="BH438" s="429">
        <f>'SEF-30 pg 1'!Q58-BH426</f>
        <v>0</v>
      </c>
      <c r="BI438" s="82"/>
      <c r="BK438" s="82"/>
    </row>
    <row r="439" spans="2:63" x14ac:dyDescent="0.25">
      <c r="B439" s="430"/>
      <c r="C439" s="406"/>
      <c r="D439" s="431"/>
      <c r="BH439" s="431"/>
      <c r="BI439" s="82"/>
      <c r="BK439" s="82"/>
    </row>
    <row r="440" spans="2:63" x14ac:dyDescent="0.25">
      <c r="B440" s="430"/>
      <c r="C440" s="406"/>
      <c r="D440" s="431"/>
      <c r="BH440" s="431"/>
      <c r="BI440" s="82"/>
      <c r="BK440" s="82"/>
    </row>
    <row r="441" spans="2:63" x14ac:dyDescent="0.25">
      <c r="B441" s="430"/>
      <c r="C441" s="406"/>
      <c r="D441" s="431"/>
      <c r="BH441" s="431"/>
      <c r="BI441" s="82"/>
      <c r="BK441" s="82"/>
    </row>
    <row r="442" spans="2:63" x14ac:dyDescent="0.25">
      <c r="B442" s="430"/>
      <c r="C442" s="406"/>
      <c r="D442" s="431"/>
      <c r="BH442" s="431"/>
      <c r="BI442" s="82"/>
      <c r="BK442" s="82"/>
    </row>
    <row r="443" spans="2:63" x14ac:dyDescent="0.25">
      <c r="B443" s="430"/>
      <c r="C443" s="406"/>
      <c r="D443" s="431"/>
      <c r="BH443" s="431"/>
      <c r="BI443" s="82"/>
      <c r="BK443" s="82"/>
    </row>
    <row r="444" spans="2:63" x14ac:dyDescent="0.25">
      <c r="B444" s="430"/>
      <c r="C444" s="406"/>
      <c r="D444" s="431"/>
      <c r="BH444" s="431"/>
      <c r="BI444" s="82"/>
      <c r="BK444" s="82"/>
    </row>
    <row r="445" spans="2:63" x14ac:dyDescent="0.25">
      <c r="BI445" s="82"/>
      <c r="BK445" s="82"/>
    </row>
    <row r="446" spans="2:63" x14ac:dyDescent="0.25">
      <c r="B446" s="432" t="s">
        <v>165</v>
      </c>
      <c r="C446" s="433"/>
      <c r="D446" s="433"/>
      <c r="E446" s="433"/>
      <c r="F446" s="433"/>
      <c r="G446" s="433"/>
      <c r="H446" s="433"/>
      <c r="I446" s="433"/>
      <c r="J446" s="433"/>
      <c r="K446" s="433"/>
      <c r="L446" s="433"/>
      <c r="M446" s="433"/>
      <c r="N446" s="433"/>
      <c r="O446" s="433"/>
      <c r="P446" s="433"/>
      <c r="Q446" s="433"/>
      <c r="R446" s="433"/>
      <c r="S446" s="433"/>
      <c r="T446" s="433"/>
      <c r="U446" s="433"/>
      <c r="V446" s="433"/>
      <c r="W446" s="433"/>
      <c r="X446" s="433"/>
      <c r="Y446" s="433"/>
      <c r="Z446" s="433"/>
      <c r="AA446" s="433"/>
      <c r="AB446" s="433"/>
      <c r="AC446" s="433"/>
      <c r="AD446" s="433"/>
      <c r="AE446" s="433"/>
      <c r="AF446" s="433"/>
      <c r="AG446" s="433"/>
      <c r="AH446" s="433"/>
      <c r="AI446" s="433"/>
      <c r="AJ446" s="433"/>
      <c r="AK446" s="433"/>
      <c r="AL446" s="433"/>
      <c r="AM446" s="433"/>
      <c r="AN446" s="433"/>
      <c r="AO446" s="433"/>
      <c r="AP446" s="433"/>
      <c r="AQ446" s="433"/>
      <c r="AR446" s="433"/>
      <c r="AS446" s="433"/>
      <c r="AT446" s="433"/>
      <c r="AU446" s="433"/>
      <c r="AV446" s="433"/>
      <c r="AW446" s="433"/>
      <c r="AX446" s="433"/>
      <c r="AY446" s="433"/>
      <c r="AZ446" s="433"/>
      <c r="BA446" s="433"/>
      <c r="BB446" s="433"/>
      <c r="BC446" s="433"/>
      <c r="BD446" s="433"/>
      <c r="BE446" s="433"/>
      <c r="BF446" s="433"/>
      <c r="BG446" s="433"/>
      <c r="BH446" s="433"/>
      <c r="BI446" s="82"/>
      <c r="BK446" s="82"/>
    </row>
    <row r="447" spans="2:63" x14ac:dyDescent="0.25">
      <c r="B447" s="434" t="s">
        <v>166</v>
      </c>
      <c r="C447" s="375" t="s">
        <v>143</v>
      </c>
      <c r="D447" s="435">
        <v>311728415.28999996</v>
      </c>
      <c r="E447" s="436">
        <v>75591217.506147563</v>
      </c>
      <c r="F447" s="436">
        <v>-121458.45224589109</v>
      </c>
      <c r="G447" s="436">
        <v>-45679111.89642968</v>
      </c>
      <c r="H447" s="436">
        <v>2711360.7719267979</v>
      </c>
      <c r="I447" s="436">
        <v>30881913.7943177</v>
      </c>
      <c r="J447" s="436">
        <v>359714.48081359779</v>
      </c>
      <c r="K447" s="436">
        <v>179028.76622970021</v>
      </c>
      <c r="L447" s="436">
        <v>-21645.139784809799</v>
      </c>
      <c r="M447" s="436">
        <v>35900.509910939894</v>
      </c>
      <c r="N447" s="436">
        <v>131970.01726178749</v>
      </c>
      <c r="O447" s="436">
        <v>3219883.4385292572</v>
      </c>
      <c r="P447" s="436">
        <v>-397201.36744354269</v>
      </c>
      <c r="Q447" s="436">
        <v>-131317.93692733094</v>
      </c>
      <c r="R447" s="436">
        <v>-818378.23092293227</v>
      </c>
      <c r="S447" s="436">
        <v>-1161336.9166999999</v>
      </c>
      <c r="T447" s="436">
        <v>18267.632184394755</v>
      </c>
      <c r="U447" s="436">
        <v>-2936475.9187557171</v>
      </c>
      <c r="V447" s="436">
        <v>-6595418.7965601254</v>
      </c>
      <c r="W447" s="436">
        <v>0</v>
      </c>
      <c r="X447" s="436">
        <v>3150854.0515157296</v>
      </c>
      <c r="Y447" s="436">
        <v>-2412351.6838164986</v>
      </c>
      <c r="Z447" s="436">
        <v>0</v>
      </c>
      <c r="AA447" s="436">
        <v>0</v>
      </c>
      <c r="AB447" s="436">
        <v>-5799601.692368486</v>
      </c>
      <c r="AC447" s="436">
        <v>-42170.084930424709</v>
      </c>
      <c r="AD447" s="436">
        <v>0</v>
      </c>
      <c r="AE447" s="436">
        <v>0</v>
      </c>
      <c r="AF447" s="436">
        <v>0</v>
      </c>
      <c r="AG447" s="436">
        <v>0</v>
      </c>
      <c r="AH447" s="436">
        <v>0</v>
      </c>
      <c r="AI447" s="436">
        <v>0</v>
      </c>
      <c r="AJ447" s="436">
        <v>0</v>
      </c>
      <c r="AK447" s="436">
        <v>-74914559.225866452</v>
      </c>
      <c r="AL447" s="436">
        <v>-4296288.3866999997</v>
      </c>
      <c r="AM447" s="436">
        <v>101020.46</v>
      </c>
      <c r="AN447" s="436">
        <v>-109575.52009999999</v>
      </c>
      <c r="AO447" s="436">
        <v>0</v>
      </c>
      <c r="AP447" s="436">
        <v>0</v>
      </c>
      <c r="AQ447" s="436">
        <v>0</v>
      </c>
      <c r="AR447" s="436">
        <v>0</v>
      </c>
      <c r="AS447" s="436">
        <v>0</v>
      </c>
      <c r="AT447" s="436">
        <v>0</v>
      </c>
      <c r="AU447" s="436">
        <v>0</v>
      </c>
      <c r="AV447" s="436">
        <v>902858.30223612313</v>
      </c>
      <c r="AW447" s="436">
        <v>173457.14</v>
      </c>
      <c r="AX447" s="436">
        <v>-1159982.6275999988</v>
      </c>
      <c r="AY447" s="436">
        <v>0</v>
      </c>
      <c r="AZ447" s="436">
        <v>93226.762399999992</v>
      </c>
      <c r="BA447" s="436">
        <v>-5160771.7353853295</v>
      </c>
      <c r="BB447" s="436">
        <v>28347227.552052096</v>
      </c>
      <c r="BC447" s="436">
        <v>698603.46220001741</v>
      </c>
      <c r="BD447" s="436">
        <v>-1008.4295899425633</v>
      </c>
      <c r="BE447" s="436">
        <v>0</v>
      </c>
      <c r="BF447" s="436">
        <v>-1668807.7144438999</v>
      </c>
      <c r="BG447" s="436">
        <v>-6830957.1088452935</v>
      </c>
      <c r="BH447" s="436">
        <v>304897458.18115425</v>
      </c>
      <c r="BI447" s="82"/>
      <c r="BK447" s="82"/>
    </row>
    <row r="448" spans="2:63" x14ac:dyDescent="0.25">
      <c r="B448" s="437" t="s">
        <v>167</v>
      </c>
      <c r="C448" s="323" t="s">
        <v>143</v>
      </c>
      <c r="D448" s="438">
        <v>5583764449.6288252</v>
      </c>
      <c r="E448" s="323">
        <v>0</v>
      </c>
      <c r="F448" s="323">
        <v>0</v>
      </c>
      <c r="G448" s="323">
        <v>0</v>
      </c>
      <c r="H448" s="323">
        <v>0</v>
      </c>
      <c r="I448" s="323">
        <v>0</v>
      </c>
      <c r="J448" s="323">
        <v>0</v>
      </c>
      <c r="K448" s="323">
        <v>0</v>
      </c>
      <c r="L448" s="323">
        <v>0</v>
      </c>
      <c r="M448" s="323">
        <v>0</v>
      </c>
      <c r="N448" s="323">
        <v>0</v>
      </c>
      <c r="O448" s="323">
        <v>0</v>
      </c>
      <c r="P448" s="323">
        <v>0</v>
      </c>
      <c r="Q448" s="323">
        <v>0</v>
      </c>
      <c r="R448" s="323">
        <v>0</v>
      </c>
      <c r="S448" s="323">
        <v>0</v>
      </c>
      <c r="T448" s="323">
        <v>0</v>
      </c>
      <c r="U448" s="323">
        <v>0</v>
      </c>
      <c r="V448" s="323">
        <v>0</v>
      </c>
      <c r="W448" s="323">
        <v>23410353.123831868</v>
      </c>
      <c r="X448" s="323">
        <v>3150854.051515731</v>
      </c>
      <c r="Y448" s="323">
        <v>0</v>
      </c>
      <c r="Z448" s="323">
        <v>0</v>
      </c>
      <c r="AA448" s="323">
        <v>0</v>
      </c>
      <c r="AB448" s="323">
        <v>-117784370.64898372</v>
      </c>
      <c r="AC448" s="323">
        <v>0</v>
      </c>
      <c r="AD448" s="323">
        <v>0</v>
      </c>
      <c r="AE448" s="323">
        <v>0</v>
      </c>
      <c r="AF448" s="323">
        <v>0</v>
      </c>
      <c r="AG448" s="323">
        <v>0</v>
      </c>
      <c r="AH448" s="323">
        <v>0</v>
      </c>
      <c r="AI448" s="323">
        <v>0</v>
      </c>
      <c r="AJ448" s="323">
        <v>0</v>
      </c>
      <c r="AK448" s="323">
        <v>0</v>
      </c>
      <c r="AL448" s="323">
        <v>0</v>
      </c>
      <c r="AM448" s="323">
        <v>0</v>
      </c>
      <c r="AN448" s="323">
        <v>0</v>
      </c>
      <c r="AO448" s="323">
        <v>0</v>
      </c>
      <c r="AP448" s="323">
        <v>0</v>
      </c>
      <c r="AQ448" s="323">
        <v>0</v>
      </c>
      <c r="AR448" s="323">
        <v>0</v>
      </c>
      <c r="AS448" s="323">
        <v>0</v>
      </c>
      <c r="AT448" s="323">
        <v>0</v>
      </c>
      <c r="AU448" s="323">
        <v>0</v>
      </c>
      <c r="AV448" s="323">
        <v>0</v>
      </c>
      <c r="AW448" s="323">
        <v>-1121518.7722916666</v>
      </c>
      <c r="AX448" s="323">
        <v>0</v>
      </c>
      <c r="AY448" s="323">
        <v>0</v>
      </c>
      <c r="AZ448" s="323">
        <v>-92162.365750000143</v>
      </c>
      <c r="BA448" s="323">
        <v>0</v>
      </c>
      <c r="BB448" s="323">
        <v>100713505.51873963</v>
      </c>
      <c r="BC448" s="323">
        <v>0</v>
      </c>
      <c r="BD448" s="323">
        <v>-530374.64638627158</v>
      </c>
      <c r="BE448" s="323">
        <v>0</v>
      </c>
      <c r="BF448" s="323">
        <v>0</v>
      </c>
      <c r="BG448" s="323">
        <v>7746286.2606755048</v>
      </c>
      <c r="BH448" s="323">
        <v>5591510735.8894997</v>
      </c>
      <c r="BI448" s="82"/>
      <c r="BK448" s="82"/>
    </row>
    <row r="449" spans="2:63" x14ac:dyDescent="0.25">
      <c r="B449" s="439" t="s">
        <v>153</v>
      </c>
      <c r="C449" s="323" t="s">
        <v>143</v>
      </c>
      <c r="D449" s="440">
        <v>153798837.75261405</v>
      </c>
      <c r="E449" s="323">
        <v>-100718055.95051391</v>
      </c>
      <c r="F449" s="323">
        <v>161831.75231923751</v>
      </c>
      <c r="G449" s="323">
        <v>60863040.701523706</v>
      </c>
      <c r="H449" s="323">
        <v>-3612628.4896356245</v>
      </c>
      <c r="I449" s="323">
        <v>-41147191.750709437</v>
      </c>
      <c r="J449" s="323">
        <v>-479285.08628462791</v>
      </c>
      <c r="K449" s="323">
        <v>-238538.68066628231</v>
      </c>
      <c r="L449" s="323">
        <v>28840.075233949923</v>
      </c>
      <c r="M449" s="323">
        <v>-47833.990312008951</v>
      </c>
      <c r="N449" s="323">
        <v>-175837.40573145324</v>
      </c>
      <c r="O449" s="323">
        <v>-4290186.2281758944</v>
      </c>
      <c r="P449" s="323">
        <v>529232.77160532412</v>
      </c>
      <c r="Q449" s="323">
        <v>174968.57115282401</v>
      </c>
      <c r="R449" s="323">
        <v>1090410.5949090598</v>
      </c>
      <c r="S449" s="323">
        <v>1547370.1894545534</v>
      </c>
      <c r="T449" s="323">
        <v>-24339.869909909161</v>
      </c>
      <c r="U449" s="323">
        <v>3912572.8575349683</v>
      </c>
      <c r="V449" s="323">
        <v>8787763.7281737197</v>
      </c>
      <c r="W449" s="323">
        <v>2386192.04737648</v>
      </c>
      <c r="X449" s="323">
        <v>-3877048.0272753476</v>
      </c>
      <c r="Y449" s="323">
        <v>3214227.5237620943</v>
      </c>
      <c r="Z449" s="323">
        <v>0</v>
      </c>
      <c r="AA449" s="323">
        <v>0</v>
      </c>
      <c r="AB449" s="323">
        <v>-4278220.204149331</v>
      </c>
      <c r="AC449" s="323">
        <v>56187.598421933384</v>
      </c>
      <c r="AD449" s="323">
        <v>0</v>
      </c>
      <c r="AE449" s="323">
        <v>0</v>
      </c>
      <c r="AF449" s="323">
        <v>0</v>
      </c>
      <c r="AG449" s="323">
        <v>0</v>
      </c>
      <c r="AH449" s="323">
        <v>0</v>
      </c>
      <c r="AI449" s="323">
        <v>0</v>
      </c>
      <c r="AJ449" s="323">
        <v>0</v>
      </c>
      <c r="AK449" s="323">
        <v>99816473.613555416</v>
      </c>
      <c r="AL449" s="323">
        <v>5724392.7057531876</v>
      </c>
      <c r="AM449" s="323">
        <v>-134600.08554034986</v>
      </c>
      <c r="AN449" s="323">
        <v>145998.88357851788</v>
      </c>
      <c r="AO449" s="323">
        <v>0</v>
      </c>
      <c r="AP449" s="323">
        <v>0</v>
      </c>
      <c r="AQ449" s="323">
        <v>0</v>
      </c>
      <c r="AR449" s="323">
        <v>0</v>
      </c>
      <c r="AS449" s="323">
        <v>0</v>
      </c>
      <c r="AT449" s="323">
        <v>0</v>
      </c>
      <c r="AU449" s="323">
        <v>0</v>
      </c>
      <c r="AV449" s="323">
        <v>-1202972.1970360975</v>
      </c>
      <c r="AW449" s="323">
        <v>-345430.22143267089</v>
      </c>
      <c r="AX449" s="323">
        <v>1545565.728965</v>
      </c>
      <c r="AY449" s="323">
        <v>0</v>
      </c>
      <c r="AZ449" s="323">
        <v>-133609.74064735524</v>
      </c>
      <c r="BA449" s="323">
        <v>6876233.9533702889</v>
      </c>
      <c r="BB449" s="323">
        <v>-27504346.142448019</v>
      </c>
      <c r="BC449" s="323">
        <v>-930822.1895931469</v>
      </c>
      <c r="BD449" s="323">
        <v>-52716.879907220973</v>
      </c>
      <c r="BE449" s="323">
        <v>0</v>
      </c>
      <c r="BF449" s="323">
        <v>2223526.4135061814</v>
      </c>
      <c r="BG449" s="323">
        <v>9891166.5702277441</v>
      </c>
      <c r="BH449" s="323">
        <v>163690004.32284215</v>
      </c>
      <c r="BI449" s="82"/>
      <c r="BK449" s="82"/>
    </row>
    <row r="450" spans="2:63" x14ac:dyDescent="0.25">
      <c r="B450" s="434" t="s">
        <v>166</v>
      </c>
      <c r="C450" s="441" t="s">
        <v>168</v>
      </c>
      <c r="D450" s="436">
        <v>304897458.18115425</v>
      </c>
      <c r="E450" s="436">
        <v>-180573118.84874183</v>
      </c>
      <c r="F450" s="436">
        <v>-11287816.360313492</v>
      </c>
      <c r="G450" s="436">
        <v>0</v>
      </c>
      <c r="H450" s="436">
        <v>3832342.7665624972</v>
      </c>
      <c r="I450" s="436">
        <v>2863596.510559116</v>
      </c>
      <c r="J450" s="436">
        <v>0</v>
      </c>
      <c r="K450" s="436">
        <v>0</v>
      </c>
      <c r="L450" s="436">
        <v>0</v>
      </c>
      <c r="M450" s="436">
        <v>-535106.21265837201</v>
      </c>
      <c r="N450" s="436">
        <v>0</v>
      </c>
      <c r="O450" s="436">
        <v>-754321.79533689353</v>
      </c>
      <c r="P450" s="436">
        <v>0</v>
      </c>
      <c r="Q450" s="436">
        <v>0</v>
      </c>
      <c r="R450" s="436">
        <v>0</v>
      </c>
      <c r="S450" s="436">
        <v>0</v>
      </c>
      <c r="T450" s="436">
        <v>0</v>
      </c>
      <c r="U450" s="436">
        <v>0</v>
      </c>
      <c r="V450" s="436">
        <v>0</v>
      </c>
      <c r="W450" s="436">
        <v>0</v>
      </c>
      <c r="X450" s="436">
        <v>0</v>
      </c>
      <c r="Y450" s="436">
        <v>0</v>
      </c>
      <c r="Z450" s="436">
        <v>0</v>
      </c>
      <c r="AA450" s="436">
        <v>3737464.7041999986</v>
      </c>
      <c r="AB450" s="436">
        <v>0</v>
      </c>
      <c r="AC450" s="436">
        <v>2149.1401020913058</v>
      </c>
      <c r="AD450" s="436">
        <v>0</v>
      </c>
      <c r="AE450" s="436">
        <v>-885933.75207547843</v>
      </c>
      <c r="AF450" s="436">
        <v>138079.79450000002</v>
      </c>
      <c r="AG450" s="436">
        <v>-2758238.2740201</v>
      </c>
      <c r="AH450" s="436">
        <v>-239996.06710000004</v>
      </c>
      <c r="AI450" s="436">
        <v>-1016675.5926999999</v>
      </c>
      <c r="AJ450" s="436">
        <v>-1055909.7499817002</v>
      </c>
      <c r="AK450" s="436">
        <v>0</v>
      </c>
      <c r="AL450" s="436">
        <v>0</v>
      </c>
      <c r="AM450" s="436">
        <v>0</v>
      </c>
      <c r="AN450" s="436">
        <v>0</v>
      </c>
      <c r="AO450" s="436">
        <v>0</v>
      </c>
      <c r="AP450" s="436">
        <v>0</v>
      </c>
      <c r="AQ450" s="436">
        <v>0</v>
      </c>
      <c r="AR450" s="436">
        <v>0</v>
      </c>
      <c r="AS450" s="436">
        <v>0</v>
      </c>
      <c r="AT450" s="436">
        <v>0</v>
      </c>
      <c r="AU450" s="436">
        <v>0</v>
      </c>
      <c r="AV450" s="436">
        <v>0</v>
      </c>
      <c r="AW450" s="436">
        <v>0</v>
      </c>
      <c r="AX450" s="436">
        <v>0</v>
      </c>
      <c r="AY450" s="436">
        <v>-3707884.3267204068</v>
      </c>
      <c r="AZ450" s="436">
        <v>0</v>
      </c>
      <c r="BA450" s="436">
        <v>0</v>
      </c>
      <c r="BB450" s="436">
        <v>0</v>
      </c>
      <c r="BC450" s="436">
        <v>0</v>
      </c>
      <c r="BD450" s="436">
        <v>0</v>
      </c>
      <c r="BE450" s="436">
        <v>0</v>
      </c>
      <c r="BF450" s="436">
        <v>0</v>
      </c>
      <c r="BG450" s="436">
        <v>-192241368.06372455</v>
      </c>
      <c r="BH450" s="436">
        <v>112656090.11742973</v>
      </c>
      <c r="BI450" s="82"/>
      <c r="BK450" s="82"/>
    </row>
    <row r="451" spans="2:63" x14ac:dyDescent="0.25">
      <c r="B451" s="437" t="s">
        <v>167</v>
      </c>
      <c r="C451" s="442" t="s">
        <v>168</v>
      </c>
      <c r="D451" s="323">
        <v>5591510735.8894997</v>
      </c>
      <c r="E451" s="323">
        <v>0</v>
      </c>
      <c r="F451" s="323">
        <v>0</v>
      </c>
      <c r="G451" s="323">
        <v>0</v>
      </c>
      <c r="H451" s="323">
        <v>0</v>
      </c>
      <c r="I451" s="323">
        <v>0</v>
      </c>
      <c r="J451" s="323">
        <v>0</v>
      </c>
      <c r="K451" s="323">
        <v>0</v>
      </c>
      <c r="L451" s="323">
        <v>0</v>
      </c>
      <c r="M451" s="323">
        <v>0</v>
      </c>
      <c r="N451" s="323">
        <v>0</v>
      </c>
      <c r="O451" s="323">
        <v>0</v>
      </c>
      <c r="P451" s="323">
        <v>0</v>
      </c>
      <c r="Q451" s="323">
        <v>0</v>
      </c>
      <c r="R451" s="323">
        <v>0</v>
      </c>
      <c r="S451" s="323">
        <v>0</v>
      </c>
      <c r="T451" s="323">
        <v>0</v>
      </c>
      <c r="U451" s="323">
        <v>0</v>
      </c>
      <c r="V451" s="323">
        <v>0</v>
      </c>
      <c r="W451" s="323">
        <v>0</v>
      </c>
      <c r="X451" s="323">
        <v>0</v>
      </c>
      <c r="Y451" s="323">
        <v>0</v>
      </c>
      <c r="Z451" s="323">
        <v>0</v>
      </c>
      <c r="AA451" s="323">
        <v>-60657666.762677558</v>
      </c>
      <c r="AB451" s="323">
        <v>117784370.64898372</v>
      </c>
      <c r="AC451" s="323">
        <v>0</v>
      </c>
      <c r="AD451" s="323">
        <v>0</v>
      </c>
      <c r="AE451" s="323">
        <v>-213417265.83208799</v>
      </c>
      <c r="AF451" s="323">
        <v>174784.55000000002</v>
      </c>
      <c r="AG451" s="323">
        <v>193636571.05324996</v>
      </c>
      <c r="AH451" s="323">
        <v>48794218.919999994</v>
      </c>
      <c r="AI451" s="323">
        <v>245365929.83000001</v>
      </c>
      <c r="AJ451" s="323">
        <v>133865024.70928994</v>
      </c>
      <c r="AK451" s="323">
        <v>0</v>
      </c>
      <c r="AL451" s="323">
        <v>0</v>
      </c>
      <c r="AM451" s="323">
        <v>0</v>
      </c>
      <c r="AN451" s="323">
        <v>2889649.9920000006</v>
      </c>
      <c r="AO451" s="323">
        <v>0</v>
      </c>
      <c r="AP451" s="323">
        <v>0</v>
      </c>
      <c r="AQ451" s="323">
        <v>0</v>
      </c>
      <c r="AR451" s="323">
        <v>0</v>
      </c>
      <c r="AS451" s="323">
        <v>0</v>
      </c>
      <c r="AT451" s="323">
        <v>0</v>
      </c>
      <c r="AU451" s="323">
        <v>0</v>
      </c>
      <c r="AV451" s="323">
        <v>0</v>
      </c>
      <c r="AW451" s="323">
        <v>53549.595000000962</v>
      </c>
      <c r="AX451" s="323">
        <v>0</v>
      </c>
      <c r="AY451" s="323">
        <v>52195374.07849817</v>
      </c>
      <c r="AZ451" s="323">
        <v>0</v>
      </c>
      <c r="BA451" s="323">
        <v>0</v>
      </c>
      <c r="BB451" s="323">
        <v>0</v>
      </c>
      <c r="BC451" s="323">
        <v>-2880746.5800000094</v>
      </c>
      <c r="BD451" s="323">
        <v>0</v>
      </c>
      <c r="BE451" s="323">
        <v>681903.88919999998</v>
      </c>
      <c r="BF451" s="323">
        <v>0</v>
      </c>
      <c r="BG451" s="323">
        <v>518485698.09145623</v>
      </c>
      <c r="BH451" s="323">
        <v>6109996433.9809561</v>
      </c>
      <c r="BI451" s="82"/>
      <c r="BK451" s="82"/>
    </row>
    <row r="452" spans="2:63" x14ac:dyDescent="0.25">
      <c r="B452" s="439" t="s">
        <v>153</v>
      </c>
      <c r="C452" s="443" t="s">
        <v>168</v>
      </c>
      <c r="D452" s="323">
        <v>163690004.32284215</v>
      </c>
      <c r="E452" s="323">
        <v>240596382.58753139</v>
      </c>
      <c r="F452" s="323">
        <v>15039933.966465373</v>
      </c>
      <c r="G452" s="323">
        <v>0</v>
      </c>
      <c r="H452" s="323">
        <v>-5106229.6113010487</v>
      </c>
      <c r="I452" s="323">
        <v>-3815468.0277074999</v>
      </c>
      <c r="J452" s="323">
        <v>0</v>
      </c>
      <c r="K452" s="323">
        <v>0</v>
      </c>
      <c r="L452" s="323">
        <v>0</v>
      </c>
      <c r="M452" s="323">
        <v>712977.76704827428</v>
      </c>
      <c r="N452" s="323">
        <v>0</v>
      </c>
      <c r="O452" s="323">
        <v>1005061.5308749945</v>
      </c>
      <c r="P452" s="323">
        <v>0</v>
      </c>
      <c r="Q452" s="323">
        <v>0</v>
      </c>
      <c r="R452" s="323">
        <v>0</v>
      </c>
      <c r="S452" s="323">
        <v>0</v>
      </c>
      <c r="T452" s="323">
        <v>0</v>
      </c>
      <c r="U452" s="323">
        <v>0</v>
      </c>
      <c r="V452" s="323">
        <v>0</v>
      </c>
      <c r="W452" s="323">
        <v>0</v>
      </c>
      <c r="X452" s="323">
        <v>0</v>
      </c>
      <c r="Y452" s="323">
        <v>0</v>
      </c>
      <c r="Z452" s="323">
        <v>0</v>
      </c>
      <c r="AA452" s="323">
        <v>-11162584.239983093</v>
      </c>
      <c r="AB452" s="323">
        <v>12005633.877505759</v>
      </c>
      <c r="AC452" s="323">
        <v>-2863.5233058697809</v>
      </c>
      <c r="AD452" s="323">
        <v>0</v>
      </c>
      <c r="AE452" s="323">
        <v>-20572969.894432619</v>
      </c>
      <c r="AF452" s="323">
        <v>-166162.49791811843</v>
      </c>
      <c r="AG452" s="323">
        <v>23412255.133545168</v>
      </c>
      <c r="AH452" s="323">
        <v>5293313.8817597851</v>
      </c>
      <c r="AI452" s="323">
        <v>26364507.449731719</v>
      </c>
      <c r="AJ452" s="323">
        <v>15051616.193297712</v>
      </c>
      <c r="AK452" s="323">
        <v>0</v>
      </c>
      <c r="AL452" s="323">
        <v>0</v>
      </c>
      <c r="AM452" s="323">
        <v>0</v>
      </c>
      <c r="AN452" s="323">
        <v>294538.90738591622</v>
      </c>
      <c r="AO452" s="323">
        <v>0</v>
      </c>
      <c r="AP452" s="323">
        <v>0</v>
      </c>
      <c r="AQ452" s="323">
        <v>0</v>
      </c>
      <c r="AR452" s="323">
        <v>0</v>
      </c>
      <c r="AS452" s="323">
        <v>0</v>
      </c>
      <c r="AT452" s="323">
        <v>0</v>
      </c>
      <c r="AU452" s="323">
        <v>0</v>
      </c>
      <c r="AV452" s="323">
        <v>0</v>
      </c>
      <c r="AW452" s="323">
        <v>5458.252468611985</v>
      </c>
      <c r="AX452" s="323">
        <v>0</v>
      </c>
      <c r="AY452" s="323">
        <v>10260618.853420237</v>
      </c>
      <c r="AZ452" s="323">
        <v>0</v>
      </c>
      <c r="BA452" s="323">
        <v>0</v>
      </c>
      <c r="BB452" s="323">
        <v>0</v>
      </c>
      <c r="BC452" s="323">
        <v>-293631.39220250503</v>
      </c>
      <c r="BD452" s="323">
        <v>0</v>
      </c>
      <c r="BE452" s="323">
        <v>69505.728037381923</v>
      </c>
      <c r="BF452" s="323">
        <v>0</v>
      </c>
      <c r="BG452" s="323">
        <v>308991894.94222158</v>
      </c>
      <c r="BH452" s="323">
        <v>472681899.26506364</v>
      </c>
      <c r="BI452" s="82"/>
      <c r="BK452" s="82"/>
    </row>
    <row r="453" spans="2:63" x14ac:dyDescent="0.25">
      <c r="B453" s="434" t="s">
        <v>166</v>
      </c>
      <c r="C453" s="441" t="s">
        <v>159</v>
      </c>
      <c r="D453" s="436">
        <v>112656090.11742973</v>
      </c>
      <c r="E453" s="436">
        <v>9089769.3123887423</v>
      </c>
      <c r="F453" s="436">
        <v>0</v>
      </c>
      <c r="G453" s="436">
        <v>0</v>
      </c>
      <c r="H453" s="436">
        <v>-1299233.3888071019</v>
      </c>
      <c r="I453" s="436">
        <v>2460753.2996581821</v>
      </c>
      <c r="J453" s="436">
        <v>0</v>
      </c>
      <c r="K453" s="436">
        <v>0</v>
      </c>
      <c r="L453" s="436">
        <v>0</v>
      </c>
      <c r="M453" s="436">
        <v>0</v>
      </c>
      <c r="N453" s="436">
        <v>0</v>
      </c>
      <c r="O453" s="436">
        <v>-313832.77429169288</v>
      </c>
      <c r="P453" s="436">
        <v>0</v>
      </c>
      <c r="Q453" s="436">
        <v>0</v>
      </c>
      <c r="R453" s="436">
        <v>0</v>
      </c>
      <c r="S453" s="436">
        <v>0</v>
      </c>
      <c r="T453" s="436">
        <v>0</v>
      </c>
      <c r="U453" s="436">
        <v>0</v>
      </c>
      <c r="V453" s="436">
        <v>0</v>
      </c>
      <c r="W453" s="436">
        <v>0</v>
      </c>
      <c r="X453" s="436">
        <v>0</v>
      </c>
      <c r="Y453" s="436">
        <v>0</v>
      </c>
      <c r="Z453" s="436">
        <v>0</v>
      </c>
      <c r="AA453" s="436">
        <v>0</v>
      </c>
      <c r="AB453" s="436">
        <v>0</v>
      </c>
      <c r="AC453" s="436">
        <v>-2151.7484116665646</v>
      </c>
      <c r="AD453" s="436">
        <v>0</v>
      </c>
      <c r="AE453" s="436">
        <v>3193600.8028125861</v>
      </c>
      <c r="AF453" s="436">
        <v>1226499.4979000003</v>
      </c>
      <c r="AG453" s="436">
        <v>-15485405.874397548</v>
      </c>
      <c r="AH453" s="436">
        <v>-2314791.7111</v>
      </c>
      <c r="AI453" s="436">
        <v>-4294733.7062000008</v>
      </c>
      <c r="AJ453" s="436">
        <v>-13712706.54591565</v>
      </c>
      <c r="AK453" s="436">
        <v>0</v>
      </c>
      <c r="AL453" s="436">
        <v>0</v>
      </c>
      <c r="AM453" s="436">
        <v>0</v>
      </c>
      <c r="AN453" s="436">
        <v>0</v>
      </c>
      <c r="AO453" s="436">
        <v>0</v>
      </c>
      <c r="AP453" s="436">
        <v>0</v>
      </c>
      <c r="AQ453" s="436">
        <v>0</v>
      </c>
      <c r="AR453" s="436">
        <v>0</v>
      </c>
      <c r="AS453" s="436">
        <v>0</v>
      </c>
      <c r="AT453" s="436">
        <v>0</v>
      </c>
      <c r="AU453" s="436">
        <v>0</v>
      </c>
      <c r="AV453" s="436">
        <v>0</v>
      </c>
      <c r="AW453" s="436">
        <v>0</v>
      </c>
      <c r="AX453" s="436">
        <v>0</v>
      </c>
      <c r="AY453" s="436">
        <v>4734866.3771460485</v>
      </c>
      <c r="AZ453" s="436">
        <v>0</v>
      </c>
      <c r="BA453" s="436">
        <v>0</v>
      </c>
      <c r="BB453" s="436">
        <v>0</v>
      </c>
      <c r="BC453" s="436">
        <v>0</v>
      </c>
      <c r="BD453" s="436">
        <v>0</v>
      </c>
      <c r="BE453" s="436">
        <v>0</v>
      </c>
      <c r="BF453" s="436">
        <v>0</v>
      </c>
      <c r="BG453" s="436">
        <v>-16717366.459218098</v>
      </c>
      <c r="BH453" s="436">
        <v>95938723.658211231</v>
      </c>
      <c r="BI453" s="82"/>
      <c r="BK453" s="82"/>
    </row>
    <row r="454" spans="2:63" x14ac:dyDescent="0.25">
      <c r="B454" s="437" t="s">
        <v>167</v>
      </c>
      <c r="C454" s="442" t="s">
        <v>159</v>
      </c>
      <c r="D454" s="323">
        <v>6109996433.9809561</v>
      </c>
      <c r="E454" s="323">
        <v>0</v>
      </c>
      <c r="F454" s="323">
        <v>0</v>
      </c>
      <c r="G454" s="323">
        <v>0</v>
      </c>
      <c r="H454" s="323">
        <v>0</v>
      </c>
      <c r="I454" s="323">
        <v>0</v>
      </c>
      <c r="J454" s="323">
        <v>0</v>
      </c>
      <c r="K454" s="323">
        <v>0</v>
      </c>
      <c r="L454" s="323">
        <v>0</v>
      </c>
      <c r="M454" s="323">
        <v>0</v>
      </c>
      <c r="N454" s="323">
        <v>0</v>
      </c>
      <c r="O454" s="323">
        <v>0</v>
      </c>
      <c r="P454" s="323">
        <v>0</v>
      </c>
      <c r="Q454" s="323">
        <v>0</v>
      </c>
      <c r="R454" s="323">
        <v>0</v>
      </c>
      <c r="S454" s="323">
        <v>0</v>
      </c>
      <c r="T454" s="323">
        <v>0</v>
      </c>
      <c r="U454" s="323">
        <v>0</v>
      </c>
      <c r="V454" s="323">
        <v>0</v>
      </c>
      <c r="W454" s="323">
        <v>0</v>
      </c>
      <c r="X454" s="323">
        <v>0</v>
      </c>
      <c r="Y454" s="323">
        <v>0</v>
      </c>
      <c r="Z454" s="323">
        <v>0</v>
      </c>
      <c r="AA454" s="323">
        <v>0</v>
      </c>
      <c r="AB454" s="323">
        <v>0</v>
      </c>
      <c r="AC454" s="323">
        <v>0</v>
      </c>
      <c r="AD454" s="323">
        <v>0</v>
      </c>
      <c r="AE454" s="323">
        <v>-382029793.38882923</v>
      </c>
      <c r="AF454" s="323">
        <v>1727315.5599999998</v>
      </c>
      <c r="AG454" s="323">
        <v>372227780.35451001</v>
      </c>
      <c r="AH454" s="323">
        <v>117993802.39000002</v>
      </c>
      <c r="AI454" s="323">
        <v>194852408.71000016</v>
      </c>
      <c r="AJ454" s="323">
        <v>167403102.08484992</v>
      </c>
      <c r="AK454" s="323">
        <v>0</v>
      </c>
      <c r="AL454" s="323">
        <v>0</v>
      </c>
      <c r="AM454" s="323">
        <v>0</v>
      </c>
      <c r="AN454" s="323">
        <v>8960350.0079999194</v>
      </c>
      <c r="AO454" s="323">
        <v>0</v>
      </c>
      <c r="AP454" s="323">
        <v>0</v>
      </c>
      <c r="AQ454" s="323">
        <v>0</v>
      </c>
      <c r="AR454" s="323">
        <v>0</v>
      </c>
      <c r="AS454" s="323">
        <v>0</v>
      </c>
      <c r="AT454" s="323">
        <v>0</v>
      </c>
      <c r="AU454" s="323">
        <v>0</v>
      </c>
      <c r="AV454" s="323">
        <v>0</v>
      </c>
      <c r="AW454" s="323">
        <v>85798.285000001895</v>
      </c>
      <c r="AX454" s="323">
        <v>0</v>
      </c>
      <c r="AY454" s="323">
        <v>-29912774.436111048</v>
      </c>
      <c r="AZ454" s="323">
        <v>0</v>
      </c>
      <c r="BA454" s="323">
        <v>0</v>
      </c>
      <c r="BB454" s="323">
        <v>0</v>
      </c>
      <c r="BC454" s="323">
        <v>-5761493.1600000188</v>
      </c>
      <c r="BD454" s="323">
        <v>0</v>
      </c>
      <c r="BE454" s="323">
        <v>0</v>
      </c>
      <c r="BF454" s="323">
        <v>0</v>
      </c>
      <c r="BG454" s="323">
        <v>445546496.40741968</v>
      </c>
      <c r="BH454" s="323">
        <v>6555542930.3883753</v>
      </c>
      <c r="BI454" s="82"/>
      <c r="BK454" s="82"/>
    </row>
    <row r="455" spans="2:63" x14ac:dyDescent="0.25">
      <c r="B455" s="439" t="s">
        <v>153</v>
      </c>
      <c r="C455" s="443" t="s">
        <v>159</v>
      </c>
      <c r="D455" s="323">
        <v>472681899.26506364</v>
      </c>
      <c r="E455" s="323">
        <v>-12111246.840388292</v>
      </c>
      <c r="F455" s="323">
        <v>0</v>
      </c>
      <c r="G455" s="323">
        <v>0</v>
      </c>
      <c r="H455" s="323">
        <v>1731104.0285335716</v>
      </c>
      <c r="I455" s="323">
        <v>-3278718.0401642346</v>
      </c>
      <c r="J455" s="323">
        <v>0</v>
      </c>
      <c r="K455" s="323">
        <v>0</v>
      </c>
      <c r="L455" s="323">
        <v>0</v>
      </c>
      <c r="M455" s="323">
        <v>0</v>
      </c>
      <c r="N455" s="323">
        <v>0</v>
      </c>
      <c r="O455" s="323">
        <v>418152.10765252082</v>
      </c>
      <c r="P455" s="323">
        <v>0</v>
      </c>
      <c r="Q455" s="323">
        <v>0</v>
      </c>
      <c r="R455" s="323">
        <v>0</v>
      </c>
      <c r="S455" s="323">
        <v>0</v>
      </c>
      <c r="T455" s="323">
        <v>0</v>
      </c>
      <c r="U455" s="323">
        <v>0</v>
      </c>
      <c r="V455" s="323">
        <v>0</v>
      </c>
      <c r="W455" s="323">
        <v>0</v>
      </c>
      <c r="X455" s="323">
        <v>0</v>
      </c>
      <c r="Y455" s="323">
        <v>0</v>
      </c>
      <c r="Z455" s="323">
        <v>0</v>
      </c>
      <c r="AA455" s="323">
        <v>0</v>
      </c>
      <c r="AB455" s="323">
        <v>0</v>
      </c>
      <c r="AC455" s="323">
        <v>2866.9986285118039</v>
      </c>
      <c r="AD455" s="323">
        <v>0</v>
      </c>
      <c r="AE455" s="323">
        <v>-43195051.979830094</v>
      </c>
      <c r="AF455" s="323">
        <v>-1458129.674320441</v>
      </c>
      <c r="AG455" s="323">
        <v>58573596.107671</v>
      </c>
      <c r="AH455" s="323">
        <v>15111219.235033438</v>
      </c>
      <c r="AI455" s="323">
        <v>25583417.127143353</v>
      </c>
      <c r="AJ455" s="323">
        <v>35334085.504916795</v>
      </c>
      <c r="AK455" s="323">
        <v>0</v>
      </c>
      <c r="AL455" s="323">
        <v>0</v>
      </c>
      <c r="AM455" s="323">
        <v>0</v>
      </c>
      <c r="AN455" s="323">
        <v>913318.81316361227</v>
      </c>
      <c r="AO455" s="323">
        <v>0</v>
      </c>
      <c r="AP455" s="323">
        <v>0</v>
      </c>
      <c r="AQ455" s="323">
        <v>0</v>
      </c>
      <c r="AR455" s="323">
        <v>0</v>
      </c>
      <c r="AS455" s="323">
        <v>0</v>
      </c>
      <c r="AT455" s="323">
        <v>0</v>
      </c>
      <c r="AU455" s="323">
        <v>0</v>
      </c>
      <c r="AV455" s="323">
        <v>0</v>
      </c>
      <c r="AW455" s="323">
        <v>8745.3266622077463</v>
      </c>
      <c r="AX455" s="323">
        <v>0</v>
      </c>
      <c r="AY455" s="323">
        <v>-9357732.7030731142</v>
      </c>
      <c r="AZ455" s="323">
        <v>0</v>
      </c>
      <c r="BA455" s="323">
        <v>0</v>
      </c>
      <c r="BB455" s="323">
        <v>0</v>
      </c>
      <c r="BC455" s="323">
        <v>-587262.78440501005</v>
      </c>
      <c r="BD455" s="323">
        <v>0</v>
      </c>
      <c r="BE455" s="323">
        <v>0</v>
      </c>
      <c r="BF455" s="323">
        <v>0</v>
      </c>
      <c r="BG455" s="323">
        <v>67688363.227223828</v>
      </c>
      <c r="BH455" s="323">
        <v>540370262.49228799</v>
      </c>
      <c r="BI455" s="82"/>
      <c r="BK455" s="82"/>
    </row>
    <row r="456" spans="2:63" x14ac:dyDescent="0.25">
      <c r="B456" s="434" t="s">
        <v>166</v>
      </c>
      <c r="C456" s="441" t="s">
        <v>169</v>
      </c>
      <c r="D456" s="436">
        <v>95938723.658211231</v>
      </c>
      <c r="E456" s="436">
        <v>5864385.0230842121</v>
      </c>
      <c r="F456" s="436">
        <v>0</v>
      </c>
      <c r="G456" s="436">
        <v>0</v>
      </c>
      <c r="H456" s="436">
        <v>455130.5393555006</v>
      </c>
      <c r="I456" s="436">
        <v>835836.62346682185</v>
      </c>
      <c r="J456" s="436">
        <v>0</v>
      </c>
      <c r="K456" s="436">
        <v>0</v>
      </c>
      <c r="L456" s="436">
        <v>0</v>
      </c>
      <c r="M456" s="436">
        <v>0</v>
      </c>
      <c r="N456" s="436">
        <v>0</v>
      </c>
      <c r="O456" s="436">
        <v>-69979.760459128389</v>
      </c>
      <c r="P456" s="436">
        <v>0</v>
      </c>
      <c r="Q456" s="436">
        <v>0</v>
      </c>
      <c r="R456" s="436">
        <v>0</v>
      </c>
      <c r="S456" s="436">
        <v>16099.415266666794</v>
      </c>
      <c r="T456" s="436">
        <v>0</v>
      </c>
      <c r="U456" s="436">
        <v>0</v>
      </c>
      <c r="V456" s="436">
        <v>0</v>
      </c>
      <c r="W456" s="436">
        <v>0</v>
      </c>
      <c r="X456" s="436">
        <v>0</v>
      </c>
      <c r="Y456" s="436">
        <v>0</v>
      </c>
      <c r="Z456" s="436">
        <v>-24075305.605324887</v>
      </c>
      <c r="AA456" s="436">
        <v>0</v>
      </c>
      <c r="AB456" s="436">
        <v>-7645649.3846697286</v>
      </c>
      <c r="AC456" s="436">
        <v>228474.10578381649</v>
      </c>
      <c r="AD456" s="436">
        <v>0</v>
      </c>
      <c r="AE456" s="436">
        <v>4888615.928123828</v>
      </c>
      <c r="AF456" s="436">
        <v>1373709.4487999985</v>
      </c>
      <c r="AG456" s="436">
        <v>-16624581.7767426</v>
      </c>
      <c r="AH456" s="436">
        <v>-2910478.9345000004</v>
      </c>
      <c r="AI456" s="436">
        <v>-3517218.4158999999</v>
      </c>
      <c r="AJ456" s="436">
        <v>-16175522.572112106</v>
      </c>
      <c r="AK456" s="436">
        <v>0</v>
      </c>
      <c r="AL456" s="436">
        <v>-8102989.6878311252</v>
      </c>
      <c r="AM456" s="436">
        <v>-109020</v>
      </c>
      <c r="AN456" s="436">
        <v>-5924999.9999999627</v>
      </c>
      <c r="AO456" s="436">
        <v>-444846.3825050923</v>
      </c>
      <c r="AP456" s="444">
        <v>-2006100.9934268999</v>
      </c>
      <c r="AQ456" s="436">
        <v>0</v>
      </c>
      <c r="AR456" s="436">
        <v>0</v>
      </c>
      <c r="AS456" s="436">
        <v>0</v>
      </c>
      <c r="AT456" s="436">
        <v>0</v>
      </c>
      <c r="AU456" s="436">
        <v>0</v>
      </c>
      <c r="AV456" s="436">
        <v>-109193701.3612794</v>
      </c>
      <c r="AW456" s="436">
        <v>0</v>
      </c>
      <c r="AX456" s="436">
        <v>-806862.43018333323</v>
      </c>
      <c r="AY456" s="436">
        <v>2105588.504932377</v>
      </c>
      <c r="AZ456" s="436">
        <v>0</v>
      </c>
      <c r="BA456" s="436">
        <v>4194471.6992107397</v>
      </c>
      <c r="BB456" s="436">
        <v>0</v>
      </c>
      <c r="BC456" s="436">
        <v>0</v>
      </c>
      <c r="BD456" s="436">
        <v>0</v>
      </c>
      <c r="BE456" s="436">
        <v>-687531.06917020504</v>
      </c>
      <c r="BF456" s="436">
        <v>-1203226.320895575</v>
      </c>
      <c r="BG456" s="436">
        <v>-179535703.40697598</v>
      </c>
      <c r="BH456" s="436">
        <v>-83596979.748764038</v>
      </c>
      <c r="BI456" s="82"/>
      <c r="BK456" s="82"/>
    </row>
    <row r="457" spans="2:63" x14ac:dyDescent="0.25">
      <c r="B457" s="437" t="s">
        <v>167</v>
      </c>
      <c r="C457" s="442" t="s">
        <v>169</v>
      </c>
      <c r="D457" s="323">
        <v>6555542930.3883753</v>
      </c>
      <c r="E457" s="323">
        <v>0</v>
      </c>
      <c r="F457" s="323">
        <v>0</v>
      </c>
      <c r="G457" s="323">
        <v>0</v>
      </c>
      <c r="H457" s="323">
        <v>0</v>
      </c>
      <c r="I457" s="323">
        <v>0</v>
      </c>
      <c r="J457" s="323">
        <v>0</v>
      </c>
      <c r="K457" s="323">
        <v>0</v>
      </c>
      <c r="L457" s="323">
        <v>0</v>
      </c>
      <c r="M457" s="323">
        <v>0</v>
      </c>
      <c r="N457" s="323">
        <v>0</v>
      </c>
      <c r="O457" s="323">
        <v>0</v>
      </c>
      <c r="P457" s="323">
        <v>0</v>
      </c>
      <c r="Q457" s="323">
        <v>0</v>
      </c>
      <c r="R457" s="323">
        <v>0</v>
      </c>
      <c r="S457" s="323">
        <v>0</v>
      </c>
      <c r="T457" s="323">
        <v>0</v>
      </c>
      <c r="U457" s="323">
        <v>0</v>
      </c>
      <c r="V457" s="323">
        <v>0</v>
      </c>
      <c r="W457" s="323">
        <v>0</v>
      </c>
      <c r="X457" s="323">
        <v>0</v>
      </c>
      <c r="Y457" s="323">
        <v>0</v>
      </c>
      <c r="Z457" s="323">
        <v>0</v>
      </c>
      <c r="AA457" s="323">
        <v>0</v>
      </c>
      <c r="AB457" s="323">
        <v>0</v>
      </c>
      <c r="AC457" s="323">
        <v>0</v>
      </c>
      <c r="AD457" s="323">
        <v>0</v>
      </c>
      <c r="AE457" s="323">
        <v>-184969861.88016725</v>
      </c>
      <c r="AF457" s="323">
        <v>1611738.4900000002</v>
      </c>
      <c r="AG457" s="323">
        <v>140816957.66638008</v>
      </c>
      <c r="AH457" s="323">
        <v>58445474.00000003</v>
      </c>
      <c r="AI457" s="323">
        <v>22762120.34999986</v>
      </c>
      <c r="AJ457" s="323">
        <v>32162788.986010209</v>
      </c>
      <c r="AK457" s="323">
        <v>0</v>
      </c>
      <c r="AL457" s="323">
        <v>0</v>
      </c>
      <c r="AM457" s="323">
        <v>0</v>
      </c>
      <c r="AN457" s="323">
        <v>-2962499.9999999814</v>
      </c>
      <c r="AO457" s="323">
        <v>0</v>
      </c>
      <c r="AP457" s="445">
        <v>0</v>
      </c>
      <c r="AQ457" s="323">
        <v>0</v>
      </c>
      <c r="AR457" s="323">
        <v>0</v>
      </c>
      <c r="AS457" s="323">
        <v>0</v>
      </c>
      <c r="AT457" s="323">
        <v>0</v>
      </c>
      <c r="AU457" s="323">
        <v>0</v>
      </c>
      <c r="AV457" s="323">
        <v>0</v>
      </c>
      <c r="AW457" s="323">
        <v>42899.142500001064</v>
      </c>
      <c r="AX457" s="323">
        <v>0</v>
      </c>
      <c r="AY457" s="323">
        <v>-13998573.029924475</v>
      </c>
      <c r="AZ457" s="323">
        <v>0</v>
      </c>
      <c r="BA457" s="323">
        <v>0</v>
      </c>
      <c r="BB457" s="323">
        <v>0</v>
      </c>
      <c r="BC457" s="323">
        <v>-2880746.5800000113</v>
      </c>
      <c r="BD457" s="323">
        <v>0</v>
      </c>
      <c r="BE457" s="323">
        <v>-170475.97229999999</v>
      </c>
      <c r="BF457" s="323">
        <v>0</v>
      </c>
      <c r="BG457" s="323">
        <v>50859821.172498472</v>
      </c>
      <c r="BH457" s="323">
        <v>6606402751.560873</v>
      </c>
      <c r="BI457" s="82"/>
      <c r="BK457" s="82"/>
    </row>
    <row r="458" spans="2:63" x14ac:dyDescent="0.25">
      <c r="B458" s="439" t="s">
        <v>153</v>
      </c>
      <c r="C458" s="443" t="s">
        <v>169</v>
      </c>
      <c r="D458" s="323">
        <v>540370262.49228799</v>
      </c>
      <c r="E458" s="323">
        <v>-7813731.2555167684</v>
      </c>
      <c r="F458" s="323">
        <v>0</v>
      </c>
      <c r="G458" s="323">
        <v>0</v>
      </c>
      <c r="H458" s="323">
        <v>-606417.84376428241</v>
      </c>
      <c r="I458" s="323">
        <v>-1113672.2305203462</v>
      </c>
      <c r="J458" s="323">
        <v>0</v>
      </c>
      <c r="K458" s="323">
        <v>0</v>
      </c>
      <c r="L458" s="323">
        <v>0</v>
      </c>
      <c r="M458" s="323">
        <v>0</v>
      </c>
      <c r="N458" s="323">
        <v>0</v>
      </c>
      <c r="O458" s="323">
        <v>93241.326993481052</v>
      </c>
      <c r="P458" s="323">
        <v>0</v>
      </c>
      <c r="Q458" s="323">
        <v>0</v>
      </c>
      <c r="R458" s="323">
        <v>0</v>
      </c>
      <c r="S458" s="323">
        <v>-21450.928574696303</v>
      </c>
      <c r="T458" s="323">
        <v>0</v>
      </c>
      <c r="U458" s="323">
        <v>0</v>
      </c>
      <c r="V458" s="323">
        <v>0</v>
      </c>
      <c r="W458" s="323">
        <v>0</v>
      </c>
      <c r="X458" s="323">
        <v>0</v>
      </c>
      <c r="Y458" s="323">
        <v>0</v>
      </c>
      <c r="Z458" s="323">
        <v>32078038.388330385</v>
      </c>
      <c r="AA458" s="323">
        <v>0</v>
      </c>
      <c r="AB458" s="323">
        <v>10187095.378382446</v>
      </c>
      <c r="AC458" s="323">
        <v>-304419.85893012804</v>
      </c>
      <c r="AD458" s="323">
        <v>0</v>
      </c>
      <c r="AE458" s="323">
        <v>-25367390.955315989</v>
      </c>
      <c r="AF458" s="323">
        <v>-1666053.4777948158</v>
      </c>
      <c r="AG458" s="323">
        <v>36503983.273291655</v>
      </c>
      <c r="AH458" s="323">
        <v>9835218.5016315319</v>
      </c>
      <c r="AI458" s="323">
        <v>7006474.9816794265</v>
      </c>
      <c r="AJ458" s="323">
        <v>24830652.664264631</v>
      </c>
      <c r="AK458" s="323">
        <v>0</v>
      </c>
      <c r="AL458" s="323">
        <v>10796457.520730376</v>
      </c>
      <c r="AM458" s="323">
        <v>145258.7062621665</v>
      </c>
      <c r="AN458" s="323">
        <v>7592530.4754150966</v>
      </c>
      <c r="AO458" s="323">
        <v>592715.18994766613</v>
      </c>
      <c r="AP458" s="445">
        <v>2672937.3962248988</v>
      </c>
      <c r="AQ458" s="323">
        <v>0</v>
      </c>
      <c r="AR458" s="323">
        <v>0</v>
      </c>
      <c r="AS458" s="323">
        <v>0</v>
      </c>
      <c r="AT458" s="323">
        <v>0</v>
      </c>
      <c r="AU458" s="323">
        <v>0</v>
      </c>
      <c r="AV458" s="323">
        <v>145490146.68608344</v>
      </c>
      <c r="AW458" s="323">
        <v>4372.663331103885</v>
      </c>
      <c r="AX458" s="323">
        <v>1075066.893597309</v>
      </c>
      <c r="AY458" s="323">
        <v>-4232354.4271416049</v>
      </c>
      <c r="AZ458" s="323">
        <v>0</v>
      </c>
      <c r="BA458" s="323">
        <v>-5588731.72335923</v>
      </c>
      <c r="BB458" s="323">
        <v>0</v>
      </c>
      <c r="BC458" s="323">
        <v>-293631.39220250526</v>
      </c>
      <c r="BD458" s="323">
        <v>0</v>
      </c>
      <c r="BE458" s="323">
        <v>898692.85456842103</v>
      </c>
      <c r="BF458" s="323">
        <v>1603183.8076855405</v>
      </c>
      <c r="BG458" s="323">
        <v>244398212.6152992</v>
      </c>
      <c r="BH458" s="323">
        <v>784768475.10758591</v>
      </c>
      <c r="BI458" s="82"/>
      <c r="BK458" s="82"/>
    </row>
    <row r="459" spans="2:63" x14ac:dyDescent="0.25">
      <c r="B459" s="434" t="s">
        <v>166</v>
      </c>
      <c r="C459" s="441" t="s">
        <v>170</v>
      </c>
      <c r="D459" s="436">
        <v>-83596979.748764038</v>
      </c>
      <c r="E459" s="436">
        <v>20437052.072853372</v>
      </c>
      <c r="F459" s="436">
        <v>0</v>
      </c>
      <c r="G459" s="436">
        <v>0</v>
      </c>
      <c r="H459" s="436">
        <v>560044.45140025904</v>
      </c>
      <c r="I459" s="436">
        <v>3921908.0189300617</v>
      </c>
      <c r="J459" s="436">
        <v>0</v>
      </c>
      <c r="K459" s="436">
        <v>0</v>
      </c>
      <c r="L459" s="436">
        <v>0</v>
      </c>
      <c r="M459" s="436">
        <v>0</v>
      </c>
      <c r="N459" s="436">
        <v>0</v>
      </c>
      <c r="O459" s="436">
        <v>-4069.3607009257348</v>
      </c>
      <c r="P459" s="436">
        <v>0</v>
      </c>
      <c r="Q459" s="436">
        <v>0</v>
      </c>
      <c r="R459" s="436">
        <v>0</v>
      </c>
      <c r="S459" s="436">
        <v>0</v>
      </c>
      <c r="T459" s="436">
        <v>0</v>
      </c>
      <c r="U459" s="436">
        <v>0</v>
      </c>
      <c r="V459" s="436">
        <v>0</v>
      </c>
      <c r="W459" s="436">
        <v>0</v>
      </c>
      <c r="X459" s="436">
        <v>0</v>
      </c>
      <c r="Y459" s="436">
        <v>0</v>
      </c>
      <c r="Z459" s="436">
        <v>-16378519.056668101</v>
      </c>
      <c r="AA459" s="436">
        <v>0</v>
      </c>
      <c r="AB459" s="436">
        <v>0</v>
      </c>
      <c r="AC459" s="436">
        <v>391700.98369999998</v>
      </c>
      <c r="AD459" s="436">
        <v>0</v>
      </c>
      <c r="AE459" s="436">
        <v>17358777.87647894</v>
      </c>
      <c r="AF459" s="436">
        <v>1373709.4488000064</v>
      </c>
      <c r="AG459" s="436">
        <v>-20647116.146404609</v>
      </c>
      <c r="AH459" s="436">
        <v>-3227884.0601000004</v>
      </c>
      <c r="AI459" s="436">
        <v>-8420360.875585597</v>
      </c>
      <c r="AJ459" s="436">
        <v>-23599334.294725846</v>
      </c>
      <c r="AK459" s="436">
        <v>0</v>
      </c>
      <c r="AL459" s="436">
        <v>0</v>
      </c>
      <c r="AM459" s="436">
        <v>0</v>
      </c>
      <c r="AN459" s="436">
        <v>0</v>
      </c>
      <c r="AO459" s="436">
        <v>-15569.623387678046</v>
      </c>
      <c r="AP459" s="444">
        <v>-1002479.2559571001</v>
      </c>
      <c r="AQ459" s="436">
        <v>0</v>
      </c>
      <c r="AR459" s="436">
        <v>0</v>
      </c>
      <c r="AS459" s="436">
        <v>0</v>
      </c>
      <c r="AT459" s="436">
        <v>0</v>
      </c>
      <c r="AU459" s="436">
        <v>0</v>
      </c>
      <c r="AV459" s="436">
        <v>-25931610.489735454</v>
      </c>
      <c r="AW459" s="436">
        <v>0</v>
      </c>
      <c r="AX459" s="436">
        <v>0</v>
      </c>
      <c r="AY459" s="436">
        <v>6991937.3692966523</v>
      </c>
      <c r="AZ459" s="436">
        <v>0</v>
      </c>
      <c r="BA459" s="436">
        <v>7839374.2828592705</v>
      </c>
      <c r="BB459" s="436">
        <v>0</v>
      </c>
      <c r="BC459" s="436">
        <v>1.1175870895385742E-8</v>
      </c>
      <c r="BD459" s="436">
        <v>0</v>
      </c>
      <c r="BE459" s="436">
        <v>0</v>
      </c>
      <c r="BF459" s="436">
        <v>0</v>
      </c>
      <c r="BG459" s="436">
        <v>-40352438.658946708</v>
      </c>
      <c r="BH459" s="436">
        <v>-123949418.40771055</v>
      </c>
      <c r="BI459" s="82"/>
      <c r="BK459" s="82"/>
    </row>
    <row r="460" spans="2:63" x14ac:dyDescent="0.25">
      <c r="B460" s="437" t="s">
        <v>167</v>
      </c>
      <c r="C460" s="442" t="s">
        <v>170</v>
      </c>
      <c r="D460" s="323">
        <v>6606402751.560873</v>
      </c>
      <c r="E460" s="323">
        <v>0</v>
      </c>
      <c r="F460" s="323">
        <v>0</v>
      </c>
      <c r="G460" s="323">
        <v>0</v>
      </c>
      <c r="H460" s="323">
        <v>0</v>
      </c>
      <c r="I460" s="323">
        <v>0</v>
      </c>
      <c r="J460" s="323">
        <v>0</v>
      </c>
      <c r="K460" s="323">
        <v>0</v>
      </c>
      <c r="L460" s="323">
        <v>0</v>
      </c>
      <c r="M460" s="323">
        <v>0</v>
      </c>
      <c r="N460" s="323">
        <v>0</v>
      </c>
      <c r="O460" s="323">
        <v>0</v>
      </c>
      <c r="P460" s="323">
        <v>0</v>
      </c>
      <c r="Q460" s="323">
        <v>0</v>
      </c>
      <c r="R460" s="323">
        <v>0</v>
      </c>
      <c r="S460" s="323">
        <v>0</v>
      </c>
      <c r="T460" s="323">
        <v>0</v>
      </c>
      <c r="U460" s="323">
        <v>0</v>
      </c>
      <c r="V460" s="323">
        <v>0</v>
      </c>
      <c r="W460" s="323">
        <v>0</v>
      </c>
      <c r="X460" s="323">
        <v>0</v>
      </c>
      <c r="Y460" s="323">
        <v>0</v>
      </c>
      <c r="Z460" s="323">
        <v>0</v>
      </c>
      <c r="AA460" s="323">
        <v>0</v>
      </c>
      <c r="AB460" s="323">
        <v>0</v>
      </c>
      <c r="AC460" s="323">
        <v>0</v>
      </c>
      <c r="AD460" s="323">
        <v>0</v>
      </c>
      <c r="AE460" s="323">
        <v>-352250228.54315853</v>
      </c>
      <c r="AF460" s="323">
        <v>4335624.6499999985</v>
      </c>
      <c r="AG460" s="323">
        <v>418971407.62234509</v>
      </c>
      <c r="AH460" s="323">
        <v>125773794.9999999</v>
      </c>
      <c r="AI460" s="323">
        <v>419038070.00017005</v>
      </c>
      <c r="AJ460" s="323">
        <v>230764921.507195</v>
      </c>
      <c r="AK460" s="323">
        <v>0</v>
      </c>
      <c r="AL460" s="323">
        <v>0</v>
      </c>
      <c r="AM460" s="323">
        <v>0</v>
      </c>
      <c r="AN460" s="323">
        <v>-5924999.9999999665</v>
      </c>
      <c r="AO460" s="323">
        <v>0</v>
      </c>
      <c r="AP460" s="445">
        <v>0</v>
      </c>
      <c r="AQ460" s="323">
        <v>0</v>
      </c>
      <c r="AR460" s="323">
        <v>0</v>
      </c>
      <c r="AS460" s="323">
        <v>0</v>
      </c>
      <c r="AT460" s="323">
        <v>0</v>
      </c>
      <c r="AU460" s="323">
        <v>0</v>
      </c>
      <c r="AV460" s="323">
        <v>0</v>
      </c>
      <c r="AW460" s="323">
        <v>42899.142500001384</v>
      </c>
      <c r="AX460" s="323">
        <v>0</v>
      </c>
      <c r="AY460" s="323">
        <v>-24066779.190046482</v>
      </c>
      <c r="AZ460" s="323">
        <v>0</v>
      </c>
      <c r="BA460" s="323">
        <v>0</v>
      </c>
      <c r="BB460" s="323">
        <v>0</v>
      </c>
      <c r="BC460" s="323">
        <v>-5761493.1600000188</v>
      </c>
      <c r="BD460" s="323">
        <v>0</v>
      </c>
      <c r="BE460" s="323">
        <v>-340951.94460000005</v>
      </c>
      <c r="BF460" s="323">
        <v>0</v>
      </c>
      <c r="BG460" s="323">
        <v>810582265.08440506</v>
      </c>
      <c r="BH460" s="323">
        <v>7416985016.6452789</v>
      </c>
      <c r="BI460" s="82"/>
      <c r="BK460" s="82"/>
    </row>
    <row r="461" spans="2:63" x14ac:dyDescent="0.25">
      <c r="B461" s="439" t="s">
        <v>153</v>
      </c>
      <c r="C461" s="443" t="s">
        <v>170</v>
      </c>
      <c r="D461" s="323">
        <v>784768475.10758591</v>
      </c>
      <c r="E461" s="323">
        <v>-27230414.088380195</v>
      </c>
      <c r="F461" s="323">
        <v>0</v>
      </c>
      <c r="G461" s="323">
        <v>0</v>
      </c>
      <c r="H461" s="323">
        <v>-746205.58117507258</v>
      </c>
      <c r="I461" s="323">
        <v>-5225566.7300403342</v>
      </c>
      <c r="J461" s="323">
        <v>0</v>
      </c>
      <c r="K461" s="323">
        <v>0</v>
      </c>
      <c r="L461" s="323">
        <v>0</v>
      </c>
      <c r="M461" s="323">
        <v>0</v>
      </c>
      <c r="N461" s="323">
        <v>0</v>
      </c>
      <c r="O461" s="323">
        <v>5422.0333033441138</v>
      </c>
      <c r="P461" s="323">
        <v>0</v>
      </c>
      <c r="Q461" s="323">
        <v>0</v>
      </c>
      <c r="R461" s="323">
        <v>0</v>
      </c>
      <c r="S461" s="323">
        <v>0</v>
      </c>
      <c r="T461" s="323">
        <v>0</v>
      </c>
      <c r="U461" s="323">
        <v>0</v>
      </c>
      <c r="V461" s="323">
        <v>0</v>
      </c>
      <c r="W461" s="323">
        <v>0</v>
      </c>
      <c r="X461" s="323">
        <v>0</v>
      </c>
      <c r="Y461" s="323">
        <v>0</v>
      </c>
      <c r="Z461" s="323">
        <v>21822807.63769811</v>
      </c>
      <c r="AA461" s="323">
        <v>0</v>
      </c>
      <c r="AB461" s="323">
        <v>0</v>
      </c>
      <c r="AC461" s="323">
        <v>-521904.03718473646</v>
      </c>
      <c r="AD461" s="323">
        <v>0</v>
      </c>
      <c r="AE461" s="323">
        <v>-60629149.455882497</v>
      </c>
      <c r="AF461" s="323">
        <v>-1368769.5637109142</v>
      </c>
      <c r="AG461" s="323">
        <v>72113621.588452294</v>
      </c>
      <c r="AH461" s="323">
        <v>17690610.788210344</v>
      </c>
      <c r="AI461" s="323">
        <v>55829738.287299901</v>
      </c>
      <c r="AJ461" s="323">
        <v>56010877.112561136</v>
      </c>
      <c r="AK461" s="323">
        <v>0</v>
      </c>
      <c r="AL461" s="323">
        <v>0</v>
      </c>
      <c r="AM461" s="323">
        <v>0</v>
      </c>
      <c r="AN461" s="323">
        <v>-630770.14295364334</v>
      </c>
      <c r="AO461" s="323">
        <v>20745.031648168071</v>
      </c>
      <c r="AP461" s="445">
        <v>1335707.5745274962</v>
      </c>
      <c r="AQ461" s="323">
        <v>0</v>
      </c>
      <c r="AR461" s="323">
        <v>0</v>
      </c>
      <c r="AS461" s="323">
        <v>0</v>
      </c>
      <c r="AT461" s="323">
        <v>0</v>
      </c>
      <c r="AU461" s="323">
        <v>0</v>
      </c>
      <c r="AV461" s="323">
        <v>34551386.819238655</v>
      </c>
      <c r="AW461" s="323">
        <v>4567.0039235974245</v>
      </c>
      <c r="AX461" s="323">
        <v>0</v>
      </c>
      <c r="AY461" s="323">
        <v>-11878214.294007465</v>
      </c>
      <c r="AZ461" s="323">
        <v>0</v>
      </c>
      <c r="BA461" s="323">
        <v>-10445215.247046752</v>
      </c>
      <c r="BB461" s="323">
        <v>0</v>
      </c>
      <c r="BC461" s="323">
        <v>-613363.35260080325</v>
      </c>
      <c r="BD461" s="323">
        <v>0</v>
      </c>
      <c r="BE461" s="323">
        <v>-36297.43575285501</v>
      </c>
      <c r="BF461" s="323">
        <v>0</v>
      </c>
      <c r="BG461" s="323">
        <v>140059613.94812778</v>
      </c>
      <c r="BH461" s="323">
        <v>954756244.9620707</v>
      </c>
      <c r="BI461" s="82"/>
      <c r="BK461" s="82"/>
    </row>
    <row r="462" spans="2:63" hidden="1" outlineLevel="1" x14ac:dyDescent="0.25">
      <c r="B462" s="434"/>
      <c r="C462" s="441"/>
      <c r="D462" s="435">
        <v>0</v>
      </c>
      <c r="E462" s="436">
        <v>0</v>
      </c>
      <c r="F462" s="436">
        <v>0</v>
      </c>
      <c r="G462" s="436">
        <v>0</v>
      </c>
      <c r="H462" s="436">
        <v>0</v>
      </c>
      <c r="I462" s="436">
        <v>0</v>
      </c>
      <c r="J462" s="436">
        <v>0</v>
      </c>
      <c r="K462" s="436">
        <v>0</v>
      </c>
      <c r="L462" s="436">
        <v>0</v>
      </c>
      <c r="M462" s="436">
        <v>0</v>
      </c>
      <c r="N462" s="436">
        <v>0</v>
      </c>
      <c r="O462" s="436">
        <v>0</v>
      </c>
      <c r="P462" s="436">
        <v>0</v>
      </c>
      <c r="Q462" s="436">
        <v>0</v>
      </c>
      <c r="R462" s="436">
        <v>0</v>
      </c>
      <c r="S462" s="436">
        <v>0</v>
      </c>
      <c r="T462" s="436">
        <v>0</v>
      </c>
      <c r="U462" s="436">
        <v>0</v>
      </c>
      <c r="V462" s="436">
        <v>0</v>
      </c>
      <c r="W462" s="436">
        <v>0</v>
      </c>
      <c r="X462" s="436">
        <v>0</v>
      </c>
      <c r="Y462" s="436">
        <v>0</v>
      </c>
      <c r="Z462" s="436">
        <v>0</v>
      </c>
      <c r="AA462" s="436">
        <v>0</v>
      </c>
      <c r="AB462" s="436">
        <v>0</v>
      </c>
      <c r="AC462" s="436">
        <v>0</v>
      </c>
      <c r="AD462" s="436">
        <v>0</v>
      </c>
      <c r="AE462" s="436">
        <v>0</v>
      </c>
      <c r="AF462" s="436">
        <v>0</v>
      </c>
      <c r="AG462" s="435">
        <v>0</v>
      </c>
      <c r="AH462" s="436">
        <v>0</v>
      </c>
      <c r="AI462" s="436">
        <v>0</v>
      </c>
      <c r="AJ462" s="436">
        <v>0</v>
      </c>
      <c r="AK462" s="436">
        <v>0</v>
      </c>
      <c r="AL462" s="436"/>
      <c r="AM462" s="436"/>
      <c r="AN462" s="436"/>
      <c r="AO462" s="436"/>
      <c r="AP462" s="436"/>
      <c r="AQ462" s="436"/>
      <c r="AR462" s="436"/>
      <c r="AS462" s="436"/>
      <c r="AT462" s="436"/>
      <c r="AU462" s="436"/>
      <c r="AV462" s="436"/>
      <c r="AW462" s="436">
        <v>0</v>
      </c>
      <c r="AX462" s="436">
        <v>0</v>
      </c>
      <c r="AY462" s="436">
        <v>0</v>
      </c>
      <c r="AZ462" s="436">
        <v>0</v>
      </c>
      <c r="BA462" s="436">
        <v>0</v>
      </c>
      <c r="BB462" s="436">
        <v>0</v>
      </c>
      <c r="BC462" s="436">
        <v>0</v>
      </c>
      <c r="BD462" s="436">
        <v>0</v>
      </c>
      <c r="BE462" s="436">
        <v>0</v>
      </c>
      <c r="BF462" s="436">
        <v>0</v>
      </c>
      <c r="BG462" s="436">
        <v>0</v>
      </c>
      <c r="BH462" s="446">
        <v>0</v>
      </c>
      <c r="BI462" s="82"/>
      <c r="BK462" s="82"/>
    </row>
    <row r="463" spans="2:63" hidden="1" outlineLevel="1" x14ac:dyDescent="0.25">
      <c r="B463" s="437"/>
      <c r="C463" s="442"/>
      <c r="D463" s="438">
        <v>0</v>
      </c>
      <c r="E463" s="447">
        <v>0</v>
      </c>
      <c r="F463" s="447">
        <v>0</v>
      </c>
      <c r="G463" s="447">
        <v>0</v>
      </c>
      <c r="H463" s="447">
        <v>0</v>
      </c>
      <c r="I463" s="447">
        <v>0</v>
      </c>
      <c r="J463" s="447">
        <v>0</v>
      </c>
      <c r="K463" s="447">
        <v>0</v>
      </c>
      <c r="L463" s="447">
        <v>0</v>
      </c>
      <c r="M463" s="447">
        <v>0</v>
      </c>
      <c r="N463" s="447">
        <v>0</v>
      </c>
      <c r="O463" s="447">
        <v>0</v>
      </c>
      <c r="P463" s="447">
        <v>0</v>
      </c>
      <c r="Q463" s="447">
        <v>0</v>
      </c>
      <c r="R463" s="447">
        <v>0</v>
      </c>
      <c r="S463" s="447">
        <v>0</v>
      </c>
      <c r="T463" s="447">
        <v>0</v>
      </c>
      <c r="U463" s="447">
        <v>0</v>
      </c>
      <c r="V463" s="447">
        <v>0</v>
      </c>
      <c r="W463" s="447">
        <v>0</v>
      </c>
      <c r="X463" s="447">
        <v>0</v>
      </c>
      <c r="Y463" s="447">
        <v>0</v>
      </c>
      <c r="Z463" s="447">
        <v>0</v>
      </c>
      <c r="AA463" s="447">
        <v>0</v>
      </c>
      <c r="AB463" s="447">
        <v>0</v>
      </c>
      <c r="AC463" s="447">
        <v>0</v>
      </c>
      <c r="AD463" s="447">
        <v>0</v>
      </c>
      <c r="AE463" s="447">
        <v>0</v>
      </c>
      <c r="AF463" s="447">
        <v>0</v>
      </c>
      <c r="AG463" s="438">
        <v>0</v>
      </c>
      <c r="AH463" s="447">
        <v>0</v>
      </c>
      <c r="AI463" s="447">
        <v>0</v>
      </c>
      <c r="AJ463" s="447">
        <v>0</v>
      </c>
      <c r="AK463" s="447">
        <v>0</v>
      </c>
      <c r="AL463" s="447"/>
      <c r="AM463" s="447"/>
      <c r="AN463" s="447"/>
      <c r="AO463" s="447"/>
      <c r="AP463" s="447"/>
      <c r="AQ463" s="447"/>
      <c r="AR463" s="447"/>
      <c r="AS463" s="447"/>
      <c r="AT463" s="447"/>
      <c r="AU463" s="447"/>
      <c r="AV463" s="447"/>
      <c r="AW463" s="447">
        <v>0</v>
      </c>
      <c r="AX463" s="447">
        <v>0</v>
      </c>
      <c r="AY463" s="447">
        <v>0</v>
      </c>
      <c r="AZ463" s="447">
        <v>0</v>
      </c>
      <c r="BA463" s="447">
        <v>0</v>
      </c>
      <c r="BB463" s="447">
        <v>0</v>
      </c>
      <c r="BC463" s="447">
        <v>0</v>
      </c>
      <c r="BD463" s="447">
        <v>0</v>
      </c>
      <c r="BE463" s="447">
        <v>0</v>
      </c>
      <c r="BF463" s="447">
        <v>0</v>
      </c>
      <c r="BG463" s="447">
        <v>0</v>
      </c>
      <c r="BH463" s="448">
        <v>0</v>
      </c>
      <c r="BI463" s="82"/>
      <c r="BK463" s="82"/>
    </row>
    <row r="464" spans="2:63" hidden="1" outlineLevel="1" x14ac:dyDescent="0.25">
      <c r="B464" s="439"/>
      <c r="C464" s="443"/>
      <c r="D464" s="438">
        <v>0</v>
      </c>
      <c r="E464" s="447">
        <v>0</v>
      </c>
      <c r="F464" s="447">
        <v>0</v>
      </c>
      <c r="G464" s="447">
        <v>0</v>
      </c>
      <c r="H464" s="447">
        <v>0</v>
      </c>
      <c r="I464" s="447">
        <v>0</v>
      </c>
      <c r="J464" s="447">
        <v>0</v>
      </c>
      <c r="K464" s="447">
        <v>0</v>
      </c>
      <c r="L464" s="447">
        <v>0</v>
      </c>
      <c r="M464" s="447">
        <v>0</v>
      </c>
      <c r="N464" s="447">
        <v>0</v>
      </c>
      <c r="O464" s="447">
        <v>0</v>
      </c>
      <c r="P464" s="447">
        <v>0</v>
      </c>
      <c r="Q464" s="447">
        <v>0</v>
      </c>
      <c r="R464" s="447">
        <v>0</v>
      </c>
      <c r="S464" s="447">
        <v>0</v>
      </c>
      <c r="T464" s="447">
        <v>0</v>
      </c>
      <c r="U464" s="447">
        <v>0</v>
      </c>
      <c r="V464" s="447">
        <v>0</v>
      </c>
      <c r="W464" s="447">
        <v>0</v>
      </c>
      <c r="X464" s="447">
        <v>0</v>
      </c>
      <c r="Y464" s="447">
        <v>0</v>
      </c>
      <c r="Z464" s="447">
        <v>0</v>
      </c>
      <c r="AA464" s="447">
        <v>0</v>
      </c>
      <c r="AB464" s="447">
        <v>0</v>
      </c>
      <c r="AC464" s="447">
        <v>0</v>
      </c>
      <c r="AD464" s="447">
        <v>0</v>
      </c>
      <c r="AE464" s="447">
        <v>0</v>
      </c>
      <c r="AF464" s="447">
        <v>0</v>
      </c>
      <c r="AG464" s="438">
        <v>0</v>
      </c>
      <c r="AH464" s="447">
        <v>0</v>
      </c>
      <c r="AI464" s="447">
        <v>0</v>
      </c>
      <c r="AJ464" s="447">
        <v>0</v>
      </c>
      <c r="AK464" s="447">
        <v>0</v>
      </c>
      <c r="AL464" s="447"/>
      <c r="AM464" s="447"/>
      <c r="AN464" s="447"/>
      <c r="AO464" s="447"/>
      <c r="AP464" s="447"/>
      <c r="AQ464" s="447"/>
      <c r="AR464" s="447"/>
      <c r="AS464" s="447"/>
      <c r="AT464" s="447"/>
      <c r="AU464" s="447"/>
      <c r="AV464" s="447"/>
      <c r="AW464" s="447">
        <v>0</v>
      </c>
      <c r="AX464" s="447">
        <v>0</v>
      </c>
      <c r="AY464" s="447">
        <v>0</v>
      </c>
      <c r="AZ464" s="447">
        <v>0</v>
      </c>
      <c r="BA464" s="447">
        <v>0</v>
      </c>
      <c r="BB464" s="447">
        <v>0</v>
      </c>
      <c r="BC464" s="447">
        <v>0</v>
      </c>
      <c r="BD464" s="447">
        <v>0</v>
      </c>
      <c r="BE464" s="447">
        <v>0</v>
      </c>
      <c r="BF464" s="447">
        <v>0</v>
      </c>
      <c r="BG464" s="447">
        <v>0</v>
      </c>
      <c r="BH464" s="448">
        <v>0</v>
      </c>
      <c r="BI464" s="82"/>
      <c r="BK464" s="82"/>
    </row>
    <row r="465" spans="2:63" hidden="1" outlineLevel="1" x14ac:dyDescent="0.25">
      <c r="B465" s="434"/>
      <c r="C465" s="441"/>
      <c r="D465" s="435">
        <v>0</v>
      </c>
      <c r="E465" s="436">
        <v>0</v>
      </c>
      <c r="F465" s="436">
        <v>0</v>
      </c>
      <c r="G465" s="436">
        <v>0</v>
      </c>
      <c r="H465" s="436">
        <v>0</v>
      </c>
      <c r="I465" s="436">
        <v>0</v>
      </c>
      <c r="J465" s="436">
        <v>0</v>
      </c>
      <c r="K465" s="436">
        <v>0</v>
      </c>
      <c r="L465" s="436">
        <v>0</v>
      </c>
      <c r="M465" s="436">
        <v>0</v>
      </c>
      <c r="N465" s="436">
        <v>0</v>
      </c>
      <c r="O465" s="436">
        <v>0</v>
      </c>
      <c r="P465" s="436">
        <v>0</v>
      </c>
      <c r="Q465" s="436">
        <v>0</v>
      </c>
      <c r="R465" s="436">
        <v>0</v>
      </c>
      <c r="S465" s="436">
        <v>0</v>
      </c>
      <c r="T465" s="436">
        <v>0</v>
      </c>
      <c r="U465" s="436">
        <v>0</v>
      </c>
      <c r="V465" s="436">
        <v>0</v>
      </c>
      <c r="W465" s="436">
        <v>0</v>
      </c>
      <c r="X465" s="436">
        <v>0</v>
      </c>
      <c r="Y465" s="436">
        <v>0</v>
      </c>
      <c r="Z465" s="436">
        <v>0</v>
      </c>
      <c r="AA465" s="436">
        <v>0</v>
      </c>
      <c r="AB465" s="436">
        <v>0</v>
      </c>
      <c r="AC465" s="436">
        <v>0</v>
      </c>
      <c r="AD465" s="436">
        <v>0</v>
      </c>
      <c r="AE465" s="436">
        <v>0</v>
      </c>
      <c r="AF465" s="436">
        <v>0</v>
      </c>
      <c r="AG465" s="435">
        <v>0</v>
      </c>
      <c r="AH465" s="436">
        <v>0</v>
      </c>
      <c r="AI465" s="436">
        <v>0</v>
      </c>
      <c r="AJ465" s="436">
        <v>0</v>
      </c>
      <c r="AK465" s="436">
        <v>0</v>
      </c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>
        <v>0</v>
      </c>
      <c r="AX465" s="436">
        <v>0</v>
      </c>
      <c r="AY465" s="436">
        <v>0</v>
      </c>
      <c r="AZ465" s="436">
        <v>0</v>
      </c>
      <c r="BA465" s="436">
        <v>0</v>
      </c>
      <c r="BB465" s="436">
        <v>0</v>
      </c>
      <c r="BC465" s="436">
        <v>0</v>
      </c>
      <c r="BD465" s="436">
        <v>0</v>
      </c>
      <c r="BE465" s="436">
        <v>0</v>
      </c>
      <c r="BF465" s="436">
        <v>0</v>
      </c>
      <c r="BG465" s="436">
        <v>0</v>
      </c>
      <c r="BH465" s="446">
        <v>0</v>
      </c>
      <c r="BI465" s="82"/>
      <c r="BK465" s="82"/>
    </row>
    <row r="466" spans="2:63" hidden="1" outlineLevel="1" x14ac:dyDescent="0.25">
      <c r="B466" s="437"/>
      <c r="C466" s="442"/>
      <c r="D466" s="438">
        <v>0</v>
      </c>
      <c r="E466" s="447">
        <v>0</v>
      </c>
      <c r="F466" s="447">
        <v>0</v>
      </c>
      <c r="G466" s="447">
        <v>0</v>
      </c>
      <c r="H466" s="447">
        <v>0</v>
      </c>
      <c r="I466" s="447">
        <v>0</v>
      </c>
      <c r="J466" s="447">
        <v>0</v>
      </c>
      <c r="K466" s="447">
        <v>0</v>
      </c>
      <c r="L466" s="447">
        <v>0</v>
      </c>
      <c r="M466" s="447">
        <v>0</v>
      </c>
      <c r="N466" s="447">
        <v>0</v>
      </c>
      <c r="O466" s="447">
        <v>0</v>
      </c>
      <c r="P466" s="447">
        <v>0</v>
      </c>
      <c r="Q466" s="447">
        <v>0</v>
      </c>
      <c r="R466" s="447">
        <v>0</v>
      </c>
      <c r="S466" s="447">
        <v>0</v>
      </c>
      <c r="T466" s="447">
        <v>0</v>
      </c>
      <c r="U466" s="447">
        <v>0</v>
      </c>
      <c r="V466" s="447">
        <v>0</v>
      </c>
      <c r="W466" s="447">
        <v>0</v>
      </c>
      <c r="X466" s="447">
        <v>0</v>
      </c>
      <c r="Y466" s="447">
        <v>0</v>
      </c>
      <c r="Z466" s="447">
        <v>0</v>
      </c>
      <c r="AA466" s="447">
        <v>0</v>
      </c>
      <c r="AB466" s="447">
        <v>0</v>
      </c>
      <c r="AC466" s="447">
        <v>0</v>
      </c>
      <c r="AD466" s="447">
        <v>0</v>
      </c>
      <c r="AE466" s="447">
        <v>0</v>
      </c>
      <c r="AF466" s="447">
        <v>0</v>
      </c>
      <c r="AG466" s="438">
        <v>0</v>
      </c>
      <c r="AH466" s="447">
        <v>0</v>
      </c>
      <c r="AI466" s="447">
        <v>0</v>
      </c>
      <c r="AJ466" s="447">
        <v>0</v>
      </c>
      <c r="AK466" s="447">
        <v>0</v>
      </c>
      <c r="AL466" s="447"/>
      <c r="AM466" s="447"/>
      <c r="AN466" s="447"/>
      <c r="AO466" s="447"/>
      <c r="AP466" s="447"/>
      <c r="AQ466" s="447"/>
      <c r="AR466" s="447"/>
      <c r="AS466" s="447"/>
      <c r="AT466" s="447"/>
      <c r="AU466" s="447"/>
      <c r="AV466" s="447"/>
      <c r="AW466" s="447">
        <v>0</v>
      </c>
      <c r="AX466" s="447">
        <v>0</v>
      </c>
      <c r="AY466" s="447">
        <v>0</v>
      </c>
      <c r="AZ466" s="447">
        <v>0</v>
      </c>
      <c r="BA466" s="447">
        <v>0</v>
      </c>
      <c r="BB466" s="447">
        <v>0</v>
      </c>
      <c r="BC466" s="447">
        <v>0</v>
      </c>
      <c r="BD466" s="447">
        <v>0</v>
      </c>
      <c r="BE466" s="447">
        <v>0</v>
      </c>
      <c r="BF466" s="447">
        <v>0</v>
      </c>
      <c r="BG466" s="447">
        <v>0</v>
      </c>
      <c r="BH466" s="448">
        <v>0</v>
      </c>
      <c r="BI466" s="82"/>
      <c r="BK466" s="82"/>
    </row>
    <row r="467" spans="2:63" hidden="1" outlineLevel="1" x14ac:dyDescent="0.25">
      <c r="B467" s="439"/>
      <c r="C467" s="443"/>
      <c r="D467" s="438">
        <v>0</v>
      </c>
      <c r="E467" s="447">
        <v>0</v>
      </c>
      <c r="F467" s="447">
        <v>0</v>
      </c>
      <c r="G467" s="447">
        <v>0</v>
      </c>
      <c r="H467" s="447">
        <v>0</v>
      </c>
      <c r="I467" s="447">
        <v>0</v>
      </c>
      <c r="J467" s="447">
        <v>0</v>
      </c>
      <c r="K467" s="447">
        <v>0</v>
      </c>
      <c r="L467" s="447">
        <v>0</v>
      </c>
      <c r="M467" s="447">
        <v>0</v>
      </c>
      <c r="N467" s="447">
        <v>0</v>
      </c>
      <c r="O467" s="447">
        <v>0</v>
      </c>
      <c r="P467" s="447">
        <v>0</v>
      </c>
      <c r="Q467" s="447">
        <v>0</v>
      </c>
      <c r="R467" s="447">
        <v>0</v>
      </c>
      <c r="S467" s="447">
        <v>0</v>
      </c>
      <c r="T467" s="447">
        <v>0</v>
      </c>
      <c r="U467" s="447">
        <v>0</v>
      </c>
      <c r="V467" s="447">
        <v>0</v>
      </c>
      <c r="W467" s="447">
        <v>0</v>
      </c>
      <c r="X467" s="447">
        <v>0</v>
      </c>
      <c r="Y467" s="447">
        <v>0</v>
      </c>
      <c r="Z467" s="447">
        <v>0</v>
      </c>
      <c r="AA467" s="447">
        <v>0</v>
      </c>
      <c r="AB467" s="447">
        <v>0</v>
      </c>
      <c r="AC467" s="447">
        <v>0</v>
      </c>
      <c r="AD467" s="447">
        <v>0</v>
      </c>
      <c r="AE467" s="447">
        <v>0</v>
      </c>
      <c r="AF467" s="447">
        <v>0</v>
      </c>
      <c r="AG467" s="438">
        <v>0</v>
      </c>
      <c r="AH467" s="447">
        <v>0</v>
      </c>
      <c r="AI467" s="447">
        <v>0</v>
      </c>
      <c r="AJ467" s="447">
        <v>0</v>
      </c>
      <c r="AK467" s="447">
        <v>0</v>
      </c>
      <c r="AL467" s="447"/>
      <c r="AM467" s="447"/>
      <c r="AN467" s="447"/>
      <c r="AO467" s="447"/>
      <c r="AP467" s="447"/>
      <c r="AQ467" s="447"/>
      <c r="AR467" s="447"/>
      <c r="AS467" s="447"/>
      <c r="AT467" s="447"/>
      <c r="AU467" s="447"/>
      <c r="AV467" s="447"/>
      <c r="AW467" s="447">
        <v>0</v>
      </c>
      <c r="AX467" s="447">
        <v>0</v>
      </c>
      <c r="AY467" s="447">
        <v>0</v>
      </c>
      <c r="AZ467" s="447">
        <v>0</v>
      </c>
      <c r="BA467" s="447">
        <v>0</v>
      </c>
      <c r="BB467" s="447">
        <v>0</v>
      </c>
      <c r="BC467" s="447">
        <v>0</v>
      </c>
      <c r="BD467" s="447">
        <v>0</v>
      </c>
      <c r="BE467" s="447">
        <v>0</v>
      </c>
      <c r="BF467" s="447">
        <v>0</v>
      </c>
      <c r="BG467" s="447">
        <v>0</v>
      </c>
      <c r="BH467" s="448">
        <v>0</v>
      </c>
      <c r="BI467" s="82"/>
      <c r="BK467" s="82"/>
    </row>
    <row r="468" spans="2:63" collapsed="1" x14ac:dyDescent="0.25">
      <c r="B468" s="432" t="s">
        <v>171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3"/>
      <c r="Z468" s="433"/>
      <c r="AA468" s="433"/>
      <c r="AB468" s="433"/>
      <c r="AC468" s="433"/>
      <c r="AD468" s="433"/>
      <c r="AE468" s="433"/>
      <c r="AF468" s="433"/>
      <c r="AG468" s="433"/>
      <c r="AH468" s="433"/>
      <c r="AI468" s="433"/>
      <c r="AJ468" s="433"/>
      <c r="AK468" s="433"/>
      <c r="AL468" s="433"/>
      <c r="AM468" s="433"/>
      <c r="AN468" s="433"/>
      <c r="AO468" s="433"/>
      <c r="AP468" s="433"/>
      <c r="AQ468" s="433"/>
      <c r="AR468" s="433"/>
      <c r="AS468" s="433"/>
      <c r="AT468" s="433"/>
      <c r="AU468" s="433"/>
      <c r="AV468" s="433"/>
      <c r="AW468" s="433"/>
      <c r="AX468" s="433"/>
      <c r="AY468" s="433"/>
      <c r="AZ468" s="433"/>
      <c r="BA468" s="433"/>
      <c r="BB468" s="433"/>
      <c r="BC468" s="433"/>
      <c r="BD468" s="433"/>
      <c r="BE468" s="433"/>
      <c r="BF468" s="433"/>
      <c r="BG468" s="433"/>
      <c r="BH468" s="433"/>
      <c r="BI468" s="82"/>
      <c r="BK468" s="82"/>
    </row>
    <row r="469" spans="2:63" x14ac:dyDescent="0.25">
      <c r="B469" s="449" t="s">
        <v>166</v>
      </c>
      <c r="C469" s="450" t="s">
        <v>143</v>
      </c>
      <c r="D469" s="451">
        <f t="shared" ref="D469:AI469" si="121">+D47</f>
        <v>311728415.28999996</v>
      </c>
      <c r="E469" s="452">
        <f t="shared" si="121"/>
        <v>75591217.506147563</v>
      </c>
      <c r="F469" s="452">
        <f t="shared" si="121"/>
        <v>-121458.45224589109</v>
      </c>
      <c r="G469" s="452">
        <f t="shared" si="121"/>
        <v>-45679111.89642968</v>
      </c>
      <c r="H469" s="452">
        <f t="shared" si="121"/>
        <v>2711360.7719267979</v>
      </c>
      <c r="I469" s="452">
        <f t="shared" si="121"/>
        <v>30881913.7943177</v>
      </c>
      <c r="J469" s="452">
        <f t="shared" si="121"/>
        <v>359714.48081359779</v>
      </c>
      <c r="K469" s="452">
        <f t="shared" si="121"/>
        <v>179028.76622970021</v>
      </c>
      <c r="L469" s="452">
        <f t="shared" si="121"/>
        <v>-21645.139784809799</v>
      </c>
      <c r="M469" s="452">
        <f t="shared" si="121"/>
        <v>35900.509910939894</v>
      </c>
      <c r="N469" s="452">
        <f t="shared" si="121"/>
        <v>131970.01726178749</v>
      </c>
      <c r="O469" s="452">
        <f t="shared" si="121"/>
        <v>3219883.4385292572</v>
      </c>
      <c r="P469" s="452">
        <f t="shared" si="121"/>
        <v>-397201.36744354269</v>
      </c>
      <c r="Q469" s="452">
        <f t="shared" si="121"/>
        <v>-131317.93692733094</v>
      </c>
      <c r="R469" s="452">
        <f t="shared" si="121"/>
        <v>-818378.23092293227</v>
      </c>
      <c r="S469" s="452">
        <f t="shared" si="121"/>
        <v>-1161336.9166999999</v>
      </c>
      <c r="T469" s="452">
        <f t="shared" si="121"/>
        <v>18267.632184394755</v>
      </c>
      <c r="U469" s="452">
        <f t="shared" si="121"/>
        <v>-2936475.9187557171</v>
      </c>
      <c r="V469" s="452">
        <f t="shared" si="121"/>
        <v>-6595418.7965601254</v>
      </c>
      <c r="W469" s="452">
        <f t="shared" si="121"/>
        <v>0</v>
      </c>
      <c r="X469" s="452">
        <f t="shared" si="121"/>
        <v>3150854.0515157296</v>
      </c>
      <c r="Y469" s="452">
        <f t="shared" si="121"/>
        <v>-2412351.6838164986</v>
      </c>
      <c r="Z469" s="452">
        <f t="shared" si="121"/>
        <v>0</v>
      </c>
      <c r="AA469" s="452">
        <f t="shared" si="121"/>
        <v>0</v>
      </c>
      <c r="AB469" s="452">
        <f t="shared" si="121"/>
        <v>-5799601.692368486</v>
      </c>
      <c r="AC469" s="452">
        <f t="shared" si="121"/>
        <v>-42170.084930424709</v>
      </c>
      <c r="AD469" s="452">
        <f t="shared" si="121"/>
        <v>0</v>
      </c>
      <c r="AE469" s="452">
        <f t="shared" si="121"/>
        <v>0</v>
      </c>
      <c r="AF469" s="452">
        <f t="shared" si="121"/>
        <v>0</v>
      </c>
      <c r="AG469" s="452">
        <f t="shared" si="121"/>
        <v>0</v>
      </c>
      <c r="AH469" s="452">
        <f t="shared" si="121"/>
        <v>0</v>
      </c>
      <c r="AI469" s="452">
        <f t="shared" si="121"/>
        <v>0</v>
      </c>
      <c r="AJ469" s="452">
        <f t="shared" ref="AJ469:BH469" si="122">+AJ47</f>
        <v>0</v>
      </c>
      <c r="AK469" s="452">
        <f t="shared" si="122"/>
        <v>-74914559.225866452</v>
      </c>
      <c r="AL469" s="452">
        <f t="shared" si="122"/>
        <v>-4296288.3866999997</v>
      </c>
      <c r="AM469" s="452">
        <f t="shared" si="122"/>
        <v>101020.46</v>
      </c>
      <c r="AN469" s="452">
        <f t="shared" si="122"/>
        <v>-109575.52009999999</v>
      </c>
      <c r="AO469" s="452">
        <f t="shared" si="122"/>
        <v>0</v>
      </c>
      <c r="AP469" s="452">
        <f t="shared" si="122"/>
        <v>0</v>
      </c>
      <c r="AQ469" s="452">
        <f t="shared" si="122"/>
        <v>0</v>
      </c>
      <c r="AR469" s="452">
        <f t="shared" si="122"/>
        <v>0</v>
      </c>
      <c r="AS469" s="452">
        <f t="shared" si="122"/>
        <v>0</v>
      </c>
      <c r="AT469" s="452">
        <f t="shared" si="122"/>
        <v>0</v>
      </c>
      <c r="AU469" s="452">
        <f t="shared" si="122"/>
        <v>0</v>
      </c>
      <c r="AV469" s="452">
        <f t="shared" si="122"/>
        <v>902858.30223612313</v>
      </c>
      <c r="AW469" s="452">
        <f t="shared" si="122"/>
        <v>173457.14</v>
      </c>
      <c r="AX469" s="452">
        <f t="shared" si="122"/>
        <v>-1159982.6275999988</v>
      </c>
      <c r="AY469" s="452">
        <f t="shared" si="122"/>
        <v>0</v>
      </c>
      <c r="AZ469" s="452">
        <f t="shared" si="122"/>
        <v>93226.762399999992</v>
      </c>
      <c r="BA469" s="452">
        <f t="shared" si="122"/>
        <v>-5160771.7353853295</v>
      </c>
      <c r="BB469" s="452">
        <f t="shared" si="122"/>
        <v>28347227.552052096</v>
      </c>
      <c r="BC469" s="452">
        <f t="shared" si="122"/>
        <v>698603.46220001741</v>
      </c>
      <c r="BD469" s="452">
        <f t="shared" si="122"/>
        <v>-1008.4295899425633</v>
      </c>
      <c r="BE469" s="452">
        <f t="shared" si="122"/>
        <v>0</v>
      </c>
      <c r="BF469" s="452">
        <f t="shared" si="122"/>
        <v>-1668807.7144438999</v>
      </c>
      <c r="BG469" s="452">
        <f t="shared" si="122"/>
        <v>-6830957.1088452935</v>
      </c>
      <c r="BH469" s="452">
        <f t="shared" si="122"/>
        <v>304897458.18115425</v>
      </c>
      <c r="BI469" s="82"/>
      <c r="BK469" s="82"/>
    </row>
    <row r="470" spans="2:63" x14ac:dyDescent="0.25">
      <c r="B470" s="453" t="s">
        <v>167</v>
      </c>
      <c r="C470" s="454" t="s">
        <v>143</v>
      </c>
      <c r="D470" s="455">
        <f t="shared" ref="D470:AI470" si="123">+D49</f>
        <v>5583764449.6288252</v>
      </c>
      <c r="E470" s="454">
        <f t="shared" si="123"/>
        <v>0</v>
      </c>
      <c r="F470" s="454">
        <f t="shared" si="123"/>
        <v>0</v>
      </c>
      <c r="G470" s="454">
        <f t="shared" si="123"/>
        <v>0</v>
      </c>
      <c r="H470" s="454">
        <f t="shared" si="123"/>
        <v>0</v>
      </c>
      <c r="I470" s="454">
        <f t="shared" si="123"/>
        <v>0</v>
      </c>
      <c r="J470" s="454">
        <f t="shared" si="123"/>
        <v>0</v>
      </c>
      <c r="K470" s="454">
        <f t="shared" si="123"/>
        <v>0</v>
      </c>
      <c r="L470" s="454">
        <f t="shared" si="123"/>
        <v>0</v>
      </c>
      <c r="M470" s="454">
        <f t="shared" si="123"/>
        <v>0</v>
      </c>
      <c r="N470" s="454">
        <f t="shared" si="123"/>
        <v>0</v>
      </c>
      <c r="O470" s="454">
        <f t="shared" si="123"/>
        <v>0</v>
      </c>
      <c r="P470" s="454">
        <f t="shared" si="123"/>
        <v>0</v>
      </c>
      <c r="Q470" s="454">
        <f t="shared" si="123"/>
        <v>0</v>
      </c>
      <c r="R470" s="454">
        <f t="shared" si="123"/>
        <v>0</v>
      </c>
      <c r="S470" s="454">
        <f t="shared" si="123"/>
        <v>0</v>
      </c>
      <c r="T470" s="454">
        <f t="shared" si="123"/>
        <v>0</v>
      </c>
      <c r="U470" s="454">
        <f t="shared" si="123"/>
        <v>0</v>
      </c>
      <c r="V470" s="454">
        <f t="shared" si="123"/>
        <v>0</v>
      </c>
      <c r="W470" s="454">
        <f t="shared" si="123"/>
        <v>23410353.123831868</v>
      </c>
      <c r="X470" s="454">
        <f t="shared" si="123"/>
        <v>3150854.051515731</v>
      </c>
      <c r="Y470" s="454">
        <f t="shared" si="123"/>
        <v>0</v>
      </c>
      <c r="Z470" s="454">
        <f t="shared" si="123"/>
        <v>0</v>
      </c>
      <c r="AA470" s="454">
        <f t="shared" si="123"/>
        <v>0</v>
      </c>
      <c r="AB470" s="454">
        <f t="shared" si="123"/>
        <v>-117784370.64898372</v>
      </c>
      <c r="AC470" s="454">
        <f t="shared" si="123"/>
        <v>0</v>
      </c>
      <c r="AD470" s="454">
        <f t="shared" si="123"/>
        <v>0</v>
      </c>
      <c r="AE470" s="454">
        <f t="shared" si="123"/>
        <v>0</v>
      </c>
      <c r="AF470" s="454">
        <f t="shared" si="123"/>
        <v>0</v>
      </c>
      <c r="AG470" s="454">
        <f t="shared" si="123"/>
        <v>0</v>
      </c>
      <c r="AH470" s="454">
        <f t="shared" si="123"/>
        <v>0</v>
      </c>
      <c r="AI470" s="454">
        <f t="shared" si="123"/>
        <v>0</v>
      </c>
      <c r="AJ470" s="454">
        <f t="shared" ref="AJ470:BH470" si="124">+AJ49</f>
        <v>0</v>
      </c>
      <c r="AK470" s="454">
        <f t="shared" si="124"/>
        <v>0</v>
      </c>
      <c r="AL470" s="454">
        <f t="shared" si="124"/>
        <v>0</v>
      </c>
      <c r="AM470" s="454">
        <f t="shared" si="124"/>
        <v>0</v>
      </c>
      <c r="AN470" s="454">
        <f t="shared" si="124"/>
        <v>0</v>
      </c>
      <c r="AO470" s="454">
        <f t="shared" si="124"/>
        <v>0</v>
      </c>
      <c r="AP470" s="454">
        <f t="shared" si="124"/>
        <v>0</v>
      </c>
      <c r="AQ470" s="454">
        <f t="shared" si="124"/>
        <v>0</v>
      </c>
      <c r="AR470" s="454">
        <f t="shared" si="124"/>
        <v>0</v>
      </c>
      <c r="AS470" s="454">
        <f t="shared" si="124"/>
        <v>0</v>
      </c>
      <c r="AT470" s="454">
        <f t="shared" si="124"/>
        <v>0</v>
      </c>
      <c r="AU470" s="454">
        <f t="shared" si="124"/>
        <v>0</v>
      </c>
      <c r="AV470" s="454">
        <f t="shared" si="124"/>
        <v>0</v>
      </c>
      <c r="AW470" s="454">
        <f t="shared" si="124"/>
        <v>-1121518.7722916666</v>
      </c>
      <c r="AX470" s="454">
        <f t="shared" si="124"/>
        <v>0</v>
      </c>
      <c r="AY470" s="454">
        <f t="shared" si="124"/>
        <v>0</v>
      </c>
      <c r="AZ470" s="454">
        <f t="shared" si="124"/>
        <v>-92162.365750000143</v>
      </c>
      <c r="BA470" s="454">
        <f t="shared" si="124"/>
        <v>0</v>
      </c>
      <c r="BB470" s="454">
        <f t="shared" si="124"/>
        <v>100713505.51873963</v>
      </c>
      <c r="BC470" s="454">
        <f t="shared" si="124"/>
        <v>0</v>
      </c>
      <c r="BD470" s="454">
        <f t="shared" si="124"/>
        <v>-530374.64638627158</v>
      </c>
      <c r="BE470" s="454">
        <f t="shared" si="124"/>
        <v>0</v>
      </c>
      <c r="BF470" s="454">
        <f t="shared" si="124"/>
        <v>0</v>
      </c>
      <c r="BG470" s="454">
        <f t="shared" si="124"/>
        <v>7746286.2606755048</v>
      </c>
      <c r="BH470" s="454">
        <f t="shared" si="124"/>
        <v>5591510735.8894997</v>
      </c>
      <c r="BI470" s="82"/>
      <c r="BK470" s="82"/>
    </row>
    <row r="471" spans="2:63" x14ac:dyDescent="0.25">
      <c r="B471" s="456" t="s">
        <v>153</v>
      </c>
      <c r="C471" s="454" t="s">
        <v>143</v>
      </c>
      <c r="D471" s="457">
        <f t="shared" ref="D471:AI471" si="125">+D65</f>
        <v>153798837.75261405</v>
      </c>
      <c r="E471" s="454">
        <f t="shared" si="125"/>
        <v>-100718055.95051391</v>
      </c>
      <c r="F471" s="454">
        <f t="shared" si="125"/>
        <v>161831.75231923751</v>
      </c>
      <c r="G471" s="454">
        <f t="shared" si="125"/>
        <v>60863040.701523706</v>
      </c>
      <c r="H471" s="454">
        <f t="shared" si="125"/>
        <v>-3612628.4896356245</v>
      </c>
      <c r="I471" s="454">
        <f t="shared" si="125"/>
        <v>-41147191.750709437</v>
      </c>
      <c r="J471" s="454">
        <f t="shared" si="125"/>
        <v>-479285.08628462791</v>
      </c>
      <c r="K471" s="454">
        <f t="shared" si="125"/>
        <v>-238538.68066628231</v>
      </c>
      <c r="L471" s="454">
        <f t="shared" si="125"/>
        <v>28840.075233949923</v>
      </c>
      <c r="M471" s="454">
        <f t="shared" si="125"/>
        <v>-47833.990312008951</v>
      </c>
      <c r="N471" s="454">
        <f t="shared" si="125"/>
        <v>-175837.40573145324</v>
      </c>
      <c r="O471" s="454">
        <f t="shared" si="125"/>
        <v>-4290186.2281758944</v>
      </c>
      <c r="P471" s="454">
        <f t="shared" si="125"/>
        <v>529232.77160532412</v>
      </c>
      <c r="Q471" s="454">
        <f t="shared" si="125"/>
        <v>174968.57115282401</v>
      </c>
      <c r="R471" s="454">
        <f t="shared" si="125"/>
        <v>1090410.5949090598</v>
      </c>
      <c r="S471" s="454">
        <f t="shared" si="125"/>
        <v>1547370.1894545534</v>
      </c>
      <c r="T471" s="454">
        <f t="shared" si="125"/>
        <v>-24339.869909909161</v>
      </c>
      <c r="U471" s="454">
        <f t="shared" si="125"/>
        <v>3912572.8575349683</v>
      </c>
      <c r="V471" s="454">
        <f t="shared" si="125"/>
        <v>8787763.7281737197</v>
      </c>
      <c r="W471" s="454">
        <f t="shared" si="125"/>
        <v>2386192.04737648</v>
      </c>
      <c r="X471" s="454">
        <f t="shared" si="125"/>
        <v>-3877048.0272753476</v>
      </c>
      <c r="Y471" s="454">
        <f t="shared" si="125"/>
        <v>3214227.5237620943</v>
      </c>
      <c r="Z471" s="454">
        <f t="shared" si="125"/>
        <v>0</v>
      </c>
      <c r="AA471" s="454">
        <f t="shared" si="125"/>
        <v>0</v>
      </c>
      <c r="AB471" s="454">
        <f t="shared" si="125"/>
        <v>-4278220.204149331</v>
      </c>
      <c r="AC471" s="454">
        <f t="shared" si="125"/>
        <v>56187.598421933384</v>
      </c>
      <c r="AD471" s="454">
        <f t="shared" si="125"/>
        <v>0</v>
      </c>
      <c r="AE471" s="454">
        <f t="shared" si="125"/>
        <v>0</v>
      </c>
      <c r="AF471" s="454">
        <f t="shared" si="125"/>
        <v>0</v>
      </c>
      <c r="AG471" s="454">
        <f t="shared" si="125"/>
        <v>0</v>
      </c>
      <c r="AH471" s="454">
        <f t="shared" si="125"/>
        <v>0</v>
      </c>
      <c r="AI471" s="454">
        <f t="shared" si="125"/>
        <v>0</v>
      </c>
      <c r="AJ471" s="454">
        <f t="shared" ref="AJ471:BH471" si="126">+AJ65</f>
        <v>0</v>
      </c>
      <c r="AK471" s="454">
        <f t="shared" si="126"/>
        <v>99816473.613555416</v>
      </c>
      <c r="AL471" s="454">
        <f t="shared" si="126"/>
        <v>5724392.7057531876</v>
      </c>
      <c r="AM471" s="454">
        <f t="shared" si="126"/>
        <v>-134600.08554034986</v>
      </c>
      <c r="AN471" s="454">
        <f t="shared" si="126"/>
        <v>145998.88357851788</v>
      </c>
      <c r="AO471" s="454">
        <f t="shared" si="126"/>
        <v>0</v>
      </c>
      <c r="AP471" s="454">
        <f t="shared" si="126"/>
        <v>0</v>
      </c>
      <c r="AQ471" s="454">
        <f t="shared" si="126"/>
        <v>0</v>
      </c>
      <c r="AR471" s="454">
        <f t="shared" si="126"/>
        <v>0</v>
      </c>
      <c r="AS471" s="454">
        <f t="shared" si="126"/>
        <v>0</v>
      </c>
      <c r="AT471" s="454">
        <f t="shared" si="126"/>
        <v>0</v>
      </c>
      <c r="AU471" s="454">
        <f t="shared" si="126"/>
        <v>0</v>
      </c>
      <c r="AV471" s="454">
        <f t="shared" si="126"/>
        <v>-1202972.1970360975</v>
      </c>
      <c r="AW471" s="454">
        <f t="shared" si="126"/>
        <v>-345430.22143267089</v>
      </c>
      <c r="AX471" s="454">
        <f t="shared" si="126"/>
        <v>1545565.728965</v>
      </c>
      <c r="AY471" s="454">
        <f t="shared" si="126"/>
        <v>0</v>
      </c>
      <c r="AZ471" s="454">
        <f t="shared" si="126"/>
        <v>-133609.74064735524</v>
      </c>
      <c r="BA471" s="454">
        <f t="shared" si="126"/>
        <v>6876233.9533702889</v>
      </c>
      <c r="BB471" s="454">
        <f t="shared" si="126"/>
        <v>-27504346.142448019</v>
      </c>
      <c r="BC471" s="454">
        <f t="shared" si="126"/>
        <v>-930822.1895931469</v>
      </c>
      <c r="BD471" s="454">
        <f t="shared" si="126"/>
        <v>-52716.879907220973</v>
      </c>
      <c r="BE471" s="454">
        <f t="shared" si="126"/>
        <v>0</v>
      </c>
      <c r="BF471" s="454">
        <f t="shared" si="126"/>
        <v>2223526.4135061814</v>
      </c>
      <c r="BG471" s="454">
        <f t="shared" si="126"/>
        <v>9891166.5702277441</v>
      </c>
      <c r="BH471" s="454">
        <f t="shared" si="126"/>
        <v>163690004.32284215</v>
      </c>
      <c r="BI471" s="82"/>
      <c r="BK471" s="82"/>
    </row>
    <row r="472" spans="2:63" x14ac:dyDescent="0.25">
      <c r="B472" s="449" t="s">
        <v>166</v>
      </c>
      <c r="C472" s="458" t="s">
        <v>168</v>
      </c>
      <c r="D472" s="452">
        <f>+D108</f>
        <v>304897458.18115425</v>
      </c>
      <c r="E472" s="452">
        <f t="shared" ref="E472:BH472" si="127">+E108</f>
        <v>-180573118.84874183</v>
      </c>
      <c r="F472" s="452">
        <f t="shared" si="127"/>
        <v>-11287816.360313492</v>
      </c>
      <c r="G472" s="452">
        <f t="shared" si="127"/>
        <v>0</v>
      </c>
      <c r="H472" s="452">
        <f t="shared" si="127"/>
        <v>3832342.7665624972</v>
      </c>
      <c r="I472" s="452">
        <f t="shared" si="127"/>
        <v>2863596.510559116</v>
      </c>
      <c r="J472" s="452">
        <f t="shared" si="127"/>
        <v>0</v>
      </c>
      <c r="K472" s="452">
        <f t="shared" si="127"/>
        <v>0</v>
      </c>
      <c r="L472" s="452">
        <f t="shared" si="127"/>
        <v>0</v>
      </c>
      <c r="M472" s="452">
        <f t="shared" si="127"/>
        <v>-535106.21265837201</v>
      </c>
      <c r="N472" s="452">
        <f t="shared" si="127"/>
        <v>0</v>
      </c>
      <c r="O472" s="452">
        <f t="shared" si="127"/>
        <v>-754321.79533689353</v>
      </c>
      <c r="P472" s="452">
        <f t="shared" si="127"/>
        <v>0</v>
      </c>
      <c r="Q472" s="452">
        <f t="shared" si="127"/>
        <v>0</v>
      </c>
      <c r="R472" s="452">
        <f t="shared" si="127"/>
        <v>0</v>
      </c>
      <c r="S472" s="452">
        <f t="shared" si="127"/>
        <v>0</v>
      </c>
      <c r="T472" s="452">
        <f t="shared" si="127"/>
        <v>0</v>
      </c>
      <c r="U472" s="452">
        <f t="shared" si="127"/>
        <v>0</v>
      </c>
      <c r="V472" s="452">
        <f t="shared" si="127"/>
        <v>0</v>
      </c>
      <c r="W472" s="452">
        <f t="shared" si="127"/>
        <v>0</v>
      </c>
      <c r="X472" s="452">
        <f t="shared" si="127"/>
        <v>0</v>
      </c>
      <c r="Y472" s="452">
        <f t="shared" si="127"/>
        <v>0</v>
      </c>
      <c r="Z472" s="452">
        <f t="shared" si="127"/>
        <v>0</v>
      </c>
      <c r="AA472" s="452">
        <f t="shared" si="127"/>
        <v>3737464.7041999986</v>
      </c>
      <c r="AB472" s="452">
        <f t="shared" si="127"/>
        <v>0</v>
      </c>
      <c r="AC472" s="452">
        <f t="shared" si="127"/>
        <v>2149.1401020913058</v>
      </c>
      <c r="AD472" s="452">
        <f t="shared" si="127"/>
        <v>0</v>
      </c>
      <c r="AE472" s="452">
        <f t="shared" si="127"/>
        <v>-885933.75207547843</v>
      </c>
      <c r="AF472" s="452">
        <f t="shared" si="127"/>
        <v>138079.79450000002</v>
      </c>
      <c r="AG472" s="452">
        <f t="shared" si="127"/>
        <v>-2758238.2740201</v>
      </c>
      <c r="AH472" s="452">
        <f t="shared" si="127"/>
        <v>-239996.06710000004</v>
      </c>
      <c r="AI472" s="452">
        <f t="shared" si="127"/>
        <v>-1016675.5926999999</v>
      </c>
      <c r="AJ472" s="452">
        <f t="shared" si="127"/>
        <v>-1055909.7499817002</v>
      </c>
      <c r="AK472" s="452">
        <f>+AK108</f>
        <v>0</v>
      </c>
      <c r="AL472" s="452">
        <f>+AL108</f>
        <v>0</v>
      </c>
      <c r="AM472" s="452">
        <f t="shared" ref="AM472:AV472" si="128">+AM108</f>
        <v>0</v>
      </c>
      <c r="AN472" s="452">
        <f t="shared" si="128"/>
        <v>0</v>
      </c>
      <c r="AO472" s="452">
        <f t="shared" si="128"/>
        <v>0</v>
      </c>
      <c r="AP472" s="452">
        <f t="shared" si="128"/>
        <v>0</v>
      </c>
      <c r="AQ472" s="452">
        <f t="shared" si="128"/>
        <v>0</v>
      </c>
      <c r="AR472" s="452">
        <f t="shared" si="128"/>
        <v>0</v>
      </c>
      <c r="AS472" s="452">
        <f t="shared" si="128"/>
        <v>0</v>
      </c>
      <c r="AT472" s="452">
        <f t="shared" si="128"/>
        <v>0</v>
      </c>
      <c r="AU472" s="452">
        <f t="shared" si="128"/>
        <v>0</v>
      </c>
      <c r="AV472" s="452">
        <f t="shared" si="128"/>
        <v>0</v>
      </c>
      <c r="AW472" s="452">
        <f t="shared" si="127"/>
        <v>0</v>
      </c>
      <c r="AX472" s="452">
        <f t="shared" si="127"/>
        <v>0</v>
      </c>
      <c r="AY472" s="452">
        <f t="shared" si="127"/>
        <v>-3707884.3267204068</v>
      </c>
      <c r="AZ472" s="452">
        <f t="shared" si="127"/>
        <v>0</v>
      </c>
      <c r="BA472" s="452">
        <f t="shared" si="127"/>
        <v>0</v>
      </c>
      <c r="BB472" s="452">
        <f t="shared" si="127"/>
        <v>0</v>
      </c>
      <c r="BC472" s="452">
        <f t="shared" si="127"/>
        <v>0</v>
      </c>
      <c r="BD472" s="452">
        <f t="shared" si="127"/>
        <v>0</v>
      </c>
      <c r="BE472" s="452">
        <f>+BE108</f>
        <v>0</v>
      </c>
      <c r="BF472" s="452">
        <f t="shared" si="127"/>
        <v>0</v>
      </c>
      <c r="BG472" s="452">
        <f t="shared" si="127"/>
        <v>-192241368.06372455</v>
      </c>
      <c r="BH472" s="452">
        <f t="shared" si="127"/>
        <v>112656090.11742973</v>
      </c>
      <c r="BI472" s="82"/>
      <c r="BK472" s="82"/>
    </row>
    <row r="473" spans="2:63" x14ac:dyDescent="0.25">
      <c r="B473" s="453" t="s">
        <v>167</v>
      </c>
      <c r="C473" s="459" t="s">
        <v>168</v>
      </c>
      <c r="D473" s="454">
        <f>+D110</f>
        <v>5591510735.8894997</v>
      </c>
      <c r="E473" s="454">
        <f t="shared" ref="E473:BH473" si="129">+E110</f>
        <v>0</v>
      </c>
      <c r="F473" s="454">
        <f t="shared" si="129"/>
        <v>0</v>
      </c>
      <c r="G473" s="454">
        <f t="shared" si="129"/>
        <v>0</v>
      </c>
      <c r="H473" s="454">
        <f t="shared" si="129"/>
        <v>0</v>
      </c>
      <c r="I473" s="454">
        <f t="shared" si="129"/>
        <v>0</v>
      </c>
      <c r="J473" s="454">
        <f t="shared" si="129"/>
        <v>0</v>
      </c>
      <c r="K473" s="454">
        <f t="shared" si="129"/>
        <v>0</v>
      </c>
      <c r="L473" s="454">
        <f t="shared" si="129"/>
        <v>0</v>
      </c>
      <c r="M473" s="454">
        <f t="shared" si="129"/>
        <v>0</v>
      </c>
      <c r="N473" s="454">
        <f t="shared" si="129"/>
        <v>0</v>
      </c>
      <c r="O473" s="454">
        <f t="shared" si="129"/>
        <v>0</v>
      </c>
      <c r="P473" s="454">
        <f t="shared" si="129"/>
        <v>0</v>
      </c>
      <c r="Q473" s="454">
        <f t="shared" si="129"/>
        <v>0</v>
      </c>
      <c r="R473" s="454">
        <f t="shared" si="129"/>
        <v>0</v>
      </c>
      <c r="S473" s="454">
        <f t="shared" si="129"/>
        <v>0</v>
      </c>
      <c r="T473" s="454">
        <f t="shared" si="129"/>
        <v>0</v>
      </c>
      <c r="U473" s="454">
        <f t="shared" si="129"/>
        <v>0</v>
      </c>
      <c r="V473" s="454">
        <f t="shared" si="129"/>
        <v>0</v>
      </c>
      <c r="W473" s="454">
        <f t="shared" si="129"/>
        <v>0</v>
      </c>
      <c r="X473" s="454">
        <f t="shared" si="129"/>
        <v>0</v>
      </c>
      <c r="Y473" s="454">
        <f t="shared" si="129"/>
        <v>0</v>
      </c>
      <c r="Z473" s="454">
        <f t="shared" si="129"/>
        <v>0</v>
      </c>
      <c r="AA473" s="454">
        <f t="shared" si="129"/>
        <v>-60657666.762677558</v>
      </c>
      <c r="AB473" s="454">
        <f t="shared" si="129"/>
        <v>117784370.64898372</v>
      </c>
      <c r="AC473" s="454">
        <f t="shared" si="129"/>
        <v>0</v>
      </c>
      <c r="AD473" s="454">
        <f t="shared" si="129"/>
        <v>0</v>
      </c>
      <c r="AE473" s="454">
        <f t="shared" si="129"/>
        <v>-213417265.83208799</v>
      </c>
      <c r="AF473" s="454">
        <f t="shared" si="129"/>
        <v>174784.55000000002</v>
      </c>
      <c r="AG473" s="454">
        <f t="shared" si="129"/>
        <v>193636571.05324996</v>
      </c>
      <c r="AH473" s="454">
        <f t="shared" si="129"/>
        <v>48794218.919999994</v>
      </c>
      <c r="AI473" s="454">
        <f t="shared" si="129"/>
        <v>245365929.83000001</v>
      </c>
      <c r="AJ473" s="454">
        <f t="shared" si="129"/>
        <v>133865024.70928994</v>
      </c>
      <c r="AK473" s="454">
        <f>+AK110</f>
        <v>0</v>
      </c>
      <c r="AL473" s="454">
        <f>+AL110</f>
        <v>0</v>
      </c>
      <c r="AM473" s="454">
        <f t="shared" ref="AM473:AV473" si="130">+AM110</f>
        <v>0</v>
      </c>
      <c r="AN473" s="454">
        <f t="shared" si="130"/>
        <v>2889649.9920000006</v>
      </c>
      <c r="AO473" s="454">
        <f t="shared" si="130"/>
        <v>0</v>
      </c>
      <c r="AP473" s="454">
        <f t="shared" si="130"/>
        <v>0</v>
      </c>
      <c r="AQ473" s="454">
        <f t="shared" si="130"/>
        <v>0</v>
      </c>
      <c r="AR473" s="454">
        <f t="shared" si="130"/>
        <v>0</v>
      </c>
      <c r="AS473" s="454">
        <f t="shared" si="130"/>
        <v>0</v>
      </c>
      <c r="AT473" s="454">
        <f t="shared" si="130"/>
        <v>0</v>
      </c>
      <c r="AU473" s="454">
        <f t="shared" si="130"/>
        <v>0</v>
      </c>
      <c r="AV473" s="454">
        <f t="shared" si="130"/>
        <v>0</v>
      </c>
      <c r="AW473" s="454">
        <f t="shared" si="129"/>
        <v>53549.595000000962</v>
      </c>
      <c r="AX473" s="454">
        <f t="shared" si="129"/>
        <v>0</v>
      </c>
      <c r="AY473" s="454">
        <f t="shared" si="129"/>
        <v>52195374.07849817</v>
      </c>
      <c r="AZ473" s="454">
        <f t="shared" si="129"/>
        <v>0</v>
      </c>
      <c r="BA473" s="454">
        <f t="shared" si="129"/>
        <v>0</v>
      </c>
      <c r="BB473" s="454">
        <f t="shared" si="129"/>
        <v>0</v>
      </c>
      <c r="BC473" s="454">
        <f t="shared" si="129"/>
        <v>-2880746.5800000094</v>
      </c>
      <c r="BD473" s="454">
        <f t="shared" si="129"/>
        <v>0</v>
      </c>
      <c r="BE473" s="454">
        <f>+BE110</f>
        <v>681903.88919999998</v>
      </c>
      <c r="BF473" s="454">
        <f t="shared" si="129"/>
        <v>0</v>
      </c>
      <c r="BG473" s="454">
        <f t="shared" si="129"/>
        <v>518485698.09145623</v>
      </c>
      <c r="BH473" s="454">
        <f t="shared" si="129"/>
        <v>6109996433.9809561</v>
      </c>
      <c r="BI473" s="82"/>
      <c r="BK473" s="82"/>
    </row>
    <row r="474" spans="2:63" x14ac:dyDescent="0.25">
      <c r="B474" s="456" t="s">
        <v>153</v>
      </c>
      <c r="C474" s="460" t="s">
        <v>168</v>
      </c>
      <c r="D474" s="454">
        <f>+D126</f>
        <v>163690004.32284215</v>
      </c>
      <c r="E474" s="454">
        <f t="shared" ref="E474:BH474" si="131">+E126</f>
        <v>240596382.58753139</v>
      </c>
      <c r="F474" s="454">
        <f t="shared" si="131"/>
        <v>15039933.966465373</v>
      </c>
      <c r="G474" s="454">
        <f t="shared" si="131"/>
        <v>0</v>
      </c>
      <c r="H474" s="454">
        <f t="shared" si="131"/>
        <v>-5106229.6113010487</v>
      </c>
      <c r="I474" s="454">
        <f t="shared" si="131"/>
        <v>-3815468.0277074999</v>
      </c>
      <c r="J474" s="454">
        <f t="shared" si="131"/>
        <v>0</v>
      </c>
      <c r="K474" s="454">
        <f t="shared" si="131"/>
        <v>0</v>
      </c>
      <c r="L474" s="454">
        <f t="shared" si="131"/>
        <v>0</v>
      </c>
      <c r="M474" s="454">
        <f t="shared" si="131"/>
        <v>712977.76704827428</v>
      </c>
      <c r="N474" s="454">
        <f t="shared" si="131"/>
        <v>0</v>
      </c>
      <c r="O474" s="454">
        <f t="shared" si="131"/>
        <v>1005061.5308749945</v>
      </c>
      <c r="P474" s="454">
        <f t="shared" si="131"/>
        <v>0</v>
      </c>
      <c r="Q474" s="454">
        <f t="shared" si="131"/>
        <v>0</v>
      </c>
      <c r="R474" s="454">
        <f t="shared" si="131"/>
        <v>0</v>
      </c>
      <c r="S474" s="454">
        <f t="shared" si="131"/>
        <v>0</v>
      </c>
      <c r="T474" s="454">
        <f t="shared" si="131"/>
        <v>0</v>
      </c>
      <c r="U474" s="454">
        <f t="shared" si="131"/>
        <v>0</v>
      </c>
      <c r="V474" s="454">
        <f t="shared" si="131"/>
        <v>0</v>
      </c>
      <c r="W474" s="454">
        <f t="shared" si="131"/>
        <v>0</v>
      </c>
      <c r="X474" s="454">
        <f t="shared" si="131"/>
        <v>0</v>
      </c>
      <c r="Y474" s="454">
        <f t="shared" si="131"/>
        <v>0</v>
      </c>
      <c r="Z474" s="454">
        <f t="shared" si="131"/>
        <v>0</v>
      </c>
      <c r="AA474" s="454">
        <f t="shared" si="131"/>
        <v>-11162584.239983093</v>
      </c>
      <c r="AB474" s="454">
        <f t="shared" si="131"/>
        <v>12005633.877505759</v>
      </c>
      <c r="AC474" s="454">
        <f t="shared" si="131"/>
        <v>-2863.5233058697809</v>
      </c>
      <c r="AD474" s="454">
        <f t="shared" si="131"/>
        <v>0</v>
      </c>
      <c r="AE474" s="454">
        <f t="shared" si="131"/>
        <v>-20572969.894432619</v>
      </c>
      <c r="AF474" s="454">
        <f t="shared" si="131"/>
        <v>-166162.49791811843</v>
      </c>
      <c r="AG474" s="454">
        <f t="shared" si="131"/>
        <v>23412255.133545168</v>
      </c>
      <c r="AH474" s="454">
        <f t="shared" si="131"/>
        <v>5293313.8817597851</v>
      </c>
      <c r="AI474" s="454">
        <f t="shared" si="131"/>
        <v>26364507.449731719</v>
      </c>
      <c r="AJ474" s="454">
        <f t="shared" si="131"/>
        <v>15051616.193297712</v>
      </c>
      <c r="AK474" s="454">
        <f>+AK126</f>
        <v>0</v>
      </c>
      <c r="AL474" s="454">
        <f>+AL126</f>
        <v>0</v>
      </c>
      <c r="AM474" s="454">
        <f t="shared" ref="AM474:AV474" si="132">+AM126</f>
        <v>0</v>
      </c>
      <c r="AN474" s="454">
        <f t="shared" si="132"/>
        <v>294538.90738591622</v>
      </c>
      <c r="AO474" s="454">
        <f t="shared" si="132"/>
        <v>0</v>
      </c>
      <c r="AP474" s="454">
        <f t="shared" si="132"/>
        <v>0</v>
      </c>
      <c r="AQ474" s="454">
        <f t="shared" si="132"/>
        <v>0</v>
      </c>
      <c r="AR474" s="454">
        <f t="shared" si="132"/>
        <v>0</v>
      </c>
      <c r="AS474" s="454">
        <f t="shared" si="132"/>
        <v>0</v>
      </c>
      <c r="AT474" s="454">
        <f t="shared" si="132"/>
        <v>0</v>
      </c>
      <c r="AU474" s="454">
        <f t="shared" si="132"/>
        <v>0</v>
      </c>
      <c r="AV474" s="454">
        <f t="shared" si="132"/>
        <v>0</v>
      </c>
      <c r="AW474" s="454">
        <f t="shared" si="131"/>
        <v>5458.252468611985</v>
      </c>
      <c r="AX474" s="454">
        <f t="shared" si="131"/>
        <v>0</v>
      </c>
      <c r="AY474" s="454">
        <f t="shared" si="131"/>
        <v>10260618.853420237</v>
      </c>
      <c r="AZ474" s="454">
        <f t="shared" si="131"/>
        <v>0</v>
      </c>
      <c r="BA474" s="454">
        <f t="shared" si="131"/>
        <v>0</v>
      </c>
      <c r="BB474" s="454">
        <f t="shared" si="131"/>
        <v>0</v>
      </c>
      <c r="BC474" s="454">
        <f t="shared" si="131"/>
        <v>-293631.39220250503</v>
      </c>
      <c r="BD474" s="454">
        <f t="shared" si="131"/>
        <v>0</v>
      </c>
      <c r="BE474" s="454">
        <f>+BE126</f>
        <v>69505.728037381923</v>
      </c>
      <c r="BF474" s="454">
        <f t="shared" si="131"/>
        <v>0</v>
      </c>
      <c r="BG474" s="454">
        <f t="shared" si="131"/>
        <v>308991894.94222158</v>
      </c>
      <c r="BH474" s="454">
        <f t="shared" si="131"/>
        <v>472681899.26506364</v>
      </c>
      <c r="BI474" s="82"/>
      <c r="BK474" s="82"/>
    </row>
    <row r="475" spans="2:63" x14ac:dyDescent="0.25">
      <c r="B475" s="449" t="s">
        <v>166</v>
      </c>
      <c r="C475" s="458" t="s">
        <v>159</v>
      </c>
      <c r="D475" s="452">
        <f>+D169</f>
        <v>112656090.11742973</v>
      </c>
      <c r="E475" s="452">
        <f t="shared" ref="E475:BH475" si="133">+E169</f>
        <v>9089769.3123887423</v>
      </c>
      <c r="F475" s="452">
        <f t="shared" si="133"/>
        <v>0</v>
      </c>
      <c r="G475" s="452">
        <f t="shared" si="133"/>
        <v>0</v>
      </c>
      <c r="H475" s="452">
        <f t="shared" si="133"/>
        <v>-1299233.3888071019</v>
      </c>
      <c r="I475" s="452">
        <f t="shared" si="133"/>
        <v>2460753.2996581821</v>
      </c>
      <c r="J475" s="452">
        <f t="shared" si="133"/>
        <v>0</v>
      </c>
      <c r="K475" s="452">
        <f t="shared" si="133"/>
        <v>0</v>
      </c>
      <c r="L475" s="452">
        <f t="shared" si="133"/>
        <v>0</v>
      </c>
      <c r="M475" s="452">
        <f t="shared" si="133"/>
        <v>0</v>
      </c>
      <c r="N475" s="452">
        <f t="shared" si="133"/>
        <v>0</v>
      </c>
      <c r="O475" s="452">
        <f t="shared" si="133"/>
        <v>-313832.77429169288</v>
      </c>
      <c r="P475" s="452">
        <f t="shared" si="133"/>
        <v>0</v>
      </c>
      <c r="Q475" s="452">
        <f t="shared" si="133"/>
        <v>0</v>
      </c>
      <c r="R475" s="452">
        <f t="shared" si="133"/>
        <v>0</v>
      </c>
      <c r="S475" s="452">
        <f t="shared" si="133"/>
        <v>0</v>
      </c>
      <c r="T475" s="452">
        <f t="shared" si="133"/>
        <v>0</v>
      </c>
      <c r="U475" s="452">
        <f t="shared" si="133"/>
        <v>0</v>
      </c>
      <c r="V475" s="452">
        <f t="shared" si="133"/>
        <v>0</v>
      </c>
      <c r="W475" s="452">
        <f t="shared" si="133"/>
        <v>0</v>
      </c>
      <c r="X475" s="452">
        <f t="shared" si="133"/>
        <v>0</v>
      </c>
      <c r="Y475" s="452">
        <f t="shared" si="133"/>
        <v>0</v>
      </c>
      <c r="Z475" s="452">
        <f t="shared" si="133"/>
        <v>0</v>
      </c>
      <c r="AA475" s="452">
        <f t="shared" si="133"/>
        <v>0</v>
      </c>
      <c r="AB475" s="452">
        <f t="shared" si="133"/>
        <v>0</v>
      </c>
      <c r="AC475" s="452">
        <f t="shared" si="133"/>
        <v>-2151.7484116665646</v>
      </c>
      <c r="AD475" s="452">
        <f t="shared" si="133"/>
        <v>0</v>
      </c>
      <c r="AE475" s="452">
        <f t="shared" si="133"/>
        <v>3193600.8028125861</v>
      </c>
      <c r="AF475" s="452">
        <f t="shared" si="133"/>
        <v>1226499.4979000003</v>
      </c>
      <c r="AG475" s="452">
        <f t="shared" si="133"/>
        <v>-15485405.874397548</v>
      </c>
      <c r="AH475" s="452">
        <f t="shared" si="133"/>
        <v>-2314791.7111</v>
      </c>
      <c r="AI475" s="452">
        <f t="shared" si="133"/>
        <v>-4294733.7062000008</v>
      </c>
      <c r="AJ475" s="452">
        <f t="shared" si="133"/>
        <v>-13712706.54591565</v>
      </c>
      <c r="AK475" s="452">
        <f>+AK169</f>
        <v>0</v>
      </c>
      <c r="AL475" s="452">
        <f>+AL169</f>
        <v>0</v>
      </c>
      <c r="AM475" s="452">
        <f t="shared" ref="AM475:AV475" si="134">+AM169</f>
        <v>0</v>
      </c>
      <c r="AN475" s="452">
        <f t="shared" si="134"/>
        <v>0</v>
      </c>
      <c r="AO475" s="452">
        <f t="shared" si="134"/>
        <v>0</v>
      </c>
      <c r="AP475" s="452">
        <f t="shared" si="134"/>
        <v>0</v>
      </c>
      <c r="AQ475" s="452">
        <f t="shared" si="134"/>
        <v>0</v>
      </c>
      <c r="AR475" s="452">
        <f t="shared" si="134"/>
        <v>0</v>
      </c>
      <c r="AS475" s="452">
        <f t="shared" si="134"/>
        <v>0</v>
      </c>
      <c r="AT475" s="452">
        <f t="shared" si="134"/>
        <v>0</v>
      </c>
      <c r="AU475" s="452">
        <f t="shared" si="134"/>
        <v>0</v>
      </c>
      <c r="AV475" s="452">
        <f t="shared" si="134"/>
        <v>0</v>
      </c>
      <c r="AW475" s="452">
        <f t="shared" si="133"/>
        <v>0</v>
      </c>
      <c r="AX475" s="452">
        <f t="shared" si="133"/>
        <v>0</v>
      </c>
      <c r="AY475" s="452">
        <f t="shared" si="133"/>
        <v>4734866.3771460485</v>
      </c>
      <c r="AZ475" s="452">
        <f t="shared" si="133"/>
        <v>0</v>
      </c>
      <c r="BA475" s="452">
        <f t="shared" si="133"/>
        <v>0</v>
      </c>
      <c r="BB475" s="452">
        <f t="shared" si="133"/>
        <v>0</v>
      </c>
      <c r="BC475" s="452">
        <f t="shared" si="133"/>
        <v>0</v>
      </c>
      <c r="BD475" s="452">
        <f t="shared" si="133"/>
        <v>0</v>
      </c>
      <c r="BE475" s="452">
        <f>+BE169</f>
        <v>0</v>
      </c>
      <c r="BF475" s="452">
        <f t="shared" si="133"/>
        <v>0</v>
      </c>
      <c r="BG475" s="452">
        <f t="shared" si="133"/>
        <v>-16717366.459218098</v>
      </c>
      <c r="BH475" s="452">
        <f t="shared" si="133"/>
        <v>95938723.658211231</v>
      </c>
      <c r="BI475" s="82"/>
      <c r="BK475" s="82"/>
    </row>
    <row r="476" spans="2:63" x14ac:dyDescent="0.25">
      <c r="B476" s="453" t="s">
        <v>167</v>
      </c>
      <c r="C476" s="459" t="s">
        <v>159</v>
      </c>
      <c r="D476" s="454">
        <f>+D171</f>
        <v>6109996433.9809561</v>
      </c>
      <c r="E476" s="454">
        <f t="shared" ref="E476:BH476" si="135">+E171</f>
        <v>0</v>
      </c>
      <c r="F476" s="454">
        <f t="shared" si="135"/>
        <v>0</v>
      </c>
      <c r="G476" s="454">
        <f t="shared" si="135"/>
        <v>0</v>
      </c>
      <c r="H476" s="454">
        <f t="shared" si="135"/>
        <v>0</v>
      </c>
      <c r="I476" s="454">
        <f t="shared" si="135"/>
        <v>0</v>
      </c>
      <c r="J476" s="454">
        <f t="shared" si="135"/>
        <v>0</v>
      </c>
      <c r="K476" s="454">
        <f t="shared" si="135"/>
        <v>0</v>
      </c>
      <c r="L476" s="454">
        <f t="shared" si="135"/>
        <v>0</v>
      </c>
      <c r="M476" s="454">
        <f t="shared" si="135"/>
        <v>0</v>
      </c>
      <c r="N476" s="454">
        <f t="shared" si="135"/>
        <v>0</v>
      </c>
      <c r="O476" s="454">
        <f t="shared" si="135"/>
        <v>0</v>
      </c>
      <c r="P476" s="454">
        <f t="shared" si="135"/>
        <v>0</v>
      </c>
      <c r="Q476" s="454">
        <f t="shared" si="135"/>
        <v>0</v>
      </c>
      <c r="R476" s="454">
        <f t="shared" si="135"/>
        <v>0</v>
      </c>
      <c r="S476" s="454">
        <f t="shared" si="135"/>
        <v>0</v>
      </c>
      <c r="T476" s="454">
        <f t="shared" si="135"/>
        <v>0</v>
      </c>
      <c r="U476" s="454">
        <f t="shared" si="135"/>
        <v>0</v>
      </c>
      <c r="V476" s="454">
        <f t="shared" si="135"/>
        <v>0</v>
      </c>
      <c r="W476" s="454">
        <f t="shared" si="135"/>
        <v>0</v>
      </c>
      <c r="X476" s="454">
        <f t="shared" si="135"/>
        <v>0</v>
      </c>
      <c r="Y476" s="454">
        <f t="shared" si="135"/>
        <v>0</v>
      </c>
      <c r="Z476" s="454">
        <f t="shared" si="135"/>
        <v>0</v>
      </c>
      <c r="AA476" s="454">
        <f t="shared" si="135"/>
        <v>0</v>
      </c>
      <c r="AB476" s="454">
        <f t="shared" si="135"/>
        <v>0</v>
      </c>
      <c r="AC476" s="454">
        <f t="shared" si="135"/>
        <v>0</v>
      </c>
      <c r="AD476" s="454">
        <f t="shared" si="135"/>
        <v>0</v>
      </c>
      <c r="AE476" s="454">
        <f t="shared" si="135"/>
        <v>-382029793.38882923</v>
      </c>
      <c r="AF476" s="454">
        <f t="shared" si="135"/>
        <v>1727315.5599999998</v>
      </c>
      <c r="AG476" s="454">
        <f t="shared" si="135"/>
        <v>372227780.35451001</v>
      </c>
      <c r="AH476" s="454">
        <f t="shared" si="135"/>
        <v>117993802.39000002</v>
      </c>
      <c r="AI476" s="454">
        <f t="shared" si="135"/>
        <v>194852408.71000016</v>
      </c>
      <c r="AJ476" s="454">
        <f t="shared" si="135"/>
        <v>167403102.08484992</v>
      </c>
      <c r="AK476" s="454">
        <f>+AK171</f>
        <v>0</v>
      </c>
      <c r="AL476" s="454">
        <f>+AL171</f>
        <v>0</v>
      </c>
      <c r="AM476" s="454">
        <f t="shared" ref="AM476:AV476" si="136">+AM171</f>
        <v>0</v>
      </c>
      <c r="AN476" s="454">
        <f t="shared" si="136"/>
        <v>8960350.0079999194</v>
      </c>
      <c r="AO476" s="454">
        <f t="shared" si="136"/>
        <v>0</v>
      </c>
      <c r="AP476" s="454">
        <f t="shared" si="136"/>
        <v>0</v>
      </c>
      <c r="AQ476" s="454">
        <f t="shared" si="136"/>
        <v>0</v>
      </c>
      <c r="AR476" s="454">
        <f t="shared" si="136"/>
        <v>0</v>
      </c>
      <c r="AS476" s="454">
        <f t="shared" si="136"/>
        <v>0</v>
      </c>
      <c r="AT476" s="454">
        <f t="shared" si="136"/>
        <v>0</v>
      </c>
      <c r="AU476" s="454">
        <f t="shared" si="136"/>
        <v>0</v>
      </c>
      <c r="AV476" s="454">
        <f t="shared" si="136"/>
        <v>0</v>
      </c>
      <c r="AW476" s="454">
        <f t="shared" si="135"/>
        <v>85798.285000001895</v>
      </c>
      <c r="AX476" s="454">
        <f t="shared" si="135"/>
        <v>0</v>
      </c>
      <c r="AY476" s="454">
        <f t="shared" si="135"/>
        <v>-29912774.436111048</v>
      </c>
      <c r="AZ476" s="454">
        <f t="shared" si="135"/>
        <v>0</v>
      </c>
      <c r="BA476" s="454">
        <f t="shared" si="135"/>
        <v>0</v>
      </c>
      <c r="BB476" s="454">
        <f t="shared" si="135"/>
        <v>0</v>
      </c>
      <c r="BC476" s="454">
        <f t="shared" si="135"/>
        <v>-5761493.1600000188</v>
      </c>
      <c r="BD476" s="454">
        <f t="shared" si="135"/>
        <v>0</v>
      </c>
      <c r="BE476" s="454">
        <f>+BE171</f>
        <v>0</v>
      </c>
      <c r="BF476" s="454">
        <f t="shared" si="135"/>
        <v>0</v>
      </c>
      <c r="BG476" s="454">
        <f t="shared" si="135"/>
        <v>445546496.40741968</v>
      </c>
      <c r="BH476" s="454">
        <f t="shared" si="135"/>
        <v>6555542930.3883753</v>
      </c>
      <c r="BI476" s="82"/>
      <c r="BK476" s="82"/>
    </row>
    <row r="477" spans="2:63" x14ac:dyDescent="0.25">
      <c r="B477" s="456" t="s">
        <v>153</v>
      </c>
      <c r="C477" s="460" t="s">
        <v>159</v>
      </c>
      <c r="D477" s="454">
        <f>+D187</f>
        <v>472681899.26506364</v>
      </c>
      <c r="E477" s="454">
        <f t="shared" ref="E477:BH477" si="137">+E187</f>
        <v>-12111246.840388292</v>
      </c>
      <c r="F477" s="454">
        <f t="shared" si="137"/>
        <v>0</v>
      </c>
      <c r="G477" s="454">
        <f t="shared" si="137"/>
        <v>0</v>
      </c>
      <c r="H477" s="454">
        <f t="shared" si="137"/>
        <v>1731104.0285335716</v>
      </c>
      <c r="I477" s="454">
        <f t="shared" si="137"/>
        <v>-3278718.0401642346</v>
      </c>
      <c r="J477" s="454">
        <f t="shared" si="137"/>
        <v>0</v>
      </c>
      <c r="K477" s="454">
        <f t="shared" si="137"/>
        <v>0</v>
      </c>
      <c r="L477" s="454">
        <f t="shared" si="137"/>
        <v>0</v>
      </c>
      <c r="M477" s="454">
        <f t="shared" si="137"/>
        <v>0</v>
      </c>
      <c r="N477" s="454">
        <f t="shared" si="137"/>
        <v>0</v>
      </c>
      <c r="O477" s="454">
        <f t="shared" si="137"/>
        <v>418152.10765252082</v>
      </c>
      <c r="P477" s="454">
        <f t="shared" si="137"/>
        <v>0</v>
      </c>
      <c r="Q477" s="454">
        <f t="shared" si="137"/>
        <v>0</v>
      </c>
      <c r="R477" s="454">
        <f t="shared" si="137"/>
        <v>0</v>
      </c>
      <c r="S477" s="454">
        <f t="shared" si="137"/>
        <v>0</v>
      </c>
      <c r="T477" s="454">
        <f t="shared" si="137"/>
        <v>0</v>
      </c>
      <c r="U477" s="454">
        <f t="shared" si="137"/>
        <v>0</v>
      </c>
      <c r="V477" s="454">
        <f t="shared" si="137"/>
        <v>0</v>
      </c>
      <c r="W477" s="454">
        <f t="shared" si="137"/>
        <v>0</v>
      </c>
      <c r="X477" s="454">
        <f t="shared" si="137"/>
        <v>0</v>
      </c>
      <c r="Y477" s="454">
        <f t="shared" si="137"/>
        <v>0</v>
      </c>
      <c r="Z477" s="454">
        <f t="shared" si="137"/>
        <v>0</v>
      </c>
      <c r="AA477" s="454">
        <f t="shared" si="137"/>
        <v>0</v>
      </c>
      <c r="AB477" s="454">
        <f t="shared" si="137"/>
        <v>0</v>
      </c>
      <c r="AC477" s="454">
        <f t="shared" si="137"/>
        <v>2866.9986285118039</v>
      </c>
      <c r="AD477" s="454">
        <f t="shared" si="137"/>
        <v>0</v>
      </c>
      <c r="AE477" s="454">
        <f t="shared" si="137"/>
        <v>-43195051.979830094</v>
      </c>
      <c r="AF477" s="454">
        <f t="shared" si="137"/>
        <v>-1458129.674320441</v>
      </c>
      <c r="AG477" s="454">
        <f t="shared" si="137"/>
        <v>58573596.107671</v>
      </c>
      <c r="AH477" s="454">
        <f t="shared" si="137"/>
        <v>15111219.235033438</v>
      </c>
      <c r="AI477" s="454">
        <f t="shared" si="137"/>
        <v>25583417.127143353</v>
      </c>
      <c r="AJ477" s="454">
        <f t="shared" si="137"/>
        <v>35334085.504916795</v>
      </c>
      <c r="AK477" s="454">
        <f>+AK187</f>
        <v>0</v>
      </c>
      <c r="AL477" s="454">
        <f>+AL187</f>
        <v>0</v>
      </c>
      <c r="AM477" s="454">
        <f t="shared" ref="AM477:AV477" si="138">+AM187</f>
        <v>0</v>
      </c>
      <c r="AN477" s="454">
        <f t="shared" si="138"/>
        <v>913318.81316361227</v>
      </c>
      <c r="AO477" s="454">
        <f t="shared" si="138"/>
        <v>0</v>
      </c>
      <c r="AP477" s="454">
        <f t="shared" si="138"/>
        <v>0</v>
      </c>
      <c r="AQ477" s="454">
        <f t="shared" si="138"/>
        <v>0</v>
      </c>
      <c r="AR477" s="454">
        <f t="shared" si="138"/>
        <v>0</v>
      </c>
      <c r="AS477" s="454">
        <f t="shared" si="138"/>
        <v>0</v>
      </c>
      <c r="AT477" s="454">
        <f t="shared" si="138"/>
        <v>0</v>
      </c>
      <c r="AU477" s="454">
        <f t="shared" si="138"/>
        <v>0</v>
      </c>
      <c r="AV477" s="454">
        <f t="shared" si="138"/>
        <v>0</v>
      </c>
      <c r="AW477" s="454">
        <f t="shared" si="137"/>
        <v>8745.3266622077463</v>
      </c>
      <c r="AX477" s="454">
        <f t="shared" si="137"/>
        <v>0</v>
      </c>
      <c r="AY477" s="454">
        <f t="shared" si="137"/>
        <v>-9357732.7030731142</v>
      </c>
      <c r="AZ477" s="454">
        <f t="shared" si="137"/>
        <v>0</v>
      </c>
      <c r="BA477" s="454">
        <f t="shared" si="137"/>
        <v>0</v>
      </c>
      <c r="BB477" s="454">
        <f t="shared" si="137"/>
        <v>0</v>
      </c>
      <c r="BC477" s="454">
        <f t="shared" si="137"/>
        <v>-587262.78440501005</v>
      </c>
      <c r="BD477" s="454">
        <f t="shared" si="137"/>
        <v>0</v>
      </c>
      <c r="BE477" s="454">
        <f>+BE187</f>
        <v>0</v>
      </c>
      <c r="BF477" s="454">
        <f t="shared" si="137"/>
        <v>0</v>
      </c>
      <c r="BG477" s="454">
        <f t="shared" si="137"/>
        <v>67688363.227223828</v>
      </c>
      <c r="BH477" s="454">
        <f t="shared" si="137"/>
        <v>540370262.49228799</v>
      </c>
      <c r="BI477" s="82"/>
      <c r="BK477" s="82"/>
    </row>
    <row r="478" spans="2:63" x14ac:dyDescent="0.25">
      <c r="B478" s="449" t="s">
        <v>166</v>
      </c>
      <c r="C478" s="458" t="s">
        <v>169</v>
      </c>
      <c r="D478" s="452">
        <f>+D230</f>
        <v>95938723.658211231</v>
      </c>
      <c r="E478" s="452">
        <f t="shared" ref="E478:BH478" si="139">+E230</f>
        <v>5864385.0230842121</v>
      </c>
      <c r="F478" s="452">
        <f t="shared" si="139"/>
        <v>0</v>
      </c>
      <c r="G478" s="452">
        <f t="shared" si="139"/>
        <v>0</v>
      </c>
      <c r="H478" s="452">
        <f t="shared" si="139"/>
        <v>455130.5393555006</v>
      </c>
      <c r="I478" s="452">
        <f t="shared" si="139"/>
        <v>835836.62346682185</v>
      </c>
      <c r="J478" s="452">
        <f t="shared" si="139"/>
        <v>0</v>
      </c>
      <c r="K478" s="452">
        <f t="shared" si="139"/>
        <v>0</v>
      </c>
      <c r="L478" s="452">
        <f t="shared" si="139"/>
        <v>0</v>
      </c>
      <c r="M478" s="452">
        <f t="shared" si="139"/>
        <v>0</v>
      </c>
      <c r="N478" s="452">
        <f t="shared" si="139"/>
        <v>0</v>
      </c>
      <c r="O478" s="452">
        <f t="shared" si="139"/>
        <v>-69979.760459128389</v>
      </c>
      <c r="P478" s="452">
        <f t="shared" si="139"/>
        <v>0</v>
      </c>
      <c r="Q478" s="452">
        <f t="shared" si="139"/>
        <v>0</v>
      </c>
      <c r="R478" s="452">
        <f t="shared" si="139"/>
        <v>0</v>
      </c>
      <c r="S478" s="452">
        <f t="shared" si="139"/>
        <v>16099.415266666794</v>
      </c>
      <c r="T478" s="452">
        <f t="shared" si="139"/>
        <v>0</v>
      </c>
      <c r="U478" s="452">
        <f t="shared" si="139"/>
        <v>0</v>
      </c>
      <c r="V478" s="452">
        <f t="shared" si="139"/>
        <v>0</v>
      </c>
      <c r="W478" s="452">
        <f t="shared" si="139"/>
        <v>0</v>
      </c>
      <c r="X478" s="452">
        <f t="shared" si="139"/>
        <v>0</v>
      </c>
      <c r="Y478" s="452">
        <f t="shared" si="139"/>
        <v>0</v>
      </c>
      <c r="Z478" s="452">
        <f t="shared" si="139"/>
        <v>-24075305.605324887</v>
      </c>
      <c r="AA478" s="452">
        <f t="shared" si="139"/>
        <v>0</v>
      </c>
      <c r="AB478" s="452">
        <f t="shared" si="139"/>
        <v>-7645649.3846697286</v>
      </c>
      <c r="AC478" s="452">
        <f t="shared" si="139"/>
        <v>228474.10578381649</v>
      </c>
      <c r="AD478" s="452">
        <f t="shared" si="139"/>
        <v>0</v>
      </c>
      <c r="AE478" s="452">
        <f t="shared" si="139"/>
        <v>4888615.928123828</v>
      </c>
      <c r="AF478" s="452">
        <f t="shared" si="139"/>
        <v>1373709.4487999985</v>
      </c>
      <c r="AG478" s="452">
        <f t="shared" si="139"/>
        <v>-16624581.7767426</v>
      </c>
      <c r="AH478" s="452">
        <f t="shared" si="139"/>
        <v>-2910478.9345000004</v>
      </c>
      <c r="AI478" s="452">
        <f t="shared" si="139"/>
        <v>-3517218.4158999999</v>
      </c>
      <c r="AJ478" s="452">
        <f t="shared" si="139"/>
        <v>-16175522.572112106</v>
      </c>
      <c r="AK478" s="452">
        <f>+AK230</f>
        <v>0</v>
      </c>
      <c r="AL478" s="452">
        <f>+AL230</f>
        <v>-8102989.6878311252</v>
      </c>
      <c r="AM478" s="452">
        <f t="shared" ref="AM478:AV478" si="140">+AM230</f>
        <v>-109020</v>
      </c>
      <c r="AN478" s="452">
        <f t="shared" si="140"/>
        <v>-5924999.9999999627</v>
      </c>
      <c r="AO478" s="452">
        <f t="shared" si="140"/>
        <v>-444846.3825050923</v>
      </c>
      <c r="AP478" s="452">
        <f t="shared" si="140"/>
        <v>-2006100.9934268999</v>
      </c>
      <c r="AQ478" s="452">
        <f t="shared" si="140"/>
        <v>0</v>
      </c>
      <c r="AR478" s="452">
        <f t="shared" si="140"/>
        <v>0</v>
      </c>
      <c r="AS478" s="452">
        <f t="shared" si="140"/>
        <v>0</v>
      </c>
      <c r="AT478" s="452">
        <f t="shared" si="140"/>
        <v>0</v>
      </c>
      <c r="AU478" s="452">
        <f t="shared" si="140"/>
        <v>0</v>
      </c>
      <c r="AV478" s="452">
        <f t="shared" si="140"/>
        <v>-109193701.3612794</v>
      </c>
      <c r="AW478" s="452">
        <f t="shared" si="139"/>
        <v>0</v>
      </c>
      <c r="AX478" s="452">
        <f t="shared" si="139"/>
        <v>-806862.43018333323</v>
      </c>
      <c r="AY478" s="452">
        <f t="shared" si="139"/>
        <v>2105588.504932377</v>
      </c>
      <c r="AZ478" s="452">
        <f t="shared" si="139"/>
        <v>0</v>
      </c>
      <c r="BA478" s="452">
        <f t="shared" si="139"/>
        <v>4194471.6992107397</v>
      </c>
      <c r="BB478" s="452">
        <f t="shared" si="139"/>
        <v>0</v>
      </c>
      <c r="BC478" s="452">
        <f t="shared" si="139"/>
        <v>0</v>
      </c>
      <c r="BD478" s="452">
        <f t="shared" si="139"/>
        <v>0</v>
      </c>
      <c r="BE478" s="452">
        <f>+BE230</f>
        <v>-687531.06917020504</v>
      </c>
      <c r="BF478" s="452">
        <f t="shared" si="139"/>
        <v>-1203226.320895575</v>
      </c>
      <c r="BG478" s="452">
        <f t="shared" si="139"/>
        <v>-179535703.40697598</v>
      </c>
      <c r="BH478" s="452">
        <f t="shared" si="139"/>
        <v>-83596979.748764038</v>
      </c>
      <c r="BI478" s="82"/>
      <c r="BK478" s="82"/>
    </row>
    <row r="479" spans="2:63" x14ac:dyDescent="0.25">
      <c r="B479" s="453" t="s">
        <v>167</v>
      </c>
      <c r="C479" s="459" t="s">
        <v>169</v>
      </c>
      <c r="D479" s="454">
        <f>+D232</f>
        <v>6555542930.3883753</v>
      </c>
      <c r="E479" s="454">
        <f t="shared" ref="E479:BH479" si="141">+E232</f>
        <v>0</v>
      </c>
      <c r="F479" s="454">
        <f t="shared" si="141"/>
        <v>0</v>
      </c>
      <c r="G479" s="454">
        <f t="shared" si="141"/>
        <v>0</v>
      </c>
      <c r="H479" s="454">
        <f t="shared" si="141"/>
        <v>0</v>
      </c>
      <c r="I479" s="454">
        <f t="shared" si="141"/>
        <v>0</v>
      </c>
      <c r="J479" s="454">
        <f t="shared" si="141"/>
        <v>0</v>
      </c>
      <c r="K479" s="454">
        <f t="shared" si="141"/>
        <v>0</v>
      </c>
      <c r="L479" s="454">
        <f t="shared" si="141"/>
        <v>0</v>
      </c>
      <c r="M479" s="454">
        <f t="shared" si="141"/>
        <v>0</v>
      </c>
      <c r="N479" s="454">
        <f t="shared" si="141"/>
        <v>0</v>
      </c>
      <c r="O479" s="454">
        <f t="shared" si="141"/>
        <v>0</v>
      </c>
      <c r="P479" s="454">
        <f t="shared" si="141"/>
        <v>0</v>
      </c>
      <c r="Q479" s="454">
        <f t="shared" si="141"/>
        <v>0</v>
      </c>
      <c r="R479" s="454">
        <f t="shared" si="141"/>
        <v>0</v>
      </c>
      <c r="S479" s="454">
        <f t="shared" si="141"/>
        <v>0</v>
      </c>
      <c r="T479" s="454">
        <f t="shared" si="141"/>
        <v>0</v>
      </c>
      <c r="U479" s="454">
        <f t="shared" si="141"/>
        <v>0</v>
      </c>
      <c r="V479" s="454">
        <f t="shared" si="141"/>
        <v>0</v>
      </c>
      <c r="W479" s="454">
        <f t="shared" si="141"/>
        <v>0</v>
      </c>
      <c r="X479" s="454">
        <f t="shared" si="141"/>
        <v>0</v>
      </c>
      <c r="Y479" s="454">
        <f t="shared" si="141"/>
        <v>0</v>
      </c>
      <c r="Z479" s="454">
        <f t="shared" si="141"/>
        <v>0</v>
      </c>
      <c r="AA479" s="454">
        <f t="shared" si="141"/>
        <v>0</v>
      </c>
      <c r="AB479" s="454">
        <f t="shared" si="141"/>
        <v>0</v>
      </c>
      <c r="AC479" s="454">
        <f t="shared" si="141"/>
        <v>0</v>
      </c>
      <c r="AD479" s="454">
        <f t="shared" si="141"/>
        <v>0</v>
      </c>
      <c r="AE479" s="454">
        <f t="shared" si="141"/>
        <v>-184969861.88016725</v>
      </c>
      <c r="AF479" s="454">
        <f t="shared" si="141"/>
        <v>1611738.4900000002</v>
      </c>
      <c r="AG479" s="454">
        <f t="shared" si="141"/>
        <v>140816957.66638008</v>
      </c>
      <c r="AH479" s="454">
        <f t="shared" si="141"/>
        <v>58445474.00000003</v>
      </c>
      <c r="AI479" s="454">
        <f t="shared" si="141"/>
        <v>22762120.34999986</v>
      </c>
      <c r="AJ479" s="454">
        <f t="shared" si="141"/>
        <v>32162788.986010209</v>
      </c>
      <c r="AK479" s="454">
        <f>+AK232</f>
        <v>0</v>
      </c>
      <c r="AL479" s="454">
        <f>+AL232</f>
        <v>0</v>
      </c>
      <c r="AM479" s="454">
        <f t="shared" ref="AM479:AV479" si="142">+AM232</f>
        <v>0</v>
      </c>
      <c r="AN479" s="454">
        <f t="shared" si="142"/>
        <v>-2962499.9999999814</v>
      </c>
      <c r="AO479" s="454">
        <f t="shared" si="142"/>
        <v>0</v>
      </c>
      <c r="AP479" s="454">
        <f t="shared" si="142"/>
        <v>0</v>
      </c>
      <c r="AQ479" s="454">
        <f t="shared" si="142"/>
        <v>0</v>
      </c>
      <c r="AR479" s="454">
        <f t="shared" si="142"/>
        <v>0</v>
      </c>
      <c r="AS479" s="454">
        <f t="shared" si="142"/>
        <v>0</v>
      </c>
      <c r="AT479" s="454">
        <f t="shared" si="142"/>
        <v>0</v>
      </c>
      <c r="AU479" s="454">
        <f t="shared" si="142"/>
        <v>0</v>
      </c>
      <c r="AV479" s="454">
        <f t="shared" si="142"/>
        <v>0</v>
      </c>
      <c r="AW479" s="454">
        <f t="shared" si="141"/>
        <v>42899.142500001064</v>
      </c>
      <c r="AX479" s="454">
        <f t="shared" si="141"/>
        <v>0</v>
      </c>
      <c r="AY479" s="454">
        <f t="shared" si="141"/>
        <v>-13998573.029924475</v>
      </c>
      <c r="AZ479" s="454">
        <f t="shared" si="141"/>
        <v>0</v>
      </c>
      <c r="BA479" s="454">
        <f t="shared" si="141"/>
        <v>0</v>
      </c>
      <c r="BB479" s="454">
        <f t="shared" si="141"/>
        <v>0</v>
      </c>
      <c r="BC479" s="454">
        <f t="shared" si="141"/>
        <v>-2880746.5800000113</v>
      </c>
      <c r="BD479" s="454">
        <f t="shared" si="141"/>
        <v>0</v>
      </c>
      <c r="BE479" s="454">
        <f>+BE232</f>
        <v>-170475.97229999999</v>
      </c>
      <c r="BF479" s="454">
        <f t="shared" si="141"/>
        <v>0</v>
      </c>
      <c r="BG479" s="454">
        <f t="shared" si="141"/>
        <v>50859821.172498472</v>
      </c>
      <c r="BH479" s="454">
        <f t="shared" si="141"/>
        <v>6606402751.560873</v>
      </c>
      <c r="BI479" s="82"/>
      <c r="BK479" s="82"/>
    </row>
    <row r="480" spans="2:63" x14ac:dyDescent="0.25">
      <c r="B480" s="456" t="s">
        <v>153</v>
      </c>
      <c r="C480" s="460" t="s">
        <v>169</v>
      </c>
      <c r="D480" s="454">
        <f>+D248</f>
        <v>540370262.49228799</v>
      </c>
      <c r="E480" s="454">
        <f t="shared" ref="E480:BH480" si="143">+E248</f>
        <v>-7813731.2555167684</v>
      </c>
      <c r="F480" s="454">
        <f t="shared" si="143"/>
        <v>0</v>
      </c>
      <c r="G480" s="454">
        <f t="shared" si="143"/>
        <v>0</v>
      </c>
      <c r="H480" s="454">
        <f t="shared" si="143"/>
        <v>-606417.84376428241</v>
      </c>
      <c r="I480" s="454">
        <f t="shared" si="143"/>
        <v>-1113672.2305203462</v>
      </c>
      <c r="J480" s="454">
        <f t="shared" si="143"/>
        <v>0</v>
      </c>
      <c r="K480" s="454">
        <f t="shared" si="143"/>
        <v>0</v>
      </c>
      <c r="L480" s="454">
        <f t="shared" si="143"/>
        <v>0</v>
      </c>
      <c r="M480" s="454">
        <f t="shared" si="143"/>
        <v>0</v>
      </c>
      <c r="N480" s="454">
        <f t="shared" si="143"/>
        <v>0</v>
      </c>
      <c r="O480" s="454">
        <f t="shared" si="143"/>
        <v>93241.326993481052</v>
      </c>
      <c r="P480" s="454">
        <f t="shared" si="143"/>
        <v>0</v>
      </c>
      <c r="Q480" s="454">
        <f t="shared" si="143"/>
        <v>0</v>
      </c>
      <c r="R480" s="454">
        <f t="shared" si="143"/>
        <v>0</v>
      </c>
      <c r="S480" s="454">
        <f t="shared" si="143"/>
        <v>-21450.928574696303</v>
      </c>
      <c r="T480" s="454">
        <f t="shared" si="143"/>
        <v>0</v>
      </c>
      <c r="U480" s="454">
        <f t="shared" si="143"/>
        <v>0</v>
      </c>
      <c r="V480" s="454">
        <f t="shared" si="143"/>
        <v>0</v>
      </c>
      <c r="W480" s="454">
        <f t="shared" si="143"/>
        <v>0</v>
      </c>
      <c r="X480" s="454">
        <f t="shared" si="143"/>
        <v>0</v>
      </c>
      <c r="Y480" s="454">
        <f t="shared" si="143"/>
        <v>0</v>
      </c>
      <c r="Z480" s="454">
        <f t="shared" si="143"/>
        <v>32078038.388330385</v>
      </c>
      <c r="AA480" s="454">
        <f t="shared" si="143"/>
        <v>0</v>
      </c>
      <c r="AB480" s="454">
        <f t="shared" si="143"/>
        <v>10187095.378382446</v>
      </c>
      <c r="AC480" s="454">
        <f t="shared" si="143"/>
        <v>-304419.85893012804</v>
      </c>
      <c r="AD480" s="454">
        <f t="shared" si="143"/>
        <v>0</v>
      </c>
      <c r="AE480" s="454">
        <f t="shared" si="143"/>
        <v>-25367390.955315989</v>
      </c>
      <c r="AF480" s="454">
        <f t="shared" si="143"/>
        <v>-1666053.4777948158</v>
      </c>
      <c r="AG480" s="454">
        <f t="shared" si="143"/>
        <v>36503983.273291655</v>
      </c>
      <c r="AH480" s="454">
        <f t="shared" si="143"/>
        <v>9835218.5016315319</v>
      </c>
      <c r="AI480" s="454">
        <f t="shared" si="143"/>
        <v>7006474.9816794265</v>
      </c>
      <c r="AJ480" s="454">
        <f t="shared" si="143"/>
        <v>24830652.664264631</v>
      </c>
      <c r="AK480" s="454">
        <f>+AK248</f>
        <v>0</v>
      </c>
      <c r="AL480" s="454">
        <f>+AL248</f>
        <v>10796457.520730376</v>
      </c>
      <c r="AM480" s="454">
        <f t="shared" ref="AM480:AV480" si="144">+AM248</f>
        <v>145258.7062621665</v>
      </c>
      <c r="AN480" s="454">
        <f t="shared" si="144"/>
        <v>7592530.4754150966</v>
      </c>
      <c r="AO480" s="454">
        <f t="shared" si="144"/>
        <v>592715.18994766613</v>
      </c>
      <c r="AP480" s="454">
        <f t="shared" si="144"/>
        <v>2672937.3962248988</v>
      </c>
      <c r="AQ480" s="454">
        <f t="shared" si="144"/>
        <v>0</v>
      </c>
      <c r="AR480" s="454">
        <f t="shared" si="144"/>
        <v>0</v>
      </c>
      <c r="AS480" s="454">
        <f t="shared" si="144"/>
        <v>0</v>
      </c>
      <c r="AT480" s="454">
        <f t="shared" si="144"/>
        <v>0</v>
      </c>
      <c r="AU480" s="454">
        <f t="shared" si="144"/>
        <v>0</v>
      </c>
      <c r="AV480" s="454">
        <f t="shared" si="144"/>
        <v>145490146.68608344</v>
      </c>
      <c r="AW480" s="454">
        <f t="shared" si="143"/>
        <v>4372.663331103885</v>
      </c>
      <c r="AX480" s="454">
        <f t="shared" si="143"/>
        <v>1075066.893597309</v>
      </c>
      <c r="AY480" s="454">
        <f t="shared" si="143"/>
        <v>-4232354.4271416049</v>
      </c>
      <c r="AZ480" s="454">
        <f t="shared" si="143"/>
        <v>0</v>
      </c>
      <c r="BA480" s="454">
        <f t="shared" si="143"/>
        <v>-5588731.72335923</v>
      </c>
      <c r="BB480" s="454">
        <f t="shared" si="143"/>
        <v>0</v>
      </c>
      <c r="BC480" s="454">
        <f t="shared" si="143"/>
        <v>-293631.39220250526</v>
      </c>
      <c r="BD480" s="454">
        <f t="shared" si="143"/>
        <v>0</v>
      </c>
      <c r="BE480" s="454">
        <f>+BE248</f>
        <v>898692.85456842103</v>
      </c>
      <c r="BF480" s="454">
        <f t="shared" si="143"/>
        <v>1603183.8076855405</v>
      </c>
      <c r="BG480" s="454">
        <f t="shared" si="143"/>
        <v>244398212.6152992</v>
      </c>
      <c r="BH480" s="454">
        <f t="shared" si="143"/>
        <v>784768475.10758591</v>
      </c>
      <c r="BI480" s="82"/>
      <c r="BK480" s="82"/>
    </row>
    <row r="481" spans="1:63" x14ac:dyDescent="0.25">
      <c r="B481" s="449" t="s">
        <v>166</v>
      </c>
      <c r="C481" s="458" t="s">
        <v>170</v>
      </c>
      <c r="D481" s="452">
        <f>+D291</f>
        <v>-83596979.748764038</v>
      </c>
      <c r="E481" s="452">
        <f t="shared" ref="E481:BH481" si="145">+E291</f>
        <v>20437052.072853372</v>
      </c>
      <c r="F481" s="452">
        <f t="shared" si="145"/>
        <v>0</v>
      </c>
      <c r="G481" s="452">
        <f t="shared" si="145"/>
        <v>0</v>
      </c>
      <c r="H481" s="452">
        <f t="shared" si="145"/>
        <v>560044.45140025904</v>
      </c>
      <c r="I481" s="452">
        <f t="shared" si="145"/>
        <v>3921908.0189300617</v>
      </c>
      <c r="J481" s="452">
        <f t="shared" si="145"/>
        <v>0</v>
      </c>
      <c r="K481" s="452">
        <f t="shared" si="145"/>
        <v>0</v>
      </c>
      <c r="L481" s="452">
        <f t="shared" si="145"/>
        <v>0</v>
      </c>
      <c r="M481" s="452">
        <f t="shared" si="145"/>
        <v>0</v>
      </c>
      <c r="N481" s="452">
        <f t="shared" si="145"/>
        <v>0</v>
      </c>
      <c r="O481" s="452">
        <f t="shared" si="145"/>
        <v>-4069.3607009257348</v>
      </c>
      <c r="P481" s="452">
        <f t="shared" si="145"/>
        <v>0</v>
      </c>
      <c r="Q481" s="452">
        <f t="shared" si="145"/>
        <v>0</v>
      </c>
      <c r="R481" s="452">
        <f t="shared" si="145"/>
        <v>0</v>
      </c>
      <c r="S481" s="452">
        <f t="shared" si="145"/>
        <v>0</v>
      </c>
      <c r="T481" s="452">
        <f t="shared" si="145"/>
        <v>0</v>
      </c>
      <c r="U481" s="452">
        <f t="shared" si="145"/>
        <v>0</v>
      </c>
      <c r="V481" s="452">
        <f t="shared" si="145"/>
        <v>0</v>
      </c>
      <c r="W481" s="452">
        <f t="shared" si="145"/>
        <v>0</v>
      </c>
      <c r="X481" s="452">
        <f t="shared" si="145"/>
        <v>0</v>
      </c>
      <c r="Y481" s="452">
        <f t="shared" si="145"/>
        <v>0</v>
      </c>
      <c r="Z481" s="452">
        <f t="shared" si="145"/>
        <v>-16378519.056668101</v>
      </c>
      <c r="AA481" s="452">
        <f t="shared" si="145"/>
        <v>0</v>
      </c>
      <c r="AB481" s="452">
        <f t="shared" si="145"/>
        <v>0</v>
      </c>
      <c r="AC481" s="452">
        <f t="shared" si="145"/>
        <v>391700.98369999998</v>
      </c>
      <c r="AD481" s="452">
        <f t="shared" si="145"/>
        <v>0</v>
      </c>
      <c r="AE481" s="452">
        <f t="shared" si="145"/>
        <v>17358777.87647894</v>
      </c>
      <c r="AF481" s="452">
        <f t="shared" si="145"/>
        <v>1373709.4488000064</v>
      </c>
      <c r="AG481" s="452">
        <f t="shared" si="145"/>
        <v>-20647116.146404609</v>
      </c>
      <c r="AH481" s="452">
        <f t="shared" si="145"/>
        <v>-3227884.0601000004</v>
      </c>
      <c r="AI481" s="452">
        <f t="shared" si="145"/>
        <v>-8420360.875585597</v>
      </c>
      <c r="AJ481" s="452">
        <f t="shared" si="145"/>
        <v>-23599334.294725846</v>
      </c>
      <c r="AK481" s="452">
        <f>+AK291</f>
        <v>0</v>
      </c>
      <c r="AL481" s="452">
        <f>+AL291</f>
        <v>0</v>
      </c>
      <c r="AM481" s="452">
        <f t="shared" ref="AM481:AV481" si="146">+AM291</f>
        <v>0</v>
      </c>
      <c r="AN481" s="452">
        <f t="shared" si="146"/>
        <v>0</v>
      </c>
      <c r="AO481" s="452">
        <f t="shared" si="146"/>
        <v>-15569.623387678046</v>
      </c>
      <c r="AP481" s="452">
        <f t="shared" si="146"/>
        <v>-1002479.2559571001</v>
      </c>
      <c r="AQ481" s="452">
        <f t="shared" si="146"/>
        <v>0</v>
      </c>
      <c r="AR481" s="452">
        <f t="shared" si="146"/>
        <v>0</v>
      </c>
      <c r="AS481" s="452">
        <f t="shared" si="146"/>
        <v>0</v>
      </c>
      <c r="AT481" s="452">
        <f t="shared" si="146"/>
        <v>0</v>
      </c>
      <c r="AU481" s="452">
        <f t="shared" si="146"/>
        <v>0</v>
      </c>
      <c r="AV481" s="452">
        <f t="shared" si="146"/>
        <v>-25931610.489735454</v>
      </c>
      <c r="AW481" s="452">
        <f t="shared" si="145"/>
        <v>0</v>
      </c>
      <c r="AX481" s="452">
        <f t="shared" si="145"/>
        <v>0</v>
      </c>
      <c r="AY481" s="452">
        <f t="shared" si="145"/>
        <v>6991937.3692966523</v>
      </c>
      <c r="AZ481" s="452">
        <f t="shared" si="145"/>
        <v>0</v>
      </c>
      <c r="BA481" s="452">
        <f t="shared" si="145"/>
        <v>7839374.2828592705</v>
      </c>
      <c r="BB481" s="452">
        <f t="shared" si="145"/>
        <v>0</v>
      </c>
      <c r="BC481" s="452">
        <f t="shared" si="145"/>
        <v>1.1175870895385742E-8</v>
      </c>
      <c r="BD481" s="452">
        <f t="shared" si="145"/>
        <v>0</v>
      </c>
      <c r="BE481" s="452">
        <f>+BE291</f>
        <v>0</v>
      </c>
      <c r="BF481" s="452">
        <f t="shared" si="145"/>
        <v>0</v>
      </c>
      <c r="BG481" s="452">
        <f t="shared" si="145"/>
        <v>-40352438.658946708</v>
      </c>
      <c r="BH481" s="452">
        <f t="shared" si="145"/>
        <v>-123949418.40771055</v>
      </c>
      <c r="BI481" s="82"/>
      <c r="BK481" s="82"/>
    </row>
    <row r="482" spans="1:63" x14ac:dyDescent="0.25">
      <c r="B482" s="453" t="s">
        <v>167</v>
      </c>
      <c r="C482" s="459" t="s">
        <v>170</v>
      </c>
      <c r="D482" s="454">
        <f>+D293</f>
        <v>6606402751.560873</v>
      </c>
      <c r="E482" s="454">
        <f t="shared" ref="E482:BH482" si="147">+E293</f>
        <v>0</v>
      </c>
      <c r="F482" s="454">
        <f t="shared" si="147"/>
        <v>0</v>
      </c>
      <c r="G482" s="454">
        <f t="shared" si="147"/>
        <v>0</v>
      </c>
      <c r="H482" s="454">
        <f t="shared" si="147"/>
        <v>0</v>
      </c>
      <c r="I482" s="454">
        <f t="shared" si="147"/>
        <v>0</v>
      </c>
      <c r="J482" s="454">
        <f t="shared" si="147"/>
        <v>0</v>
      </c>
      <c r="K482" s="454">
        <f t="shared" si="147"/>
        <v>0</v>
      </c>
      <c r="L482" s="454">
        <f t="shared" si="147"/>
        <v>0</v>
      </c>
      <c r="M482" s="454">
        <f t="shared" si="147"/>
        <v>0</v>
      </c>
      <c r="N482" s="454">
        <f t="shared" si="147"/>
        <v>0</v>
      </c>
      <c r="O482" s="454">
        <f t="shared" si="147"/>
        <v>0</v>
      </c>
      <c r="P482" s="454">
        <f t="shared" si="147"/>
        <v>0</v>
      </c>
      <c r="Q482" s="454">
        <f t="shared" si="147"/>
        <v>0</v>
      </c>
      <c r="R482" s="454">
        <f t="shared" si="147"/>
        <v>0</v>
      </c>
      <c r="S482" s="454">
        <f t="shared" si="147"/>
        <v>0</v>
      </c>
      <c r="T482" s="454">
        <f t="shared" si="147"/>
        <v>0</v>
      </c>
      <c r="U482" s="454">
        <f t="shared" si="147"/>
        <v>0</v>
      </c>
      <c r="V482" s="454">
        <f t="shared" si="147"/>
        <v>0</v>
      </c>
      <c r="W482" s="454">
        <f t="shared" si="147"/>
        <v>0</v>
      </c>
      <c r="X482" s="454">
        <f t="shared" si="147"/>
        <v>0</v>
      </c>
      <c r="Y482" s="454">
        <f t="shared" si="147"/>
        <v>0</v>
      </c>
      <c r="Z482" s="454">
        <f t="shared" si="147"/>
        <v>0</v>
      </c>
      <c r="AA482" s="454">
        <f t="shared" si="147"/>
        <v>0</v>
      </c>
      <c r="AB482" s="454">
        <f t="shared" si="147"/>
        <v>0</v>
      </c>
      <c r="AC482" s="454">
        <f t="shared" si="147"/>
        <v>0</v>
      </c>
      <c r="AD482" s="454">
        <f t="shared" si="147"/>
        <v>0</v>
      </c>
      <c r="AE482" s="454">
        <f t="shared" si="147"/>
        <v>-352250228.54315853</v>
      </c>
      <c r="AF482" s="454">
        <f t="shared" si="147"/>
        <v>4335624.6499999985</v>
      </c>
      <c r="AG482" s="454">
        <f t="shared" si="147"/>
        <v>418971407.62234509</v>
      </c>
      <c r="AH482" s="454">
        <f t="shared" si="147"/>
        <v>125773794.9999999</v>
      </c>
      <c r="AI482" s="454">
        <f t="shared" si="147"/>
        <v>419038070.00017005</v>
      </c>
      <c r="AJ482" s="454">
        <f t="shared" si="147"/>
        <v>230764921.507195</v>
      </c>
      <c r="AK482" s="454">
        <f>+AK293</f>
        <v>0</v>
      </c>
      <c r="AL482" s="454">
        <f>+AL293</f>
        <v>0</v>
      </c>
      <c r="AM482" s="454">
        <f t="shared" ref="AM482:AV482" si="148">+AM293</f>
        <v>0</v>
      </c>
      <c r="AN482" s="454">
        <f t="shared" si="148"/>
        <v>-5924999.9999999665</v>
      </c>
      <c r="AO482" s="454">
        <f t="shared" si="148"/>
        <v>0</v>
      </c>
      <c r="AP482" s="454">
        <f t="shared" si="148"/>
        <v>0</v>
      </c>
      <c r="AQ482" s="454">
        <f t="shared" si="148"/>
        <v>0</v>
      </c>
      <c r="AR482" s="454">
        <f t="shared" si="148"/>
        <v>0</v>
      </c>
      <c r="AS482" s="454">
        <f t="shared" si="148"/>
        <v>0</v>
      </c>
      <c r="AT482" s="454">
        <f t="shared" si="148"/>
        <v>0</v>
      </c>
      <c r="AU482" s="454">
        <f t="shared" si="148"/>
        <v>0</v>
      </c>
      <c r="AV482" s="454">
        <f t="shared" si="148"/>
        <v>0</v>
      </c>
      <c r="AW482" s="454">
        <f t="shared" si="147"/>
        <v>42899.142500001384</v>
      </c>
      <c r="AX482" s="454">
        <f t="shared" si="147"/>
        <v>0</v>
      </c>
      <c r="AY482" s="454">
        <f t="shared" si="147"/>
        <v>-24066779.190046482</v>
      </c>
      <c r="AZ482" s="454">
        <f t="shared" si="147"/>
        <v>0</v>
      </c>
      <c r="BA482" s="454">
        <f t="shared" si="147"/>
        <v>0</v>
      </c>
      <c r="BB482" s="454">
        <f t="shared" si="147"/>
        <v>0</v>
      </c>
      <c r="BC482" s="454">
        <f t="shared" si="147"/>
        <v>-5761493.1600000188</v>
      </c>
      <c r="BD482" s="454">
        <f t="shared" si="147"/>
        <v>0</v>
      </c>
      <c r="BE482" s="454">
        <f>+BE293</f>
        <v>-340951.94460000005</v>
      </c>
      <c r="BF482" s="454">
        <f t="shared" si="147"/>
        <v>0</v>
      </c>
      <c r="BG482" s="454">
        <f t="shared" si="147"/>
        <v>810582265.08440506</v>
      </c>
      <c r="BH482" s="454">
        <f t="shared" si="147"/>
        <v>7416985016.6452789</v>
      </c>
      <c r="BI482" s="82"/>
      <c r="BK482" s="82"/>
    </row>
    <row r="483" spans="1:63" x14ac:dyDescent="0.25">
      <c r="B483" s="456" t="s">
        <v>153</v>
      </c>
      <c r="C483" s="460" t="s">
        <v>170</v>
      </c>
      <c r="D483" s="454">
        <f>+D309</f>
        <v>784768475.10758591</v>
      </c>
      <c r="E483" s="454">
        <f t="shared" ref="E483:BH483" si="149">+E309</f>
        <v>-27230414.088380195</v>
      </c>
      <c r="F483" s="454">
        <f t="shared" si="149"/>
        <v>0</v>
      </c>
      <c r="G483" s="454">
        <f t="shared" si="149"/>
        <v>0</v>
      </c>
      <c r="H483" s="454">
        <f t="shared" si="149"/>
        <v>-746205.58117507258</v>
      </c>
      <c r="I483" s="454">
        <f t="shared" si="149"/>
        <v>-5225566.7300403342</v>
      </c>
      <c r="J483" s="454">
        <f t="shared" si="149"/>
        <v>0</v>
      </c>
      <c r="K483" s="454">
        <f t="shared" si="149"/>
        <v>0</v>
      </c>
      <c r="L483" s="454">
        <f t="shared" si="149"/>
        <v>0</v>
      </c>
      <c r="M483" s="454">
        <f t="shared" si="149"/>
        <v>0</v>
      </c>
      <c r="N483" s="454">
        <f t="shared" si="149"/>
        <v>0</v>
      </c>
      <c r="O483" s="454">
        <f t="shared" si="149"/>
        <v>5422.0333033441138</v>
      </c>
      <c r="P483" s="454">
        <f t="shared" si="149"/>
        <v>0</v>
      </c>
      <c r="Q483" s="454">
        <f t="shared" si="149"/>
        <v>0</v>
      </c>
      <c r="R483" s="454">
        <f t="shared" si="149"/>
        <v>0</v>
      </c>
      <c r="S483" s="454">
        <f t="shared" si="149"/>
        <v>0</v>
      </c>
      <c r="T483" s="454">
        <f t="shared" si="149"/>
        <v>0</v>
      </c>
      <c r="U483" s="454">
        <f t="shared" si="149"/>
        <v>0</v>
      </c>
      <c r="V483" s="454">
        <f t="shared" si="149"/>
        <v>0</v>
      </c>
      <c r="W483" s="454">
        <f t="shared" si="149"/>
        <v>0</v>
      </c>
      <c r="X483" s="454">
        <f t="shared" si="149"/>
        <v>0</v>
      </c>
      <c r="Y483" s="454">
        <f t="shared" si="149"/>
        <v>0</v>
      </c>
      <c r="Z483" s="454">
        <f t="shared" si="149"/>
        <v>21822807.63769811</v>
      </c>
      <c r="AA483" s="454">
        <f t="shared" si="149"/>
        <v>0</v>
      </c>
      <c r="AB483" s="454">
        <f t="shared" si="149"/>
        <v>0</v>
      </c>
      <c r="AC483" s="454">
        <f t="shared" si="149"/>
        <v>-521904.03718473646</v>
      </c>
      <c r="AD483" s="454">
        <f t="shared" si="149"/>
        <v>0</v>
      </c>
      <c r="AE483" s="454">
        <f t="shared" si="149"/>
        <v>-60629149.455882497</v>
      </c>
      <c r="AF483" s="454">
        <f t="shared" si="149"/>
        <v>-1368769.5637109142</v>
      </c>
      <c r="AG483" s="454">
        <f t="shared" si="149"/>
        <v>72113621.588452294</v>
      </c>
      <c r="AH483" s="454">
        <f t="shared" si="149"/>
        <v>17690610.788210344</v>
      </c>
      <c r="AI483" s="454">
        <f t="shared" si="149"/>
        <v>55829738.287299901</v>
      </c>
      <c r="AJ483" s="454">
        <f t="shared" si="149"/>
        <v>56010877.112561136</v>
      </c>
      <c r="AK483" s="454">
        <f>+AK309</f>
        <v>0</v>
      </c>
      <c r="AL483" s="454">
        <f>+AL309</f>
        <v>0</v>
      </c>
      <c r="AM483" s="454">
        <f t="shared" ref="AM483:AV483" si="150">+AM309</f>
        <v>0</v>
      </c>
      <c r="AN483" s="454">
        <f t="shared" si="150"/>
        <v>-630770.14295364334</v>
      </c>
      <c r="AO483" s="454">
        <f t="shared" si="150"/>
        <v>20745.031648168071</v>
      </c>
      <c r="AP483" s="454">
        <f t="shared" si="150"/>
        <v>1335707.5745274962</v>
      </c>
      <c r="AQ483" s="454">
        <f t="shared" si="150"/>
        <v>0</v>
      </c>
      <c r="AR483" s="454">
        <f t="shared" si="150"/>
        <v>0</v>
      </c>
      <c r="AS483" s="454">
        <f t="shared" si="150"/>
        <v>0</v>
      </c>
      <c r="AT483" s="454">
        <f t="shared" si="150"/>
        <v>0</v>
      </c>
      <c r="AU483" s="454">
        <f t="shared" si="150"/>
        <v>0</v>
      </c>
      <c r="AV483" s="454">
        <f t="shared" si="150"/>
        <v>34551386.819238655</v>
      </c>
      <c r="AW483" s="454">
        <f t="shared" si="149"/>
        <v>4567.0039235974245</v>
      </c>
      <c r="AX483" s="454">
        <f t="shared" si="149"/>
        <v>0</v>
      </c>
      <c r="AY483" s="454">
        <f t="shared" si="149"/>
        <v>-11878214.294007465</v>
      </c>
      <c r="AZ483" s="454">
        <f t="shared" si="149"/>
        <v>0</v>
      </c>
      <c r="BA483" s="454">
        <f t="shared" si="149"/>
        <v>-10445215.247046752</v>
      </c>
      <c r="BB483" s="454">
        <f t="shared" si="149"/>
        <v>0</v>
      </c>
      <c r="BC483" s="454">
        <f t="shared" si="149"/>
        <v>-613363.35260080325</v>
      </c>
      <c r="BD483" s="454">
        <f t="shared" si="149"/>
        <v>0</v>
      </c>
      <c r="BE483" s="454">
        <f>+BE309</f>
        <v>-36297.43575285501</v>
      </c>
      <c r="BF483" s="454">
        <f t="shared" si="149"/>
        <v>0</v>
      </c>
      <c r="BG483" s="454">
        <f t="shared" si="149"/>
        <v>140059613.94812778</v>
      </c>
      <c r="BH483" s="454">
        <f t="shared" si="149"/>
        <v>954756244.9620707</v>
      </c>
      <c r="BI483" s="82"/>
      <c r="BK483" s="82"/>
    </row>
    <row r="484" spans="1:63" hidden="1" outlineLevel="1" x14ac:dyDescent="0.25">
      <c r="B484" s="449"/>
      <c r="C484" s="458"/>
      <c r="D484" s="452">
        <f>+D352</f>
        <v>0</v>
      </c>
      <c r="E484" s="452">
        <f t="shared" ref="E484:BH484" si="151">+E352</f>
        <v>0</v>
      </c>
      <c r="F484" s="452">
        <f t="shared" si="151"/>
        <v>0</v>
      </c>
      <c r="G484" s="452">
        <f t="shared" si="151"/>
        <v>0</v>
      </c>
      <c r="H484" s="452">
        <f t="shared" si="151"/>
        <v>0</v>
      </c>
      <c r="I484" s="452">
        <f t="shared" si="151"/>
        <v>0</v>
      </c>
      <c r="J484" s="452">
        <f t="shared" si="151"/>
        <v>0</v>
      </c>
      <c r="K484" s="452">
        <f t="shared" si="151"/>
        <v>0</v>
      </c>
      <c r="L484" s="452">
        <f t="shared" si="151"/>
        <v>0</v>
      </c>
      <c r="M484" s="452">
        <f t="shared" si="151"/>
        <v>0</v>
      </c>
      <c r="N484" s="452">
        <f t="shared" si="151"/>
        <v>0</v>
      </c>
      <c r="O484" s="452">
        <f t="shared" si="151"/>
        <v>0</v>
      </c>
      <c r="P484" s="452">
        <f t="shared" si="151"/>
        <v>0</v>
      </c>
      <c r="Q484" s="452">
        <f t="shared" si="151"/>
        <v>0</v>
      </c>
      <c r="R484" s="452">
        <f t="shared" si="151"/>
        <v>0</v>
      </c>
      <c r="S484" s="452">
        <f t="shared" si="151"/>
        <v>0</v>
      </c>
      <c r="T484" s="452">
        <f t="shared" si="151"/>
        <v>0</v>
      </c>
      <c r="U484" s="452">
        <f t="shared" si="151"/>
        <v>0</v>
      </c>
      <c r="V484" s="452">
        <f t="shared" si="151"/>
        <v>0</v>
      </c>
      <c r="W484" s="452">
        <f t="shared" si="151"/>
        <v>0</v>
      </c>
      <c r="X484" s="452">
        <f t="shared" si="151"/>
        <v>0</v>
      </c>
      <c r="Y484" s="452">
        <f t="shared" si="151"/>
        <v>0</v>
      </c>
      <c r="Z484" s="452">
        <f t="shared" si="151"/>
        <v>0</v>
      </c>
      <c r="AA484" s="452">
        <f t="shared" si="151"/>
        <v>0</v>
      </c>
      <c r="AB484" s="452">
        <f t="shared" si="151"/>
        <v>0</v>
      </c>
      <c r="AC484" s="452">
        <f t="shared" si="151"/>
        <v>0</v>
      </c>
      <c r="AD484" s="452">
        <f t="shared" si="151"/>
        <v>0</v>
      </c>
      <c r="AE484" s="452">
        <f t="shared" si="151"/>
        <v>0</v>
      </c>
      <c r="AF484" s="452">
        <f t="shared" si="151"/>
        <v>0</v>
      </c>
      <c r="AG484" s="452">
        <f t="shared" si="151"/>
        <v>0</v>
      </c>
      <c r="AH484" s="452">
        <f t="shared" si="151"/>
        <v>0</v>
      </c>
      <c r="AI484" s="452">
        <f t="shared" si="151"/>
        <v>0</v>
      </c>
      <c r="AJ484" s="452">
        <f t="shared" si="151"/>
        <v>0</v>
      </c>
      <c r="AK484" s="452">
        <f>+AK352</f>
        <v>0</v>
      </c>
      <c r="AL484" s="452"/>
      <c r="AM484" s="452"/>
      <c r="AN484" s="452"/>
      <c r="AO484" s="452"/>
      <c r="AP484" s="452"/>
      <c r="AQ484" s="452"/>
      <c r="AR484" s="452"/>
      <c r="AS484" s="452"/>
      <c r="AT484" s="452"/>
      <c r="AU484" s="452"/>
      <c r="AV484" s="452"/>
      <c r="AW484" s="452">
        <f t="shared" si="151"/>
        <v>0</v>
      </c>
      <c r="AX484" s="452">
        <f t="shared" si="151"/>
        <v>0</v>
      </c>
      <c r="AY484" s="452">
        <f t="shared" si="151"/>
        <v>0</v>
      </c>
      <c r="AZ484" s="452">
        <f t="shared" si="151"/>
        <v>0</v>
      </c>
      <c r="BA484" s="452">
        <f t="shared" si="151"/>
        <v>0</v>
      </c>
      <c r="BB484" s="452">
        <f t="shared" si="151"/>
        <v>0</v>
      </c>
      <c r="BC484" s="452">
        <f t="shared" si="151"/>
        <v>0</v>
      </c>
      <c r="BD484" s="452">
        <f t="shared" si="151"/>
        <v>0</v>
      </c>
      <c r="BE484" s="452">
        <f>+BE352</f>
        <v>0</v>
      </c>
      <c r="BF484" s="452">
        <f t="shared" si="151"/>
        <v>0</v>
      </c>
      <c r="BG484" s="452">
        <f t="shared" si="151"/>
        <v>0</v>
      </c>
      <c r="BH484" s="452">
        <f t="shared" si="151"/>
        <v>0</v>
      </c>
      <c r="BI484" s="82"/>
      <c r="BK484" s="82"/>
    </row>
    <row r="485" spans="1:63" hidden="1" outlineLevel="1" x14ac:dyDescent="0.25">
      <c r="B485" s="453"/>
      <c r="C485" s="459"/>
      <c r="D485" s="454">
        <f>+D354</f>
        <v>0</v>
      </c>
      <c r="E485" s="454">
        <f t="shared" ref="E485:BH485" si="152">+E354</f>
        <v>0</v>
      </c>
      <c r="F485" s="454">
        <f t="shared" si="152"/>
        <v>0</v>
      </c>
      <c r="G485" s="454">
        <f t="shared" si="152"/>
        <v>0</v>
      </c>
      <c r="H485" s="454">
        <f t="shared" si="152"/>
        <v>0</v>
      </c>
      <c r="I485" s="454">
        <f t="shared" si="152"/>
        <v>0</v>
      </c>
      <c r="J485" s="454">
        <f t="shared" si="152"/>
        <v>0</v>
      </c>
      <c r="K485" s="454">
        <f t="shared" si="152"/>
        <v>0</v>
      </c>
      <c r="L485" s="454">
        <f t="shared" si="152"/>
        <v>0</v>
      </c>
      <c r="M485" s="454">
        <f t="shared" si="152"/>
        <v>0</v>
      </c>
      <c r="N485" s="454">
        <f t="shared" si="152"/>
        <v>0</v>
      </c>
      <c r="O485" s="454">
        <f t="shared" si="152"/>
        <v>0</v>
      </c>
      <c r="P485" s="454">
        <f t="shared" si="152"/>
        <v>0</v>
      </c>
      <c r="Q485" s="454">
        <f t="shared" si="152"/>
        <v>0</v>
      </c>
      <c r="R485" s="454">
        <f t="shared" si="152"/>
        <v>0</v>
      </c>
      <c r="S485" s="454">
        <f t="shared" si="152"/>
        <v>0</v>
      </c>
      <c r="T485" s="454">
        <f t="shared" si="152"/>
        <v>0</v>
      </c>
      <c r="U485" s="454">
        <f t="shared" si="152"/>
        <v>0</v>
      </c>
      <c r="V485" s="454">
        <f t="shared" si="152"/>
        <v>0</v>
      </c>
      <c r="W485" s="454">
        <f t="shared" si="152"/>
        <v>0</v>
      </c>
      <c r="X485" s="454">
        <f t="shared" si="152"/>
        <v>0</v>
      </c>
      <c r="Y485" s="454">
        <f t="shared" si="152"/>
        <v>0</v>
      </c>
      <c r="Z485" s="454">
        <f t="shared" si="152"/>
        <v>0</v>
      </c>
      <c r="AA485" s="454">
        <f t="shared" si="152"/>
        <v>0</v>
      </c>
      <c r="AB485" s="454">
        <f t="shared" si="152"/>
        <v>0</v>
      </c>
      <c r="AC485" s="454">
        <f t="shared" si="152"/>
        <v>0</v>
      </c>
      <c r="AD485" s="454">
        <f t="shared" si="152"/>
        <v>0</v>
      </c>
      <c r="AE485" s="454">
        <f t="shared" si="152"/>
        <v>0</v>
      </c>
      <c r="AF485" s="454">
        <f t="shared" si="152"/>
        <v>0</v>
      </c>
      <c r="AG485" s="454">
        <f t="shared" si="152"/>
        <v>0</v>
      </c>
      <c r="AH485" s="454">
        <f t="shared" si="152"/>
        <v>0</v>
      </c>
      <c r="AI485" s="454">
        <f t="shared" si="152"/>
        <v>0</v>
      </c>
      <c r="AJ485" s="454">
        <f t="shared" si="152"/>
        <v>0</v>
      </c>
      <c r="AK485" s="454">
        <f>+AK354</f>
        <v>0</v>
      </c>
      <c r="AL485" s="454"/>
      <c r="AM485" s="454"/>
      <c r="AN485" s="454"/>
      <c r="AO485" s="454"/>
      <c r="AP485" s="454"/>
      <c r="AQ485" s="454"/>
      <c r="AR485" s="454"/>
      <c r="AS485" s="454"/>
      <c r="AT485" s="454"/>
      <c r="AU485" s="454"/>
      <c r="AV485" s="454"/>
      <c r="AW485" s="454">
        <f t="shared" si="152"/>
        <v>0</v>
      </c>
      <c r="AX485" s="454">
        <f t="shared" si="152"/>
        <v>0</v>
      </c>
      <c r="AY485" s="454">
        <f t="shared" si="152"/>
        <v>0</v>
      </c>
      <c r="AZ485" s="454">
        <f t="shared" si="152"/>
        <v>0</v>
      </c>
      <c r="BA485" s="454">
        <f t="shared" si="152"/>
        <v>0</v>
      </c>
      <c r="BB485" s="454">
        <f t="shared" si="152"/>
        <v>0</v>
      </c>
      <c r="BC485" s="454">
        <f t="shared" si="152"/>
        <v>0</v>
      </c>
      <c r="BD485" s="454">
        <f t="shared" si="152"/>
        <v>0</v>
      </c>
      <c r="BE485" s="454">
        <f>+BE354</f>
        <v>0</v>
      </c>
      <c r="BF485" s="454">
        <f t="shared" si="152"/>
        <v>0</v>
      </c>
      <c r="BG485" s="454">
        <f t="shared" si="152"/>
        <v>0</v>
      </c>
      <c r="BH485" s="454">
        <f t="shared" si="152"/>
        <v>0</v>
      </c>
      <c r="BI485" s="82"/>
      <c r="BK485" s="82"/>
    </row>
    <row r="486" spans="1:63" hidden="1" outlineLevel="1" x14ac:dyDescent="0.25">
      <c r="B486" s="456"/>
      <c r="C486" s="460"/>
      <c r="D486" s="454">
        <f>+D370</f>
        <v>0</v>
      </c>
      <c r="E486" s="454">
        <f t="shared" ref="E486:BH486" si="153">+E370</f>
        <v>0</v>
      </c>
      <c r="F486" s="454">
        <f t="shared" si="153"/>
        <v>0</v>
      </c>
      <c r="G486" s="454">
        <f t="shared" si="153"/>
        <v>0</v>
      </c>
      <c r="H486" s="454">
        <f t="shared" si="153"/>
        <v>0</v>
      </c>
      <c r="I486" s="454">
        <f t="shared" si="153"/>
        <v>0</v>
      </c>
      <c r="J486" s="454">
        <f t="shared" si="153"/>
        <v>0</v>
      </c>
      <c r="K486" s="454">
        <f t="shared" si="153"/>
        <v>0</v>
      </c>
      <c r="L486" s="454">
        <f t="shared" si="153"/>
        <v>0</v>
      </c>
      <c r="M486" s="454">
        <f t="shared" si="153"/>
        <v>0</v>
      </c>
      <c r="N486" s="454">
        <f t="shared" si="153"/>
        <v>0</v>
      </c>
      <c r="O486" s="454">
        <f t="shared" si="153"/>
        <v>0</v>
      </c>
      <c r="P486" s="454">
        <f t="shared" si="153"/>
        <v>0</v>
      </c>
      <c r="Q486" s="454">
        <f t="shared" si="153"/>
        <v>0</v>
      </c>
      <c r="R486" s="454">
        <f t="shared" si="153"/>
        <v>0</v>
      </c>
      <c r="S486" s="454">
        <f t="shared" si="153"/>
        <v>0</v>
      </c>
      <c r="T486" s="454">
        <f t="shared" si="153"/>
        <v>0</v>
      </c>
      <c r="U486" s="454">
        <f t="shared" si="153"/>
        <v>0</v>
      </c>
      <c r="V486" s="454">
        <f t="shared" si="153"/>
        <v>0</v>
      </c>
      <c r="W486" s="454">
        <f t="shared" si="153"/>
        <v>0</v>
      </c>
      <c r="X486" s="454">
        <f t="shared" si="153"/>
        <v>0</v>
      </c>
      <c r="Y486" s="454">
        <f t="shared" si="153"/>
        <v>0</v>
      </c>
      <c r="Z486" s="454">
        <f t="shared" si="153"/>
        <v>0</v>
      </c>
      <c r="AA486" s="454">
        <f t="shared" si="153"/>
        <v>0</v>
      </c>
      <c r="AB486" s="454">
        <f t="shared" si="153"/>
        <v>0</v>
      </c>
      <c r="AC486" s="454">
        <f t="shared" si="153"/>
        <v>0</v>
      </c>
      <c r="AD486" s="454">
        <f t="shared" si="153"/>
        <v>0</v>
      </c>
      <c r="AE486" s="454">
        <f t="shared" si="153"/>
        <v>0</v>
      </c>
      <c r="AF486" s="454">
        <f t="shared" si="153"/>
        <v>0</v>
      </c>
      <c r="AG486" s="454">
        <f t="shared" si="153"/>
        <v>0</v>
      </c>
      <c r="AH486" s="454">
        <f t="shared" si="153"/>
        <v>0</v>
      </c>
      <c r="AI486" s="454">
        <f t="shared" si="153"/>
        <v>0</v>
      </c>
      <c r="AJ486" s="454">
        <f t="shared" si="153"/>
        <v>0</v>
      </c>
      <c r="AK486" s="454">
        <f>+AK370</f>
        <v>0</v>
      </c>
      <c r="AL486" s="454"/>
      <c r="AM486" s="454"/>
      <c r="AN486" s="454"/>
      <c r="AO486" s="454"/>
      <c r="AP486" s="454"/>
      <c r="AQ486" s="454"/>
      <c r="AR486" s="454"/>
      <c r="AS486" s="454"/>
      <c r="AT486" s="454"/>
      <c r="AU486" s="454"/>
      <c r="AV486" s="454"/>
      <c r="AW486" s="454">
        <f t="shared" si="153"/>
        <v>0</v>
      </c>
      <c r="AX486" s="454">
        <f t="shared" si="153"/>
        <v>0</v>
      </c>
      <c r="AY486" s="454">
        <f t="shared" si="153"/>
        <v>0</v>
      </c>
      <c r="AZ486" s="454">
        <f t="shared" si="153"/>
        <v>0</v>
      </c>
      <c r="BA486" s="454">
        <f t="shared" si="153"/>
        <v>0</v>
      </c>
      <c r="BB486" s="454">
        <f t="shared" si="153"/>
        <v>0</v>
      </c>
      <c r="BC486" s="454">
        <f t="shared" si="153"/>
        <v>0</v>
      </c>
      <c r="BD486" s="454">
        <f t="shared" si="153"/>
        <v>0</v>
      </c>
      <c r="BE486" s="454">
        <f>+BE370</f>
        <v>0</v>
      </c>
      <c r="BF486" s="454">
        <f t="shared" si="153"/>
        <v>0</v>
      </c>
      <c r="BG486" s="454">
        <f t="shared" si="153"/>
        <v>0</v>
      </c>
      <c r="BH486" s="454">
        <f t="shared" si="153"/>
        <v>0</v>
      </c>
      <c r="BI486" s="82"/>
      <c r="BK486" s="82"/>
    </row>
    <row r="487" spans="1:63" hidden="1" outlineLevel="1" x14ac:dyDescent="0.25">
      <c r="B487" s="449"/>
      <c r="C487" s="458"/>
      <c r="D487" s="452">
        <f>+D413</f>
        <v>0</v>
      </c>
      <c r="E487" s="452">
        <f t="shared" ref="E487:BH487" si="154">+E413</f>
        <v>0</v>
      </c>
      <c r="F487" s="452">
        <f t="shared" si="154"/>
        <v>0</v>
      </c>
      <c r="G487" s="452">
        <f t="shared" si="154"/>
        <v>0</v>
      </c>
      <c r="H487" s="452">
        <f t="shared" si="154"/>
        <v>0</v>
      </c>
      <c r="I487" s="452">
        <f t="shared" si="154"/>
        <v>0</v>
      </c>
      <c r="J487" s="452">
        <f t="shared" si="154"/>
        <v>0</v>
      </c>
      <c r="K487" s="452">
        <f t="shared" si="154"/>
        <v>0</v>
      </c>
      <c r="L487" s="452">
        <f t="shared" si="154"/>
        <v>0</v>
      </c>
      <c r="M487" s="452">
        <f t="shared" si="154"/>
        <v>0</v>
      </c>
      <c r="N487" s="452">
        <f t="shared" si="154"/>
        <v>0</v>
      </c>
      <c r="O487" s="452">
        <f t="shared" si="154"/>
        <v>0</v>
      </c>
      <c r="P487" s="452">
        <f t="shared" si="154"/>
        <v>0</v>
      </c>
      <c r="Q487" s="452">
        <f t="shared" si="154"/>
        <v>0</v>
      </c>
      <c r="R487" s="452">
        <f t="shared" si="154"/>
        <v>0</v>
      </c>
      <c r="S487" s="452">
        <f t="shared" si="154"/>
        <v>0</v>
      </c>
      <c r="T487" s="452">
        <f t="shared" si="154"/>
        <v>0</v>
      </c>
      <c r="U487" s="452">
        <f t="shared" si="154"/>
        <v>0</v>
      </c>
      <c r="V487" s="452">
        <f t="shared" si="154"/>
        <v>0</v>
      </c>
      <c r="W487" s="452">
        <f t="shared" si="154"/>
        <v>0</v>
      </c>
      <c r="X487" s="452">
        <f t="shared" si="154"/>
        <v>0</v>
      </c>
      <c r="Y487" s="452">
        <f t="shared" si="154"/>
        <v>0</v>
      </c>
      <c r="Z487" s="452">
        <f t="shared" si="154"/>
        <v>0</v>
      </c>
      <c r="AA487" s="452">
        <f t="shared" si="154"/>
        <v>0</v>
      </c>
      <c r="AB487" s="452">
        <f t="shared" si="154"/>
        <v>0</v>
      </c>
      <c r="AC487" s="452">
        <f t="shared" si="154"/>
        <v>0</v>
      </c>
      <c r="AD487" s="452">
        <f t="shared" si="154"/>
        <v>0</v>
      </c>
      <c r="AE487" s="452">
        <f t="shared" si="154"/>
        <v>0</v>
      </c>
      <c r="AF487" s="452">
        <f t="shared" si="154"/>
        <v>0</v>
      </c>
      <c r="AG487" s="452">
        <f t="shared" si="154"/>
        <v>0</v>
      </c>
      <c r="AH487" s="452">
        <f t="shared" si="154"/>
        <v>0</v>
      </c>
      <c r="AI487" s="452">
        <f t="shared" si="154"/>
        <v>0</v>
      </c>
      <c r="AJ487" s="452">
        <f t="shared" si="154"/>
        <v>0</v>
      </c>
      <c r="AK487" s="452">
        <f>+AK413</f>
        <v>0</v>
      </c>
      <c r="AL487" s="452"/>
      <c r="AM487" s="452"/>
      <c r="AN487" s="452"/>
      <c r="AO487" s="452"/>
      <c r="AP487" s="452"/>
      <c r="AQ487" s="452"/>
      <c r="AR487" s="452"/>
      <c r="AS487" s="452"/>
      <c r="AT487" s="452"/>
      <c r="AU487" s="452"/>
      <c r="AV487" s="452"/>
      <c r="AW487" s="452">
        <f t="shared" si="154"/>
        <v>0</v>
      </c>
      <c r="AX487" s="452">
        <f t="shared" si="154"/>
        <v>0</v>
      </c>
      <c r="AY487" s="452">
        <f t="shared" si="154"/>
        <v>0</v>
      </c>
      <c r="AZ487" s="452">
        <f t="shared" si="154"/>
        <v>0</v>
      </c>
      <c r="BA487" s="452">
        <f t="shared" si="154"/>
        <v>0</v>
      </c>
      <c r="BB487" s="452">
        <f t="shared" si="154"/>
        <v>0</v>
      </c>
      <c r="BC487" s="452">
        <f t="shared" si="154"/>
        <v>0</v>
      </c>
      <c r="BD487" s="452">
        <f t="shared" si="154"/>
        <v>0</v>
      </c>
      <c r="BE487" s="452">
        <f>+BE413</f>
        <v>0</v>
      </c>
      <c r="BF487" s="452">
        <f t="shared" si="154"/>
        <v>0</v>
      </c>
      <c r="BG487" s="452">
        <f t="shared" si="154"/>
        <v>0</v>
      </c>
      <c r="BH487" s="452">
        <f t="shared" si="154"/>
        <v>0</v>
      </c>
      <c r="BI487" s="82"/>
      <c r="BK487" s="82"/>
    </row>
    <row r="488" spans="1:63" hidden="1" outlineLevel="1" x14ac:dyDescent="0.25">
      <c r="B488" s="453"/>
      <c r="C488" s="459"/>
      <c r="D488" s="454">
        <f>+D415</f>
        <v>0</v>
      </c>
      <c r="E488" s="454">
        <f t="shared" ref="E488:BH488" si="155">+E415</f>
        <v>0</v>
      </c>
      <c r="F488" s="454">
        <f t="shared" si="155"/>
        <v>0</v>
      </c>
      <c r="G488" s="454">
        <f t="shared" si="155"/>
        <v>0</v>
      </c>
      <c r="H488" s="454">
        <f t="shared" si="155"/>
        <v>0</v>
      </c>
      <c r="I488" s="454">
        <f t="shared" si="155"/>
        <v>0</v>
      </c>
      <c r="J488" s="454">
        <f t="shared" si="155"/>
        <v>0</v>
      </c>
      <c r="K488" s="454">
        <f t="shared" si="155"/>
        <v>0</v>
      </c>
      <c r="L488" s="454">
        <f t="shared" si="155"/>
        <v>0</v>
      </c>
      <c r="M488" s="454">
        <f t="shared" si="155"/>
        <v>0</v>
      </c>
      <c r="N488" s="454">
        <f t="shared" si="155"/>
        <v>0</v>
      </c>
      <c r="O488" s="454">
        <f t="shared" si="155"/>
        <v>0</v>
      </c>
      <c r="P488" s="454">
        <f t="shared" si="155"/>
        <v>0</v>
      </c>
      <c r="Q488" s="454">
        <f t="shared" si="155"/>
        <v>0</v>
      </c>
      <c r="R488" s="454">
        <f t="shared" si="155"/>
        <v>0</v>
      </c>
      <c r="S488" s="454">
        <f t="shared" si="155"/>
        <v>0</v>
      </c>
      <c r="T488" s="454">
        <f t="shared" si="155"/>
        <v>0</v>
      </c>
      <c r="U488" s="454">
        <f t="shared" si="155"/>
        <v>0</v>
      </c>
      <c r="V488" s="454">
        <f t="shared" si="155"/>
        <v>0</v>
      </c>
      <c r="W488" s="454">
        <f t="shared" si="155"/>
        <v>0</v>
      </c>
      <c r="X488" s="454">
        <f t="shared" si="155"/>
        <v>0</v>
      </c>
      <c r="Y488" s="454">
        <f t="shared" si="155"/>
        <v>0</v>
      </c>
      <c r="Z488" s="454">
        <f t="shared" si="155"/>
        <v>0</v>
      </c>
      <c r="AA488" s="454">
        <f t="shared" si="155"/>
        <v>0</v>
      </c>
      <c r="AB488" s="454">
        <f t="shared" si="155"/>
        <v>0</v>
      </c>
      <c r="AC488" s="454">
        <f t="shared" si="155"/>
        <v>0</v>
      </c>
      <c r="AD488" s="454">
        <f t="shared" si="155"/>
        <v>0</v>
      </c>
      <c r="AE488" s="454">
        <f t="shared" si="155"/>
        <v>0</v>
      </c>
      <c r="AF488" s="454">
        <f t="shared" si="155"/>
        <v>0</v>
      </c>
      <c r="AG488" s="454">
        <f t="shared" si="155"/>
        <v>0</v>
      </c>
      <c r="AH488" s="454">
        <f t="shared" si="155"/>
        <v>0</v>
      </c>
      <c r="AI488" s="454">
        <f t="shared" si="155"/>
        <v>0</v>
      </c>
      <c r="AJ488" s="454">
        <f t="shared" si="155"/>
        <v>0</v>
      </c>
      <c r="AK488" s="454">
        <f>+AK415</f>
        <v>0</v>
      </c>
      <c r="AL488" s="454"/>
      <c r="AM488" s="454"/>
      <c r="AN488" s="454"/>
      <c r="AO488" s="454"/>
      <c r="AP488" s="454"/>
      <c r="AQ488" s="454"/>
      <c r="AR488" s="454"/>
      <c r="AS488" s="454"/>
      <c r="AT488" s="454"/>
      <c r="AU488" s="454"/>
      <c r="AV488" s="454"/>
      <c r="AW488" s="454">
        <f t="shared" si="155"/>
        <v>0</v>
      </c>
      <c r="AX488" s="454">
        <f t="shared" si="155"/>
        <v>0</v>
      </c>
      <c r="AY488" s="454">
        <f t="shared" si="155"/>
        <v>0</v>
      </c>
      <c r="AZ488" s="454">
        <f t="shared" si="155"/>
        <v>0</v>
      </c>
      <c r="BA488" s="454">
        <f t="shared" si="155"/>
        <v>0</v>
      </c>
      <c r="BB488" s="454">
        <f t="shared" si="155"/>
        <v>0</v>
      </c>
      <c r="BC488" s="454">
        <f t="shared" si="155"/>
        <v>0</v>
      </c>
      <c r="BD488" s="454">
        <f t="shared" si="155"/>
        <v>0</v>
      </c>
      <c r="BE488" s="454">
        <f>+BE415</f>
        <v>0</v>
      </c>
      <c r="BF488" s="454">
        <f t="shared" si="155"/>
        <v>0</v>
      </c>
      <c r="BG488" s="454">
        <f t="shared" si="155"/>
        <v>0</v>
      </c>
      <c r="BH488" s="454">
        <f t="shared" si="155"/>
        <v>0</v>
      </c>
      <c r="BI488" s="82"/>
      <c r="BK488" s="82"/>
    </row>
    <row r="489" spans="1:63" hidden="1" outlineLevel="1" x14ac:dyDescent="0.25">
      <c r="B489" s="456"/>
      <c r="C489" s="460"/>
      <c r="D489" s="454">
        <f>+D431</f>
        <v>0</v>
      </c>
      <c r="E489" s="454">
        <f t="shared" ref="E489:BH489" si="156">+E431</f>
        <v>0</v>
      </c>
      <c r="F489" s="454">
        <f t="shared" si="156"/>
        <v>0</v>
      </c>
      <c r="G489" s="454">
        <f t="shared" si="156"/>
        <v>0</v>
      </c>
      <c r="H489" s="454">
        <f t="shared" si="156"/>
        <v>0</v>
      </c>
      <c r="I489" s="454">
        <f t="shared" si="156"/>
        <v>0</v>
      </c>
      <c r="J489" s="454">
        <f t="shared" si="156"/>
        <v>0</v>
      </c>
      <c r="K489" s="454">
        <f t="shared" si="156"/>
        <v>0</v>
      </c>
      <c r="L489" s="454">
        <f t="shared" si="156"/>
        <v>0</v>
      </c>
      <c r="M489" s="454">
        <f t="shared" si="156"/>
        <v>0</v>
      </c>
      <c r="N489" s="454">
        <f t="shared" si="156"/>
        <v>0</v>
      </c>
      <c r="O489" s="454">
        <f t="shared" si="156"/>
        <v>0</v>
      </c>
      <c r="P489" s="454">
        <f t="shared" si="156"/>
        <v>0</v>
      </c>
      <c r="Q489" s="454">
        <f t="shared" si="156"/>
        <v>0</v>
      </c>
      <c r="R489" s="454">
        <f t="shared" si="156"/>
        <v>0</v>
      </c>
      <c r="S489" s="454">
        <f t="shared" si="156"/>
        <v>0</v>
      </c>
      <c r="T489" s="454">
        <f t="shared" si="156"/>
        <v>0</v>
      </c>
      <c r="U489" s="454">
        <f t="shared" si="156"/>
        <v>0</v>
      </c>
      <c r="V489" s="454">
        <f t="shared" si="156"/>
        <v>0</v>
      </c>
      <c r="W489" s="454">
        <f t="shared" si="156"/>
        <v>0</v>
      </c>
      <c r="X489" s="454">
        <f t="shared" si="156"/>
        <v>0</v>
      </c>
      <c r="Y489" s="454">
        <f t="shared" si="156"/>
        <v>0</v>
      </c>
      <c r="Z489" s="454">
        <f t="shared" si="156"/>
        <v>0</v>
      </c>
      <c r="AA489" s="454">
        <f t="shared" si="156"/>
        <v>0</v>
      </c>
      <c r="AB489" s="454">
        <f t="shared" si="156"/>
        <v>0</v>
      </c>
      <c r="AC489" s="454">
        <f t="shared" si="156"/>
        <v>0</v>
      </c>
      <c r="AD489" s="454">
        <f t="shared" si="156"/>
        <v>0</v>
      </c>
      <c r="AE489" s="454">
        <f t="shared" si="156"/>
        <v>0</v>
      </c>
      <c r="AF489" s="454">
        <f t="shared" si="156"/>
        <v>0</v>
      </c>
      <c r="AG489" s="454">
        <f t="shared" si="156"/>
        <v>0</v>
      </c>
      <c r="AH489" s="454">
        <f t="shared" si="156"/>
        <v>0</v>
      </c>
      <c r="AI489" s="454">
        <f t="shared" si="156"/>
        <v>0</v>
      </c>
      <c r="AJ489" s="454">
        <f t="shared" si="156"/>
        <v>0</v>
      </c>
      <c r="AK489" s="454">
        <f>+AK431</f>
        <v>0</v>
      </c>
      <c r="AL489" s="454"/>
      <c r="AM489" s="454"/>
      <c r="AN489" s="454"/>
      <c r="AO489" s="454"/>
      <c r="AP489" s="454"/>
      <c r="AQ489" s="454"/>
      <c r="AR489" s="454"/>
      <c r="AS489" s="454"/>
      <c r="AT489" s="454"/>
      <c r="AU489" s="454"/>
      <c r="AV489" s="454"/>
      <c r="AW489" s="454">
        <f t="shared" si="156"/>
        <v>0</v>
      </c>
      <c r="AX489" s="454">
        <f t="shared" si="156"/>
        <v>0</v>
      </c>
      <c r="AY489" s="454">
        <f t="shared" si="156"/>
        <v>0</v>
      </c>
      <c r="AZ489" s="454">
        <f t="shared" si="156"/>
        <v>0</v>
      </c>
      <c r="BA489" s="454">
        <f t="shared" si="156"/>
        <v>0</v>
      </c>
      <c r="BB489" s="454">
        <f t="shared" si="156"/>
        <v>0</v>
      </c>
      <c r="BC489" s="454">
        <f t="shared" si="156"/>
        <v>0</v>
      </c>
      <c r="BD489" s="454">
        <f t="shared" si="156"/>
        <v>0</v>
      </c>
      <c r="BE489" s="454">
        <f>+BE431</f>
        <v>0</v>
      </c>
      <c r="BF489" s="454">
        <f t="shared" si="156"/>
        <v>0</v>
      </c>
      <c r="BG489" s="454">
        <f t="shared" si="156"/>
        <v>0</v>
      </c>
      <c r="BH489" s="454">
        <f t="shared" si="156"/>
        <v>0</v>
      </c>
      <c r="BI489" s="82"/>
      <c r="BK489" s="82"/>
    </row>
    <row r="490" spans="1:63" collapsed="1" x14ac:dyDescent="0.25">
      <c r="B490" s="432" t="s">
        <v>171</v>
      </c>
      <c r="C490" s="433"/>
      <c r="D490" s="433"/>
      <c r="E490" s="433"/>
      <c r="F490" s="433"/>
      <c r="G490" s="433"/>
      <c r="H490" s="433"/>
      <c r="I490" s="433"/>
      <c r="J490" s="433"/>
      <c r="K490" s="433"/>
      <c r="L490" s="433"/>
      <c r="M490" s="433"/>
      <c r="N490" s="433"/>
      <c r="O490" s="433"/>
      <c r="P490" s="433"/>
      <c r="Q490" s="433"/>
      <c r="R490" s="433"/>
      <c r="S490" s="433"/>
      <c r="T490" s="433"/>
      <c r="U490" s="433"/>
      <c r="V490" s="433"/>
      <c r="W490" s="433"/>
      <c r="X490" s="433"/>
      <c r="Y490" s="433"/>
      <c r="Z490" s="433"/>
      <c r="AA490" s="433"/>
      <c r="AB490" s="433"/>
      <c r="AC490" s="433"/>
      <c r="AD490" s="433"/>
      <c r="AE490" s="433"/>
      <c r="AF490" s="433"/>
      <c r="AG490" s="433"/>
      <c r="AH490" s="433"/>
      <c r="AI490" s="433"/>
      <c r="AJ490" s="433"/>
      <c r="AK490" s="433"/>
      <c r="AL490" s="433"/>
      <c r="AM490" s="433"/>
      <c r="AN490" s="433"/>
      <c r="AO490" s="433"/>
      <c r="AP490" s="433"/>
      <c r="AQ490" s="433"/>
      <c r="AR490" s="433"/>
      <c r="AS490" s="433"/>
      <c r="AT490" s="433"/>
      <c r="AU490" s="433"/>
      <c r="AV490" s="433"/>
      <c r="AW490" s="433"/>
      <c r="AX490" s="433"/>
      <c r="AY490" s="433"/>
      <c r="AZ490" s="433"/>
      <c r="BA490" s="433"/>
      <c r="BB490" s="433"/>
      <c r="BC490" s="433"/>
      <c r="BD490" s="433"/>
      <c r="BE490" s="433"/>
      <c r="BF490" s="433"/>
      <c r="BG490" s="433"/>
      <c r="BH490" s="433"/>
      <c r="BI490" s="82"/>
      <c r="BK490" s="82"/>
    </row>
    <row r="491" spans="1:63" x14ac:dyDescent="0.25">
      <c r="A491" s="461" t="s">
        <v>172</v>
      </c>
      <c r="B491" s="434" t="s">
        <v>166</v>
      </c>
      <c r="C491" s="441" t="s">
        <v>143</v>
      </c>
      <c r="D491" s="435">
        <f>+D469-D447</f>
        <v>0</v>
      </c>
      <c r="E491" s="436">
        <f t="shared" ref="E491:BH495" si="157">+E469-E447</f>
        <v>0</v>
      </c>
      <c r="F491" s="436">
        <f t="shared" si="157"/>
        <v>0</v>
      </c>
      <c r="G491" s="436">
        <f t="shared" si="157"/>
        <v>0</v>
      </c>
      <c r="H491" s="436">
        <f t="shared" si="157"/>
        <v>0</v>
      </c>
      <c r="I491" s="436">
        <f>+I469-I447</f>
        <v>0</v>
      </c>
      <c r="J491" s="436">
        <f t="shared" si="157"/>
        <v>0</v>
      </c>
      <c r="K491" s="436">
        <f t="shared" si="157"/>
        <v>0</v>
      </c>
      <c r="L491" s="436">
        <f t="shared" si="157"/>
        <v>0</v>
      </c>
      <c r="M491" s="436">
        <f>+M469-M447</f>
        <v>0</v>
      </c>
      <c r="N491" s="436">
        <f t="shared" si="157"/>
        <v>0</v>
      </c>
      <c r="O491" s="436">
        <f t="shared" si="157"/>
        <v>0</v>
      </c>
      <c r="P491" s="436">
        <f t="shared" si="157"/>
        <v>0</v>
      </c>
      <c r="Q491" s="436">
        <f t="shared" si="157"/>
        <v>0</v>
      </c>
      <c r="R491" s="436">
        <f t="shared" si="157"/>
        <v>0</v>
      </c>
      <c r="S491" s="436">
        <f t="shared" si="157"/>
        <v>0</v>
      </c>
      <c r="T491" s="436">
        <f t="shared" si="157"/>
        <v>0</v>
      </c>
      <c r="U491" s="436">
        <f t="shared" si="157"/>
        <v>0</v>
      </c>
      <c r="V491" s="436">
        <f t="shared" si="157"/>
        <v>0</v>
      </c>
      <c r="W491" s="436">
        <f t="shared" si="157"/>
        <v>0</v>
      </c>
      <c r="X491" s="436">
        <f t="shared" si="157"/>
        <v>0</v>
      </c>
      <c r="Y491" s="436">
        <f t="shared" si="157"/>
        <v>0</v>
      </c>
      <c r="Z491" s="436">
        <f t="shared" si="157"/>
        <v>0</v>
      </c>
      <c r="AA491" s="436">
        <f t="shared" si="157"/>
        <v>0</v>
      </c>
      <c r="AB491" s="436">
        <f t="shared" si="157"/>
        <v>0</v>
      </c>
      <c r="AC491" s="436">
        <f t="shared" si="157"/>
        <v>0</v>
      </c>
      <c r="AD491" s="436">
        <f t="shared" si="157"/>
        <v>0</v>
      </c>
      <c r="AE491" s="436">
        <f t="shared" si="157"/>
        <v>0</v>
      </c>
      <c r="AF491" s="436">
        <f t="shared" si="157"/>
        <v>0</v>
      </c>
      <c r="AG491" s="435">
        <f t="shared" si="157"/>
        <v>0</v>
      </c>
      <c r="AH491" s="436">
        <f t="shared" si="157"/>
        <v>0</v>
      </c>
      <c r="AI491" s="436">
        <f t="shared" si="157"/>
        <v>0</v>
      </c>
      <c r="AJ491" s="436">
        <f t="shared" si="157"/>
        <v>0</v>
      </c>
      <c r="AK491" s="436">
        <f t="shared" si="157"/>
        <v>0</v>
      </c>
      <c r="AL491" s="436">
        <f t="shared" si="157"/>
        <v>0</v>
      </c>
      <c r="AM491" s="436">
        <f t="shared" si="157"/>
        <v>0</v>
      </c>
      <c r="AN491" s="436">
        <f t="shared" si="157"/>
        <v>0</v>
      </c>
      <c r="AO491" s="436">
        <f t="shared" si="157"/>
        <v>0</v>
      </c>
      <c r="AP491" s="436">
        <f t="shared" si="157"/>
        <v>0</v>
      </c>
      <c r="AQ491" s="436">
        <f t="shared" si="157"/>
        <v>0</v>
      </c>
      <c r="AR491" s="436">
        <f t="shared" si="157"/>
        <v>0</v>
      </c>
      <c r="AS491" s="436">
        <f t="shared" si="157"/>
        <v>0</v>
      </c>
      <c r="AT491" s="436">
        <f t="shared" si="157"/>
        <v>0</v>
      </c>
      <c r="AU491" s="436">
        <f t="shared" si="157"/>
        <v>0</v>
      </c>
      <c r="AV491" s="436">
        <f t="shared" si="157"/>
        <v>0</v>
      </c>
      <c r="AW491" s="436">
        <f t="shared" si="157"/>
        <v>0</v>
      </c>
      <c r="AX491" s="436">
        <f t="shared" si="157"/>
        <v>0</v>
      </c>
      <c r="AY491" s="436">
        <f t="shared" si="157"/>
        <v>0</v>
      </c>
      <c r="AZ491" s="436">
        <f t="shared" si="157"/>
        <v>0</v>
      </c>
      <c r="BA491" s="436">
        <f t="shared" si="157"/>
        <v>0</v>
      </c>
      <c r="BB491" s="436">
        <f t="shared" si="157"/>
        <v>0</v>
      </c>
      <c r="BC491" s="436">
        <f t="shared" si="157"/>
        <v>0</v>
      </c>
      <c r="BD491" s="436">
        <f t="shared" si="157"/>
        <v>0</v>
      </c>
      <c r="BE491" s="436">
        <f t="shared" si="157"/>
        <v>0</v>
      </c>
      <c r="BF491" s="436">
        <f t="shared" si="157"/>
        <v>0</v>
      </c>
      <c r="BG491" s="436">
        <f t="shared" si="157"/>
        <v>0</v>
      </c>
      <c r="BH491" s="446">
        <f t="shared" si="157"/>
        <v>0</v>
      </c>
      <c r="BI491" s="462"/>
      <c r="BJ491" s="323"/>
      <c r="BK491" s="82"/>
    </row>
    <row r="492" spans="1:63" x14ac:dyDescent="0.25">
      <c r="A492" s="461" t="s">
        <v>172</v>
      </c>
      <c r="B492" s="437" t="s">
        <v>167</v>
      </c>
      <c r="C492" s="442" t="s">
        <v>143</v>
      </c>
      <c r="D492" s="438">
        <f t="shared" ref="D492:S505" si="158">+D470-D448</f>
        <v>0</v>
      </c>
      <c r="E492" s="447">
        <f t="shared" si="157"/>
        <v>0</v>
      </c>
      <c r="F492" s="447">
        <f t="shared" si="157"/>
        <v>0</v>
      </c>
      <c r="G492" s="447">
        <f t="shared" si="157"/>
        <v>0</v>
      </c>
      <c r="H492" s="447">
        <f t="shared" si="157"/>
        <v>0</v>
      </c>
      <c r="I492" s="447">
        <f t="shared" si="157"/>
        <v>0</v>
      </c>
      <c r="J492" s="447">
        <f t="shared" si="157"/>
        <v>0</v>
      </c>
      <c r="K492" s="447">
        <f t="shared" si="157"/>
        <v>0</v>
      </c>
      <c r="L492" s="447">
        <f t="shared" si="157"/>
        <v>0</v>
      </c>
      <c r="M492" s="447">
        <f t="shared" si="157"/>
        <v>0</v>
      </c>
      <c r="N492" s="447">
        <f t="shared" si="157"/>
        <v>0</v>
      </c>
      <c r="O492" s="447">
        <f t="shared" si="157"/>
        <v>0</v>
      </c>
      <c r="P492" s="447">
        <f t="shared" si="157"/>
        <v>0</v>
      </c>
      <c r="Q492" s="447">
        <f t="shared" si="157"/>
        <v>0</v>
      </c>
      <c r="R492" s="447">
        <f t="shared" si="157"/>
        <v>0</v>
      </c>
      <c r="S492" s="447">
        <f t="shared" si="157"/>
        <v>0</v>
      </c>
      <c r="T492" s="447">
        <f t="shared" si="157"/>
        <v>0</v>
      </c>
      <c r="U492" s="447">
        <f t="shared" si="157"/>
        <v>0</v>
      </c>
      <c r="V492" s="447">
        <f t="shared" si="157"/>
        <v>0</v>
      </c>
      <c r="W492" s="447">
        <f t="shared" si="157"/>
        <v>0</v>
      </c>
      <c r="X492" s="447">
        <f t="shared" si="157"/>
        <v>0</v>
      </c>
      <c r="Y492" s="447">
        <f t="shared" si="157"/>
        <v>0</v>
      </c>
      <c r="Z492" s="447">
        <f t="shared" si="157"/>
        <v>0</v>
      </c>
      <c r="AA492" s="447">
        <f t="shared" si="157"/>
        <v>0</v>
      </c>
      <c r="AB492" s="447">
        <f t="shared" si="157"/>
        <v>0</v>
      </c>
      <c r="AC492" s="447">
        <f t="shared" si="157"/>
        <v>0</v>
      </c>
      <c r="AD492" s="447">
        <f t="shared" si="157"/>
        <v>0</v>
      </c>
      <c r="AE492" s="447">
        <f t="shared" si="157"/>
        <v>0</v>
      </c>
      <c r="AF492" s="447">
        <f t="shared" si="157"/>
        <v>0</v>
      </c>
      <c r="AG492" s="438">
        <f t="shared" si="157"/>
        <v>0</v>
      </c>
      <c r="AH492" s="447">
        <f t="shared" si="157"/>
        <v>0</v>
      </c>
      <c r="AI492" s="447">
        <f t="shared" si="157"/>
        <v>0</v>
      </c>
      <c r="AJ492" s="447">
        <f t="shared" si="157"/>
        <v>0</v>
      </c>
      <c r="AK492" s="447">
        <f t="shared" si="157"/>
        <v>0</v>
      </c>
      <c r="AL492" s="447">
        <f t="shared" si="157"/>
        <v>0</v>
      </c>
      <c r="AM492" s="447">
        <f t="shared" si="157"/>
        <v>0</v>
      </c>
      <c r="AN492" s="447">
        <f t="shared" si="157"/>
        <v>0</v>
      </c>
      <c r="AO492" s="447">
        <f t="shared" si="157"/>
        <v>0</v>
      </c>
      <c r="AP492" s="447">
        <f t="shared" si="157"/>
        <v>0</v>
      </c>
      <c r="AQ492" s="447">
        <f t="shared" si="157"/>
        <v>0</v>
      </c>
      <c r="AR492" s="447">
        <f t="shared" si="157"/>
        <v>0</v>
      </c>
      <c r="AS492" s="447">
        <f t="shared" si="157"/>
        <v>0</v>
      </c>
      <c r="AT492" s="447">
        <f t="shared" si="157"/>
        <v>0</v>
      </c>
      <c r="AU492" s="447">
        <f t="shared" si="157"/>
        <v>0</v>
      </c>
      <c r="AV492" s="447">
        <f t="shared" si="157"/>
        <v>0</v>
      </c>
      <c r="AW492" s="447">
        <f t="shared" si="157"/>
        <v>0</v>
      </c>
      <c r="AX492" s="447">
        <f t="shared" si="157"/>
        <v>0</v>
      </c>
      <c r="AY492" s="447">
        <f t="shared" si="157"/>
        <v>0</v>
      </c>
      <c r="AZ492" s="447">
        <f t="shared" si="157"/>
        <v>0</v>
      </c>
      <c r="BA492" s="447">
        <f t="shared" si="157"/>
        <v>0</v>
      </c>
      <c r="BB492" s="447">
        <f t="shared" si="157"/>
        <v>0</v>
      </c>
      <c r="BC492" s="447">
        <f t="shared" si="157"/>
        <v>0</v>
      </c>
      <c r="BD492" s="447">
        <f t="shared" si="157"/>
        <v>0</v>
      </c>
      <c r="BE492" s="447">
        <f t="shared" si="157"/>
        <v>0</v>
      </c>
      <c r="BF492" s="447">
        <f t="shared" si="157"/>
        <v>0</v>
      </c>
      <c r="BG492" s="447">
        <f>+BG470-BG448</f>
        <v>0</v>
      </c>
      <c r="BH492" s="448">
        <f t="shared" si="157"/>
        <v>0</v>
      </c>
      <c r="BI492" s="82"/>
      <c r="BJ492" s="323"/>
      <c r="BK492" s="82"/>
    </row>
    <row r="493" spans="1:63" x14ac:dyDescent="0.25">
      <c r="A493" s="461" t="s">
        <v>172</v>
      </c>
      <c r="B493" s="439" t="s">
        <v>153</v>
      </c>
      <c r="C493" s="443" t="s">
        <v>143</v>
      </c>
      <c r="D493" s="438">
        <f t="shared" si="158"/>
        <v>0</v>
      </c>
      <c r="E493" s="447">
        <f t="shared" si="157"/>
        <v>0</v>
      </c>
      <c r="F493" s="447">
        <f t="shared" si="157"/>
        <v>0</v>
      </c>
      <c r="G493" s="447">
        <f t="shared" si="157"/>
        <v>0</v>
      </c>
      <c r="H493" s="447">
        <f t="shared" si="157"/>
        <v>0</v>
      </c>
      <c r="I493" s="447">
        <f t="shared" si="157"/>
        <v>0</v>
      </c>
      <c r="J493" s="447">
        <f t="shared" si="157"/>
        <v>0</v>
      </c>
      <c r="K493" s="447">
        <f t="shared" si="157"/>
        <v>0</v>
      </c>
      <c r="L493" s="447">
        <f t="shared" si="157"/>
        <v>0</v>
      </c>
      <c r="M493" s="447">
        <f t="shared" si="157"/>
        <v>0</v>
      </c>
      <c r="N493" s="447">
        <f t="shared" si="157"/>
        <v>0</v>
      </c>
      <c r="O493" s="447">
        <f>+O471-O449</f>
        <v>0</v>
      </c>
      <c r="P493" s="447">
        <f t="shared" si="157"/>
        <v>0</v>
      </c>
      <c r="Q493" s="447">
        <f t="shared" si="157"/>
        <v>0</v>
      </c>
      <c r="R493" s="447">
        <f t="shared" si="157"/>
        <v>0</v>
      </c>
      <c r="S493" s="447">
        <f t="shared" si="157"/>
        <v>0</v>
      </c>
      <c r="T493" s="447">
        <f t="shared" si="157"/>
        <v>0</v>
      </c>
      <c r="U493" s="447">
        <f t="shared" si="157"/>
        <v>0</v>
      </c>
      <c r="V493" s="447">
        <f t="shared" si="157"/>
        <v>0</v>
      </c>
      <c r="W493" s="447">
        <f t="shared" si="157"/>
        <v>0</v>
      </c>
      <c r="X493" s="447">
        <f t="shared" si="157"/>
        <v>0</v>
      </c>
      <c r="Y493" s="447">
        <f t="shared" si="157"/>
        <v>0</v>
      </c>
      <c r="Z493" s="447">
        <f t="shared" si="157"/>
        <v>0</v>
      </c>
      <c r="AA493" s="447">
        <f t="shared" si="157"/>
        <v>0</v>
      </c>
      <c r="AB493" s="447">
        <f t="shared" si="157"/>
        <v>0</v>
      </c>
      <c r="AC493" s="447">
        <f t="shared" si="157"/>
        <v>0</v>
      </c>
      <c r="AD493" s="447">
        <f t="shared" si="157"/>
        <v>0</v>
      </c>
      <c r="AE493" s="447">
        <f t="shared" si="157"/>
        <v>0</v>
      </c>
      <c r="AF493" s="447">
        <f t="shared" si="157"/>
        <v>0</v>
      </c>
      <c r="AG493" s="438">
        <f t="shared" si="157"/>
        <v>0</v>
      </c>
      <c r="AH493" s="447">
        <f t="shared" si="157"/>
        <v>0</v>
      </c>
      <c r="AI493" s="447">
        <f t="shared" si="157"/>
        <v>0</v>
      </c>
      <c r="AJ493" s="447">
        <f t="shared" si="157"/>
        <v>0</v>
      </c>
      <c r="AK493" s="447">
        <f t="shared" si="157"/>
        <v>0</v>
      </c>
      <c r="AL493" s="447">
        <f t="shared" si="157"/>
        <v>0</v>
      </c>
      <c r="AM493" s="447">
        <f t="shared" si="157"/>
        <v>0</v>
      </c>
      <c r="AN493" s="447">
        <f t="shared" si="157"/>
        <v>0</v>
      </c>
      <c r="AO493" s="447">
        <f t="shared" si="157"/>
        <v>0</v>
      </c>
      <c r="AP493" s="447">
        <f t="shared" si="157"/>
        <v>0</v>
      </c>
      <c r="AQ493" s="447">
        <f t="shared" si="157"/>
        <v>0</v>
      </c>
      <c r="AR493" s="447">
        <f t="shared" si="157"/>
        <v>0</v>
      </c>
      <c r="AS493" s="447">
        <f t="shared" si="157"/>
        <v>0</v>
      </c>
      <c r="AT493" s="447">
        <f t="shared" si="157"/>
        <v>0</v>
      </c>
      <c r="AU493" s="447">
        <f t="shared" si="157"/>
        <v>0</v>
      </c>
      <c r="AV493" s="447">
        <f t="shared" si="157"/>
        <v>0</v>
      </c>
      <c r="AW493" s="447">
        <f t="shared" si="157"/>
        <v>0</v>
      </c>
      <c r="AX493" s="447">
        <f t="shared" si="157"/>
        <v>0</v>
      </c>
      <c r="AY493" s="447">
        <f t="shared" si="157"/>
        <v>0</v>
      </c>
      <c r="AZ493" s="447">
        <f t="shared" si="157"/>
        <v>0</v>
      </c>
      <c r="BA493" s="447">
        <f t="shared" si="157"/>
        <v>0</v>
      </c>
      <c r="BB493" s="447">
        <f t="shared" si="157"/>
        <v>0</v>
      </c>
      <c r="BC493" s="447">
        <f t="shared" si="157"/>
        <v>0</v>
      </c>
      <c r="BD493" s="447">
        <f t="shared" si="157"/>
        <v>0</v>
      </c>
      <c r="BE493" s="447">
        <f t="shared" si="157"/>
        <v>0</v>
      </c>
      <c r="BF493" s="447">
        <f t="shared" si="157"/>
        <v>0</v>
      </c>
      <c r="BG493" s="447">
        <f t="shared" si="157"/>
        <v>0</v>
      </c>
      <c r="BH493" s="448">
        <f t="shared" si="157"/>
        <v>0</v>
      </c>
      <c r="BI493" s="82"/>
      <c r="BJ493" s="323"/>
      <c r="BK493" s="82"/>
    </row>
    <row r="494" spans="1:63" x14ac:dyDescent="0.25">
      <c r="A494" s="461" t="s">
        <v>172</v>
      </c>
      <c r="B494" s="434" t="s">
        <v>166</v>
      </c>
      <c r="C494" s="463" t="s">
        <v>173</v>
      </c>
      <c r="D494" s="435">
        <f>+D472-D450</f>
        <v>0</v>
      </c>
      <c r="E494" s="436">
        <f t="shared" si="157"/>
        <v>0</v>
      </c>
      <c r="F494" s="436">
        <f t="shared" si="157"/>
        <v>0</v>
      </c>
      <c r="G494" s="436">
        <f t="shared" si="157"/>
        <v>0</v>
      </c>
      <c r="H494" s="436">
        <f t="shared" si="157"/>
        <v>0</v>
      </c>
      <c r="I494" s="436">
        <f t="shared" si="157"/>
        <v>0</v>
      </c>
      <c r="J494" s="436">
        <f t="shared" si="157"/>
        <v>0</v>
      </c>
      <c r="K494" s="436">
        <f t="shared" si="157"/>
        <v>0</v>
      </c>
      <c r="L494" s="436">
        <f t="shared" si="157"/>
        <v>0</v>
      </c>
      <c r="M494" s="436">
        <f t="shared" si="157"/>
        <v>0</v>
      </c>
      <c r="N494" s="436">
        <f t="shared" si="157"/>
        <v>0</v>
      </c>
      <c r="O494" s="436">
        <f t="shared" si="157"/>
        <v>0</v>
      </c>
      <c r="P494" s="436">
        <f t="shared" si="157"/>
        <v>0</v>
      </c>
      <c r="Q494" s="436">
        <f t="shared" si="157"/>
        <v>0</v>
      </c>
      <c r="R494" s="436">
        <f t="shared" si="157"/>
        <v>0</v>
      </c>
      <c r="S494" s="436">
        <f t="shared" si="157"/>
        <v>0</v>
      </c>
      <c r="T494" s="436">
        <f t="shared" si="157"/>
        <v>0</v>
      </c>
      <c r="U494" s="436">
        <f t="shared" si="157"/>
        <v>0</v>
      </c>
      <c r="V494" s="436">
        <f t="shared" si="157"/>
        <v>0</v>
      </c>
      <c r="W494" s="436">
        <f t="shared" si="157"/>
        <v>0</v>
      </c>
      <c r="X494" s="436">
        <f t="shared" si="157"/>
        <v>0</v>
      </c>
      <c r="Y494" s="436">
        <f t="shared" si="157"/>
        <v>0</v>
      </c>
      <c r="Z494" s="436">
        <f t="shared" si="157"/>
        <v>0</v>
      </c>
      <c r="AA494" s="436">
        <f t="shared" si="157"/>
        <v>0</v>
      </c>
      <c r="AB494" s="436">
        <f t="shared" si="157"/>
        <v>0</v>
      </c>
      <c r="AC494" s="436">
        <f t="shared" si="157"/>
        <v>0</v>
      </c>
      <c r="AD494" s="436">
        <f t="shared" si="157"/>
        <v>0</v>
      </c>
      <c r="AE494" s="436">
        <f t="shared" si="157"/>
        <v>0</v>
      </c>
      <c r="AF494" s="436">
        <f t="shared" si="157"/>
        <v>0</v>
      </c>
      <c r="AG494" s="435">
        <f t="shared" si="157"/>
        <v>0</v>
      </c>
      <c r="AH494" s="436">
        <f t="shared" si="157"/>
        <v>0</v>
      </c>
      <c r="AI494" s="436">
        <f t="shared" si="157"/>
        <v>0</v>
      </c>
      <c r="AJ494" s="436">
        <f t="shared" si="157"/>
        <v>0</v>
      </c>
      <c r="AK494" s="436">
        <f t="shared" si="157"/>
        <v>0</v>
      </c>
      <c r="AL494" s="436">
        <f t="shared" si="157"/>
        <v>0</v>
      </c>
      <c r="AM494" s="436">
        <f t="shared" si="157"/>
        <v>0</v>
      </c>
      <c r="AN494" s="436">
        <f t="shared" si="157"/>
        <v>0</v>
      </c>
      <c r="AO494" s="436">
        <f t="shared" si="157"/>
        <v>0</v>
      </c>
      <c r="AP494" s="436">
        <f t="shared" si="157"/>
        <v>0</v>
      </c>
      <c r="AQ494" s="436">
        <f t="shared" si="157"/>
        <v>0</v>
      </c>
      <c r="AR494" s="436">
        <f t="shared" si="157"/>
        <v>0</v>
      </c>
      <c r="AS494" s="436">
        <f t="shared" si="157"/>
        <v>0</v>
      </c>
      <c r="AT494" s="436">
        <f t="shared" si="157"/>
        <v>0</v>
      </c>
      <c r="AU494" s="436">
        <f t="shared" si="157"/>
        <v>0</v>
      </c>
      <c r="AV494" s="436">
        <f t="shared" si="157"/>
        <v>0</v>
      </c>
      <c r="AW494" s="436">
        <f t="shared" si="157"/>
        <v>0</v>
      </c>
      <c r="AX494" s="436">
        <f t="shared" si="157"/>
        <v>0</v>
      </c>
      <c r="AY494" s="436">
        <f>+AY472-AY450</f>
        <v>0</v>
      </c>
      <c r="AZ494" s="436">
        <f t="shared" si="157"/>
        <v>0</v>
      </c>
      <c r="BA494" s="436">
        <f t="shared" si="157"/>
        <v>0</v>
      </c>
      <c r="BB494" s="436">
        <f t="shared" si="157"/>
        <v>0</v>
      </c>
      <c r="BC494" s="436">
        <f t="shared" si="157"/>
        <v>0</v>
      </c>
      <c r="BD494" s="436">
        <f t="shared" si="157"/>
        <v>0</v>
      </c>
      <c r="BE494" s="436">
        <f t="shared" si="157"/>
        <v>0</v>
      </c>
      <c r="BF494" s="436">
        <f t="shared" si="157"/>
        <v>0</v>
      </c>
      <c r="BG494" s="436">
        <f t="shared" si="157"/>
        <v>0</v>
      </c>
      <c r="BH494" s="446">
        <f t="shared" si="157"/>
        <v>0</v>
      </c>
      <c r="BI494" s="82"/>
      <c r="BJ494" s="323"/>
      <c r="BK494" s="82"/>
    </row>
    <row r="495" spans="1:63" x14ac:dyDescent="0.25">
      <c r="A495" s="461" t="s">
        <v>172</v>
      </c>
      <c r="B495" s="437" t="s">
        <v>167</v>
      </c>
      <c r="C495" s="463" t="s">
        <v>173</v>
      </c>
      <c r="D495" s="438">
        <f t="shared" si="158"/>
        <v>0</v>
      </c>
      <c r="E495" s="447">
        <f t="shared" si="157"/>
        <v>0</v>
      </c>
      <c r="F495" s="447">
        <f t="shared" si="157"/>
        <v>0</v>
      </c>
      <c r="G495" s="447">
        <f t="shared" si="157"/>
        <v>0</v>
      </c>
      <c r="H495" s="447">
        <f t="shared" si="157"/>
        <v>0</v>
      </c>
      <c r="I495" s="447">
        <f t="shared" si="157"/>
        <v>0</v>
      </c>
      <c r="J495" s="447">
        <f t="shared" si="157"/>
        <v>0</v>
      </c>
      <c r="K495" s="447">
        <f t="shared" si="157"/>
        <v>0</v>
      </c>
      <c r="L495" s="447">
        <f t="shared" si="157"/>
        <v>0</v>
      </c>
      <c r="M495" s="447">
        <f t="shared" si="157"/>
        <v>0</v>
      </c>
      <c r="N495" s="447">
        <f t="shared" si="157"/>
        <v>0</v>
      </c>
      <c r="O495" s="447">
        <f t="shared" si="157"/>
        <v>0</v>
      </c>
      <c r="P495" s="447">
        <f t="shared" si="157"/>
        <v>0</v>
      </c>
      <c r="Q495" s="447">
        <f t="shared" si="157"/>
        <v>0</v>
      </c>
      <c r="R495" s="447">
        <f t="shared" si="157"/>
        <v>0</v>
      </c>
      <c r="S495" s="447">
        <f t="shared" si="157"/>
        <v>0</v>
      </c>
      <c r="T495" s="447">
        <f t="shared" si="157"/>
        <v>0</v>
      </c>
      <c r="U495" s="447">
        <f t="shared" si="157"/>
        <v>0</v>
      </c>
      <c r="V495" s="447">
        <f t="shared" si="157"/>
        <v>0</v>
      </c>
      <c r="W495" s="447">
        <f t="shared" si="157"/>
        <v>0</v>
      </c>
      <c r="X495" s="447">
        <f t="shared" si="157"/>
        <v>0</v>
      </c>
      <c r="Y495" s="447">
        <f t="shared" si="157"/>
        <v>0</v>
      </c>
      <c r="Z495" s="447">
        <f t="shared" si="157"/>
        <v>0</v>
      </c>
      <c r="AA495" s="447">
        <f t="shared" si="157"/>
        <v>0</v>
      </c>
      <c r="AB495" s="447">
        <f t="shared" si="157"/>
        <v>0</v>
      </c>
      <c r="AC495" s="447">
        <f t="shared" si="157"/>
        <v>0</v>
      </c>
      <c r="AD495" s="447">
        <f t="shared" si="157"/>
        <v>0</v>
      </c>
      <c r="AE495" s="447">
        <f t="shared" si="157"/>
        <v>0</v>
      </c>
      <c r="AF495" s="447">
        <f t="shared" si="157"/>
        <v>0</v>
      </c>
      <c r="AG495" s="438">
        <f t="shared" si="157"/>
        <v>0</v>
      </c>
      <c r="AH495" s="447">
        <f t="shared" si="157"/>
        <v>0</v>
      </c>
      <c r="AI495" s="447">
        <f t="shared" si="157"/>
        <v>0</v>
      </c>
      <c r="AJ495" s="447">
        <f t="shared" si="157"/>
        <v>0</v>
      </c>
      <c r="AK495" s="447">
        <f t="shared" si="157"/>
        <v>0</v>
      </c>
      <c r="AL495" s="447">
        <f t="shared" si="157"/>
        <v>0</v>
      </c>
      <c r="AM495" s="447">
        <f t="shared" si="157"/>
        <v>0</v>
      </c>
      <c r="AN495" s="447">
        <f t="shared" si="157"/>
        <v>0</v>
      </c>
      <c r="AO495" s="447">
        <f t="shared" ref="AO495:BH505" si="159">+AO473-AO451</f>
        <v>0</v>
      </c>
      <c r="AP495" s="447">
        <f t="shared" si="159"/>
        <v>0</v>
      </c>
      <c r="AQ495" s="447">
        <f t="shared" si="159"/>
        <v>0</v>
      </c>
      <c r="AR495" s="447">
        <f t="shared" si="159"/>
        <v>0</v>
      </c>
      <c r="AS495" s="447">
        <f t="shared" si="159"/>
        <v>0</v>
      </c>
      <c r="AT495" s="447">
        <f t="shared" si="159"/>
        <v>0</v>
      </c>
      <c r="AU495" s="447">
        <f t="shared" si="159"/>
        <v>0</v>
      </c>
      <c r="AV495" s="447">
        <f t="shared" si="159"/>
        <v>0</v>
      </c>
      <c r="AW495" s="447">
        <f t="shared" si="159"/>
        <v>0</v>
      </c>
      <c r="AX495" s="447">
        <f t="shared" si="159"/>
        <v>0</v>
      </c>
      <c r="AY495" s="447">
        <f t="shared" si="159"/>
        <v>0</v>
      </c>
      <c r="AZ495" s="447">
        <f t="shared" si="159"/>
        <v>0</v>
      </c>
      <c r="BA495" s="447">
        <f t="shared" si="159"/>
        <v>0</v>
      </c>
      <c r="BB495" s="447">
        <f t="shared" si="159"/>
        <v>0</v>
      </c>
      <c r="BC495" s="447">
        <f t="shared" si="159"/>
        <v>0</v>
      </c>
      <c r="BD495" s="447">
        <f t="shared" si="159"/>
        <v>0</v>
      </c>
      <c r="BE495" s="447">
        <f t="shared" si="159"/>
        <v>0</v>
      </c>
      <c r="BF495" s="447">
        <f t="shared" si="159"/>
        <v>0</v>
      </c>
      <c r="BG495" s="447">
        <f t="shared" si="159"/>
        <v>0</v>
      </c>
      <c r="BH495" s="448">
        <f t="shared" si="159"/>
        <v>0</v>
      </c>
      <c r="BI495" s="82"/>
      <c r="BJ495" s="323"/>
      <c r="BK495" s="82"/>
    </row>
    <row r="496" spans="1:63" x14ac:dyDescent="0.25">
      <c r="A496" s="461" t="s">
        <v>172</v>
      </c>
      <c r="B496" s="439" t="s">
        <v>153</v>
      </c>
      <c r="C496" s="463" t="s">
        <v>173</v>
      </c>
      <c r="D496" s="438">
        <f t="shared" si="158"/>
        <v>0</v>
      </c>
      <c r="E496" s="447">
        <f t="shared" si="158"/>
        <v>0</v>
      </c>
      <c r="F496" s="447">
        <f t="shared" si="158"/>
        <v>0</v>
      </c>
      <c r="G496" s="447">
        <f t="shared" si="158"/>
        <v>0</v>
      </c>
      <c r="H496" s="447">
        <f t="shared" si="158"/>
        <v>0</v>
      </c>
      <c r="I496" s="447">
        <f t="shared" si="158"/>
        <v>0</v>
      </c>
      <c r="J496" s="447">
        <f t="shared" si="158"/>
        <v>0</v>
      </c>
      <c r="K496" s="447">
        <f t="shared" si="158"/>
        <v>0</v>
      </c>
      <c r="L496" s="447">
        <f t="shared" si="158"/>
        <v>0</v>
      </c>
      <c r="M496" s="447">
        <f t="shared" si="158"/>
        <v>0</v>
      </c>
      <c r="N496" s="447">
        <f t="shared" si="158"/>
        <v>0</v>
      </c>
      <c r="O496" s="447">
        <f t="shared" si="158"/>
        <v>0</v>
      </c>
      <c r="P496" s="447">
        <f t="shared" si="158"/>
        <v>0</v>
      </c>
      <c r="Q496" s="447">
        <f t="shared" si="158"/>
        <v>0</v>
      </c>
      <c r="R496" s="447">
        <f t="shared" si="158"/>
        <v>0</v>
      </c>
      <c r="S496" s="447">
        <f t="shared" si="158"/>
        <v>0</v>
      </c>
      <c r="T496" s="447">
        <f t="shared" ref="T496:BH502" si="160">+T474-T452</f>
        <v>0</v>
      </c>
      <c r="U496" s="447">
        <f t="shared" si="160"/>
        <v>0</v>
      </c>
      <c r="V496" s="447">
        <f t="shared" si="160"/>
        <v>0</v>
      </c>
      <c r="W496" s="447">
        <f t="shared" si="160"/>
        <v>0</v>
      </c>
      <c r="X496" s="447">
        <f t="shared" si="160"/>
        <v>0</v>
      </c>
      <c r="Y496" s="447">
        <f t="shared" si="160"/>
        <v>0</v>
      </c>
      <c r="Z496" s="447">
        <f t="shared" si="160"/>
        <v>0</v>
      </c>
      <c r="AA496" s="447">
        <f t="shared" si="160"/>
        <v>0</v>
      </c>
      <c r="AB496" s="447">
        <f t="shared" si="160"/>
        <v>0</v>
      </c>
      <c r="AC496" s="447">
        <f t="shared" si="160"/>
        <v>0</v>
      </c>
      <c r="AD496" s="447">
        <f t="shared" si="160"/>
        <v>0</v>
      </c>
      <c r="AE496" s="447">
        <f t="shared" si="160"/>
        <v>0</v>
      </c>
      <c r="AF496" s="447">
        <f t="shared" si="160"/>
        <v>0</v>
      </c>
      <c r="AG496" s="438">
        <f t="shared" si="160"/>
        <v>0</v>
      </c>
      <c r="AH496" s="447">
        <f t="shared" si="160"/>
        <v>0</v>
      </c>
      <c r="AI496" s="447">
        <f t="shared" si="160"/>
        <v>0</v>
      </c>
      <c r="AJ496" s="447">
        <f t="shared" si="160"/>
        <v>0</v>
      </c>
      <c r="AK496" s="447">
        <f t="shared" si="160"/>
        <v>0</v>
      </c>
      <c r="AL496" s="447">
        <f t="shared" si="160"/>
        <v>0</v>
      </c>
      <c r="AM496" s="447">
        <f t="shared" si="160"/>
        <v>0</v>
      </c>
      <c r="AN496" s="447">
        <f t="shared" si="160"/>
        <v>0</v>
      </c>
      <c r="AO496" s="447">
        <f t="shared" si="160"/>
        <v>0</v>
      </c>
      <c r="AP496" s="447">
        <f t="shared" si="160"/>
        <v>0</v>
      </c>
      <c r="AQ496" s="447">
        <f t="shared" si="160"/>
        <v>0</v>
      </c>
      <c r="AR496" s="447">
        <f t="shared" si="160"/>
        <v>0</v>
      </c>
      <c r="AS496" s="447">
        <f t="shared" si="160"/>
        <v>0</v>
      </c>
      <c r="AT496" s="447">
        <f t="shared" si="160"/>
        <v>0</v>
      </c>
      <c r="AU496" s="447">
        <f t="shared" si="160"/>
        <v>0</v>
      </c>
      <c r="AV496" s="447">
        <f t="shared" si="160"/>
        <v>0</v>
      </c>
      <c r="AW496" s="447">
        <f t="shared" si="160"/>
        <v>0</v>
      </c>
      <c r="AX496" s="447">
        <f t="shared" si="160"/>
        <v>0</v>
      </c>
      <c r="AY496" s="447">
        <f t="shared" si="160"/>
        <v>0</v>
      </c>
      <c r="AZ496" s="447">
        <f t="shared" si="160"/>
        <v>0</v>
      </c>
      <c r="BA496" s="447">
        <f t="shared" si="160"/>
        <v>0</v>
      </c>
      <c r="BB496" s="447">
        <f t="shared" si="160"/>
        <v>0</v>
      </c>
      <c r="BC496" s="447">
        <f t="shared" si="160"/>
        <v>0</v>
      </c>
      <c r="BD496" s="447">
        <f t="shared" si="160"/>
        <v>0</v>
      </c>
      <c r="BE496" s="447">
        <f t="shared" si="159"/>
        <v>0</v>
      </c>
      <c r="BF496" s="447">
        <f t="shared" si="160"/>
        <v>0</v>
      </c>
      <c r="BG496" s="447">
        <f t="shared" si="160"/>
        <v>0</v>
      </c>
      <c r="BH496" s="448">
        <f t="shared" si="160"/>
        <v>0</v>
      </c>
      <c r="BI496" s="82"/>
      <c r="BJ496" s="323"/>
      <c r="BK496" s="82"/>
    </row>
    <row r="497" spans="1:63" x14ac:dyDescent="0.25">
      <c r="A497" s="461" t="s">
        <v>172</v>
      </c>
      <c r="B497" s="434" t="s">
        <v>166</v>
      </c>
      <c r="C497" s="441" t="s">
        <v>159</v>
      </c>
      <c r="D497" s="435">
        <f>+D475-D453</f>
        <v>0</v>
      </c>
      <c r="E497" s="436">
        <f t="shared" si="158"/>
        <v>0</v>
      </c>
      <c r="F497" s="436">
        <f t="shared" si="158"/>
        <v>0</v>
      </c>
      <c r="G497" s="436">
        <f t="shared" si="158"/>
        <v>0</v>
      </c>
      <c r="H497" s="436">
        <f t="shared" si="158"/>
        <v>0</v>
      </c>
      <c r="I497" s="436">
        <f t="shared" si="158"/>
        <v>0</v>
      </c>
      <c r="J497" s="436">
        <f t="shared" si="158"/>
        <v>0</v>
      </c>
      <c r="K497" s="436">
        <f t="shared" si="158"/>
        <v>0</v>
      </c>
      <c r="L497" s="436">
        <f t="shared" si="158"/>
        <v>0</v>
      </c>
      <c r="M497" s="436">
        <f t="shared" si="158"/>
        <v>0</v>
      </c>
      <c r="N497" s="436">
        <f t="shared" si="158"/>
        <v>0</v>
      </c>
      <c r="O497" s="436">
        <f t="shared" si="158"/>
        <v>0</v>
      </c>
      <c r="P497" s="436">
        <f t="shared" si="158"/>
        <v>0</v>
      </c>
      <c r="Q497" s="436">
        <f t="shared" si="158"/>
        <v>0</v>
      </c>
      <c r="R497" s="436">
        <f t="shared" si="158"/>
        <v>0</v>
      </c>
      <c r="S497" s="436">
        <f t="shared" si="158"/>
        <v>0</v>
      </c>
      <c r="T497" s="436">
        <f t="shared" si="160"/>
        <v>0</v>
      </c>
      <c r="U497" s="436">
        <f t="shared" si="160"/>
        <v>0</v>
      </c>
      <c r="V497" s="436">
        <f t="shared" si="160"/>
        <v>0</v>
      </c>
      <c r="W497" s="436">
        <f t="shared" si="160"/>
        <v>0</v>
      </c>
      <c r="X497" s="436">
        <f t="shared" si="160"/>
        <v>0</v>
      </c>
      <c r="Y497" s="436">
        <f t="shared" si="160"/>
        <v>0</v>
      </c>
      <c r="Z497" s="436">
        <f t="shared" si="160"/>
        <v>0</v>
      </c>
      <c r="AA497" s="436">
        <f t="shared" si="160"/>
        <v>0</v>
      </c>
      <c r="AB497" s="436">
        <f t="shared" si="160"/>
        <v>0</v>
      </c>
      <c r="AC497" s="436">
        <f t="shared" si="160"/>
        <v>0</v>
      </c>
      <c r="AD497" s="436">
        <f t="shared" si="160"/>
        <v>0</v>
      </c>
      <c r="AE497" s="436">
        <f t="shared" si="160"/>
        <v>0</v>
      </c>
      <c r="AF497" s="436">
        <f t="shared" si="160"/>
        <v>0</v>
      </c>
      <c r="AG497" s="435">
        <f t="shared" si="160"/>
        <v>0</v>
      </c>
      <c r="AH497" s="436">
        <f t="shared" si="160"/>
        <v>0</v>
      </c>
      <c r="AI497" s="436">
        <f t="shared" si="160"/>
        <v>0</v>
      </c>
      <c r="AJ497" s="436">
        <f t="shared" si="160"/>
        <v>0</v>
      </c>
      <c r="AK497" s="436">
        <f t="shared" si="160"/>
        <v>0</v>
      </c>
      <c r="AL497" s="436">
        <f t="shared" si="160"/>
        <v>0</v>
      </c>
      <c r="AM497" s="436">
        <f t="shared" si="160"/>
        <v>0</v>
      </c>
      <c r="AN497" s="436">
        <f t="shared" si="160"/>
        <v>0</v>
      </c>
      <c r="AO497" s="436">
        <f t="shared" si="160"/>
        <v>0</v>
      </c>
      <c r="AP497" s="436">
        <f t="shared" si="160"/>
        <v>0</v>
      </c>
      <c r="AQ497" s="436">
        <f t="shared" si="160"/>
        <v>0</v>
      </c>
      <c r="AR497" s="436">
        <f t="shared" si="160"/>
        <v>0</v>
      </c>
      <c r="AS497" s="436">
        <f t="shared" si="160"/>
        <v>0</v>
      </c>
      <c r="AT497" s="436">
        <f t="shared" si="160"/>
        <v>0</v>
      </c>
      <c r="AU497" s="436">
        <f t="shared" si="160"/>
        <v>0</v>
      </c>
      <c r="AV497" s="436">
        <f t="shared" si="160"/>
        <v>0</v>
      </c>
      <c r="AW497" s="436">
        <f t="shared" si="160"/>
        <v>0</v>
      </c>
      <c r="AX497" s="436">
        <f t="shared" si="160"/>
        <v>0</v>
      </c>
      <c r="AY497" s="436">
        <f t="shared" si="160"/>
        <v>0</v>
      </c>
      <c r="AZ497" s="436">
        <f t="shared" si="160"/>
        <v>0</v>
      </c>
      <c r="BA497" s="436">
        <f t="shared" si="160"/>
        <v>0</v>
      </c>
      <c r="BB497" s="436">
        <f t="shared" si="160"/>
        <v>0</v>
      </c>
      <c r="BC497" s="436">
        <f t="shared" si="160"/>
        <v>0</v>
      </c>
      <c r="BD497" s="436">
        <f t="shared" si="160"/>
        <v>0</v>
      </c>
      <c r="BE497" s="436">
        <f t="shared" si="159"/>
        <v>0</v>
      </c>
      <c r="BF497" s="436">
        <f t="shared" si="160"/>
        <v>0</v>
      </c>
      <c r="BG497" s="436">
        <f t="shared" si="160"/>
        <v>0</v>
      </c>
      <c r="BH497" s="446">
        <f t="shared" si="160"/>
        <v>0</v>
      </c>
      <c r="BI497" s="82"/>
      <c r="BJ497" s="323"/>
      <c r="BK497" s="82"/>
    </row>
    <row r="498" spans="1:63" x14ac:dyDescent="0.25">
      <c r="A498" s="461" t="s">
        <v>172</v>
      </c>
      <c r="B498" s="437" t="s">
        <v>167</v>
      </c>
      <c r="C498" s="442" t="s">
        <v>159</v>
      </c>
      <c r="D498" s="438">
        <f t="shared" si="158"/>
        <v>0</v>
      </c>
      <c r="E498" s="447">
        <f t="shared" si="158"/>
        <v>0</v>
      </c>
      <c r="F498" s="447">
        <f t="shared" si="158"/>
        <v>0</v>
      </c>
      <c r="G498" s="447">
        <f t="shared" si="158"/>
        <v>0</v>
      </c>
      <c r="H498" s="447">
        <f t="shared" si="158"/>
        <v>0</v>
      </c>
      <c r="I498" s="447">
        <f t="shared" si="158"/>
        <v>0</v>
      </c>
      <c r="J498" s="447">
        <f t="shared" si="158"/>
        <v>0</v>
      </c>
      <c r="K498" s="447">
        <f t="shared" si="158"/>
        <v>0</v>
      </c>
      <c r="L498" s="447">
        <f t="shared" si="158"/>
        <v>0</v>
      </c>
      <c r="M498" s="447">
        <f t="shared" si="158"/>
        <v>0</v>
      </c>
      <c r="N498" s="447">
        <f t="shared" si="158"/>
        <v>0</v>
      </c>
      <c r="O498" s="447">
        <f t="shared" si="158"/>
        <v>0</v>
      </c>
      <c r="P498" s="447">
        <f t="shared" si="158"/>
        <v>0</v>
      </c>
      <c r="Q498" s="447">
        <f t="shared" si="158"/>
        <v>0</v>
      </c>
      <c r="R498" s="447">
        <f t="shared" si="158"/>
        <v>0</v>
      </c>
      <c r="S498" s="447">
        <f t="shared" si="158"/>
        <v>0</v>
      </c>
      <c r="T498" s="447">
        <f t="shared" si="160"/>
        <v>0</v>
      </c>
      <c r="U498" s="447">
        <f t="shared" si="160"/>
        <v>0</v>
      </c>
      <c r="V498" s="447">
        <f t="shared" si="160"/>
        <v>0</v>
      </c>
      <c r="W498" s="447">
        <f t="shared" si="160"/>
        <v>0</v>
      </c>
      <c r="X498" s="447">
        <f t="shared" si="160"/>
        <v>0</v>
      </c>
      <c r="Y498" s="447">
        <f t="shared" si="160"/>
        <v>0</v>
      </c>
      <c r="Z498" s="447">
        <f t="shared" si="160"/>
        <v>0</v>
      </c>
      <c r="AA498" s="447">
        <f t="shared" si="160"/>
        <v>0</v>
      </c>
      <c r="AB498" s="447">
        <f t="shared" si="160"/>
        <v>0</v>
      </c>
      <c r="AC498" s="447">
        <f t="shared" si="160"/>
        <v>0</v>
      </c>
      <c r="AD498" s="447">
        <f t="shared" si="160"/>
        <v>0</v>
      </c>
      <c r="AE498" s="447">
        <f t="shared" si="160"/>
        <v>0</v>
      </c>
      <c r="AF498" s="447">
        <f t="shared" si="160"/>
        <v>0</v>
      </c>
      <c r="AG498" s="438">
        <f t="shared" si="160"/>
        <v>0</v>
      </c>
      <c r="AH498" s="447">
        <f t="shared" si="160"/>
        <v>0</v>
      </c>
      <c r="AI498" s="447">
        <f t="shared" si="160"/>
        <v>0</v>
      </c>
      <c r="AJ498" s="447">
        <f t="shared" si="160"/>
        <v>0</v>
      </c>
      <c r="AK498" s="447">
        <f t="shared" si="160"/>
        <v>0</v>
      </c>
      <c r="AL498" s="447">
        <f t="shared" si="160"/>
        <v>0</v>
      </c>
      <c r="AM498" s="447">
        <f t="shared" si="160"/>
        <v>0</v>
      </c>
      <c r="AN498" s="447">
        <f t="shared" si="160"/>
        <v>0</v>
      </c>
      <c r="AO498" s="447">
        <f t="shared" si="160"/>
        <v>0</v>
      </c>
      <c r="AP498" s="447">
        <f t="shared" si="160"/>
        <v>0</v>
      </c>
      <c r="AQ498" s="447">
        <f t="shared" si="160"/>
        <v>0</v>
      </c>
      <c r="AR498" s="447">
        <f t="shared" si="160"/>
        <v>0</v>
      </c>
      <c r="AS498" s="447">
        <f t="shared" si="160"/>
        <v>0</v>
      </c>
      <c r="AT498" s="447">
        <f t="shared" si="160"/>
        <v>0</v>
      </c>
      <c r="AU498" s="447">
        <f t="shared" si="160"/>
        <v>0</v>
      </c>
      <c r="AV498" s="447">
        <f t="shared" si="160"/>
        <v>0</v>
      </c>
      <c r="AW498" s="447">
        <f t="shared" si="160"/>
        <v>0</v>
      </c>
      <c r="AX498" s="447">
        <f t="shared" si="160"/>
        <v>0</v>
      </c>
      <c r="AY498" s="447">
        <f t="shared" si="160"/>
        <v>0</v>
      </c>
      <c r="AZ498" s="447">
        <f t="shared" si="160"/>
        <v>0</v>
      </c>
      <c r="BA498" s="447">
        <f t="shared" si="160"/>
        <v>0</v>
      </c>
      <c r="BB498" s="447">
        <f t="shared" si="160"/>
        <v>0</v>
      </c>
      <c r="BC498" s="447">
        <f t="shared" si="160"/>
        <v>0</v>
      </c>
      <c r="BD498" s="447">
        <f t="shared" si="160"/>
        <v>0</v>
      </c>
      <c r="BE498" s="447">
        <f t="shared" si="159"/>
        <v>0</v>
      </c>
      <c r="BF498" s="447">
        <f t="shared" si="160"/>
        <v>0</v>
      </c>
      <c r="BG498" s="447">
        <f t="shared" si="160"/>
        <v>0</v>
      </c>
      <c r="BH498" s="448">
        <f t="shared" si="160"/>
        <v>0</v>
      </c>
      <c r="BI498" s="82"/>
      <c r="BJ498" s="323"/>
      <c r="BK498" s="82"/>
    </row>
    <row r="499" spans="1:63" x14ac:dyDescent="0.25">
      <c r="A499" s="461" t="s">
        <v>172</v>
      </c>
      <c r="B499" s="439" t="s">
        <v>153</v>
      </c>
      <c r="C499" s="443" t="s">
        <v>159</v>
      </c>
      <c r="D499" s="438">
        <f t="shared" si="158"/>
        <v>0</v>
      </c>
      <c r="E499" s="447">
        <f t="shared" si="158"/>
        <v>0</v>
      </c>
      <c r="F499" s="447">
        <f t="shared" si="158"/>
        <v>0</v>
      </c>
      <c r="G499" s="447">
        <f t="shared" si="158"/>
        <v>0</v>
      </c>
      <c r="H499" s="447">
        <f t="shared" si="158"/>
        <v>0</v>
      </c>
      <c r="I499" s="447">
        <f t="shared" si="158"/>
        <v>0</v>
      </c>
      <c r="J499" s="447">
        <f t="shared" si="158"/>
        <v>0</v>
      </c>
      <c r="K499" s="447">
        <f t="shared" si="158"/>
        <v>0</v>
      </c>
      <c r="L499" s="447">
        <f t="shared" si="158"/>
        <v>0</v>
      </c>
      <c r="M499" s="447">
        <f t="shared" si="158"/>
        <v>0</v>
      </c>
      <c r="N499" s="447">
        <f t="shared" si="158"/>
        <v>0</v>
      </c>
      <c r="O499" s="447">
        <f t="shared" si="158"/>
        <v>0</v>
      </c>
      <c r="P499" s="447">
        <f t="shared" si="158"/>
        <v>0</v>
      </c>
      <c r="Q499" s="447">
        <f t="shared" si="158"/>
        <v>0</v>
      </c>
      <c r="R499" s="447">
        <f t="shared" si="158"/>
        <v>0</v>
      </c>
      <c r="S499" s="447">
        <f t="shared" si="158"/>
        <v>0</v>
      </c>
      <c r="T499" s="447">
        <f t="shared" si="160"/>
        <v>0</v>
      </c>
      <c r="U499" s="447">
        <f t="shared" si="160"/>
        <v>0</v>
      </c>
      <c r="V499" s="447">
        <f t="shared" si="160"/>
        <v>0</v>
      </c>
      <c r="W499" s="447">
        <f t="shared" si="160"/>
        <v>0</v>
      </c>
      <c r="X499" s="447">
        <f t="shared" si="160"/>
        <v>0</v>
      </c>
      <c r="Y499" s="447">
        <f t="shared" si="160"/>
        <v>0</v>
      </c>
      <c r="Z499" s="447">
        <f t="shared" si="160"/>
        <v>0</v>
      </c>
      <c r="AA499" s="447">
        <f t="shared" si="160"/>
        <v>0</v>
      </c>
      <c r="AB499" s="447">
        <f t="shared" si="160"/>
        <v>0</v>
      </c>
      <c r="AC499" s="447">
        <f t="shared" si="160"/>
        <v>0</v>
      </c>
      <c r="AD499" s="447">
        <f t="shared" si="160"/>
        <v>0</v>
      </c>
      <c r="AE499" s="447">
        <f t="shared" si="160"/>
        <v>0</v>
      </c>
      <c r="AF499" s="447">
        <f t="shared" si="160"/>
        <v>0</v>
      </c>
      <c r="AG499" s="438">
        <f t="shared" si="160"/>
        <v>0</v>
      </c>
      <c r="AH499" s="447">
        <f t="shared" si="160"/>
        <v>0</v>
      </c>
      <c r="AI499" s="447">
        <f t="shared" si="160"/>
        <v>0</v>
      </c>
      <c r="AJ499" s="447">
        <f t="shared" si="160"/>
        <v>0</v>
      </c>
      <c r="AK499" s="447">
        <f t="shared" si="160"/>
        <v>0</v>
      </c>
      <c r="AL499" s="447">
        <f t="shared" si="160"/>
        <v>0</v>
      </c>
      <c r="AM499" s="447">
        <f t="shared" si="160"/>
        <v>0</v>
      </c>
      <c r="AN499" s="447">
        <f t="shared" si="160"/>
        <v>0</v>
      </c>
      <c r="AO499" s="447">
        <f t="shared" si="160"/>
        <v>0</v>
      </c>
      <c r="AP499" s="447">
        <f t="shared" si="160"/>
        <v>0</v>
      </c>
      <c r="AQ499" s="447">
        <f t="shared" si="160"/>
        <v>0</v>
      </c>
      <c r="AR499" s="447">
        <f t="shared" si="160"/>
        <v>0</v>
      </c>
      <c r="AS499" s="447">
        <f t="shared" si="160"/>
        <v>0</v>
      </c>
      <c r="AT499" s="447">
        <f t="shared" si="160"/>
        <v>0</v>
      </c>
      <c r="AU499" s="447">
        <f t="shared" si="160"/>
        <v>0</v>
      </c>
      <c r="AV499" s="447">
        <f t="shared" si="160"/>
        <v>0</v>
      </c>
      <c r="AW499" s="447">
        <f t="shared" si="160"/>
        <v>0</v>
      </c>
      <c r="AX499" s="447">
        <f t="shared" si="160"/>
        <v>0</v>
      </c>
      <c r="AY499" s="447">
        <f t="shared" si="160"/>
        <v>0</v>
      </c>
      <c r="AZ499" s="447">
        <f t="shared" si="160"/>
        <v>0</v>
      </c>
      <c r="BA499" s="447">
        <f t="shared" si="160"/>
        <v>0</v>
      </c>
      <c r="BB499" s="447">
        <f t="shared" si="160"/>
        <v>0</v>
      </c>
      <c r="BC499" s="447">
        <f t="shared" si="160"/>
        <v>0</v>
      </c>
      <c r="BD499" s="447">
        <f t="shared" si="160"/>
        <v>0</v>
      </c>
      <c r="BE499" s="447">
        <f t="shared" si="159"/>
        <v>0</v>
      </c>
      <c r="BF499" s="447">
        <f t="shared" si="160"/>
        <v>0</v>
      </c>
      <c r="BG499" s="447">
        <f t="shared" si="160"/>
        <v>0</v>
      </c>
      <c r="BH499" s="448">
        <f t="shared" si="160"/>
        <v>0</v>
      </c>
      <c r="BI499" s="82"/>
      <c r="BJ499" s="323"/>
      <c r="BK499" s="82"/>
    </row>
    <row r="500" spans="1:63" x14ac:dyDescent="0.25">
      <c r="A500" s="461" t="s">
        <v>172</v>
      </c>
      <c r="B500" s="434" t="s">
        <v>166</v>
      </c>
      <c r="C500" s="441" t="s">
        <v>169</v>
      </c>
      <c r="D500" s="435">
        <f t="shared" si="158"/>
        <v>0</v>
      </c>
      <c r="E500" s="436">
        <f t="shared" si="158"/>
        <v>0</v>
      </c>
      <c r="F500" s="436">
        <f t="shared" si="158"/>
        <v>0</v>
      </c>
      <c r="G500" s="436">
        <f t="shared" si="158"/>
        <v>0</v>
      </c>
      <c r="H500" s="436">
        <f t="shared" si="158"/>
        <v>0</v>
      </c>
      <c r="I500" s="436">
        <f t="shared" si="158"/>
        <v>0</v>
      </c>
      <c r="J500" s="436">
        <f t="shared" si="158"/>
        <v>0</v>
      </c>
      <c r="K500" s="436">
        <f t="shared" si="158"/>
        <v>0</v>
      </c>
      <c r="L500" s="436">
        <f t="shared" si="158"/>
        <v>0</v>
      </c>
      <c r="M500" s="436">
        <f t="shared" si="158"/>
        <v>0</v>
      </c>
      <c r="N500" s="436">
        <f t="shared" si="158"/>
        <v>0</v>
      </c>
      <c r="O500" s="436">
        <f t="shared" si="158"/>
        <v>0</v>
      </c>
      <c r="P500" s="436">
        <f t="shared" si="158"/>
        <v>0</v>
      </c>
      <c r="Q500" s="436">
        <f t="shared" si="158"/>
        <v>0</v>
      </c>
      <c r="R500" s="436">
        <f t="shared" si="158"/>
        <v>0</v>
      </c>
      <c r="S500" s="436">
        <f t="shared" si="158"/>
        <v>0</v>
      </c>
      <c r="T500" s="436">
        <f t="shared" si="160"/>
        <v>0</v>
      </c>
      <c r="U500" s="436">
        <f t="shared" si="160"/>
        <v>0</v>
      </c>
      <c r="V500" s="436">
        <f t="shared" si="160"/>
        <v>0</v>
      </c>
      <c r="W500" s="436">
        <f t="shared" si="160"/>
        <v>0</v>
      </c>
      <c r="X500" s="436">
        <f t="shared" si="160"/>
        <v>0</v>
      </c>
      <c r="Y500" s="436">
        <f t="shared" si="160"/>
        <v>0</v>
      </c>
      <c r="Z500" s="436">
        <f t="shared" si="160"/>
        <v>0</v>
      </c>
      <c r="AA500" s="436">
        <f t="shared" si="160"/>
        <v>0</v>
      </c>
      <c r="AB500" s="436">
        <f t="shared" si="160"/>
        <v>0</v>
      </c>
      <c r="AC500" s="436">
        <f t="shared" si="160"/>
        <v>0</v>
      </c>
      <c r="AD500" s="436">
        <f t="shared" si="160"/>
        <v>0</v>
      </c>
      <c r="AE500" s="436">
        <f t="shared" si="160"/>
        <v>0</v>
      </c>
      <c r="AF500" s="436">
        <f t="shared" si="160"/>
        <v>0</v>
      </c>
      <c r="AG500" s="435">
        <f t="shared" si="160"/>
        <v>0</v>
      </c>
      <c r="AH500" s="436">
        <f t="shared" si="160"/>
        <v>0</v>
      </c>
      <c r="AI500" s="436">
        <f t="shared" si="160"/>
        <v>0</v>
      </c>
      <c r="AJ500" s="436">
        <f t="shared" si="160"/>
        <v>0</v>
      </c>
      <c r="AK500" s="436">
        <f t="shared" si="160"/>
        <v>0</v>
      </c>
      <c r="AL500" s="436">
        <f t="shared" si="160"/>
        <v>0</v>
      </c>
      <c r="AM500" s="436">
        <f t="shared" si="160"/>
        <v>0</v>
      </c>
      <c r="AN500" s="436">
        <f t="shared" si="160"/>
        <v>0</v>
      </c>
      <c r="AO500" s="436">
        <f t="shared" si="160"/>
        <v>0</v>
      </c>
      <c r="AP500" s="436">
        <f t="shared" si="160"/>
        <v>0</v>
      </c>
      <c r="AQ500" s="436">
        <f t="shared" si="160"/>
        <v>0</v>
      </c>
      <c r="AR500" s="436">
        <f t="shared" si="160"/>
        <v>0</v>
      </c>
      <c r="AS500" s="436">
        <f t="shared" si="160"/>
        <v>0</v>
      </c>
      <c r="AT500" s="436">
        <f t="shared" si="160"/>
        <v>0</v>
      </c>
      <c r="AU500" s="436">
        <f t="shared" si="160"/>
        <v>0</v>
      </c>
      <c r="AV500" s="436">
        <f t="shared" si="160"/>
        <v>0</v>
      </c>
      <c r="AW500" s="436">
        <f t="shared" si="160"/>
        <v>0</v>
      </c>
      <c r="AX500" s="436">
        <f t="shared" si="160"/>
        <v>0</v>
      </c>
      <c r="AY500" s="436">
        <f t="shared" si="160"/>
        <v>0</v>
      </c>
      <c r="AZ500" s="436">
        <f t="shared" si="160"/>
        <v>0</v>
      </c>
      <c r="BA500" s="436">
        <f t="shared" si="160"/>
        <v>0</v>
      </c>
      <c r="BB500" s="436">
        <f t="shared" si="160"/>
        <v>0</v>
      </c>
      <c r="BC500" s="436">
        <f t="shared" si="160"/>
        <v>0</v>
      </c>
      <c r="BD500" s="436">
        <f t="shared" si="160"/>
        <v>0</v>
      </c>
      <c r="BE500" s="436">
        <f t="shared" si="159"/>
        <v>0</v>
      </c>
      <c r="BF500" s="436">
        <f t="shared" si="160"/>
        <v>0</v>
      </c>
      <c r="BG500" s="436">
        <f>+BG478-BG456</f>
        <v>0</v>
      </c>
      <c r="BH500" s="446">
        <f t="shared" si="160"/>
        <v>0</v>
      </c>
      <c r="BI500" s="82"/>
      <c r="BJ500" s="323"/>
      <c r="BK500" s="82"/>
    </row>
    <row r="501" spans="1:63" x14ac:dyDescent="0.25">
      <c r="A501" s="461" t="s">
        <v>172</v>
      </c>
      <c r="B501" s="437" t="s">
        <v>167</v>
      </c>
      <c r="C501" s="442" t="s">
        <v>169</v>
      </c>
      <c r="D501" s="438">
        <f t="shared" si="158"/>
        <v>0</v>
      </c>
      <c r="E501" s="447">
        <f t="shared" si="158"/>
        <v>0</v>
      </c>
      <c r="F501" s="447">
        <f t="shared" si="158"/>
        <v>0</v>
      </c>
      <c r="G501" s="447">
        <f t="shared" si="158"/>
        <v>0</v>
      </c>
      <c r="H501" s="447">
        <f t="shared" si="158"/>
        <v>0</v>
      </c>
      <c r="I501" s="447">
        <f t="shared" si="158"/>
        <v>0</v>
      </c>
      <c r="J501" s="447">
        <f t="shared" si="158"/>
        <v>0</v>
      </c>
      <c r="K501" s="447">
        <f t="shared" si="158"/>
        <v>0</v>
      </c>
      <c r="L501" s="447">
        <f t="shared" si="158"/>
        <v>0</v>
      </c>
      <c r="M501" s="447">
        <f t="shared" si="158"/>
        <v>0</v>
      </c>
      <c r="N501" s="447">
        <f t="shared" si="158"/>
        <v>0</v>
      </c>
      <c r="O501" s="447">
        <f t="shared" si="158"/>
        <v>0</v>
      </c>
      <c r="P501" s="447">
        <f t="shared" si="158"/>
        <v>0</v>
      </c>
      <c r="Q501" s="447">
        <f t="shared" si="158"/>
        <v>0</v>
      </c>
      <c r="R501" s="447">
        <f t="shared" si="158"/>
        <v>0</v>
      </c>
      <c r="S501" s="447">
        <f t="shared" si="158"/>
        <v>0</v>
      </c>
      <c r="T501" s="447">
        <f t="shared" si="160"/>
        <v>0</v>
      </c>
      <c r="U501" s="447">
        <f t="shared" si="160"/>
        <v>0</v>
      </c>
      <c r="V501" s="447">
        <f t="shared" si="160"/>
        <v>0</v>
      </c>
      <c r="W501" s="447">
        <f t="shared" si="160"/>
        <v>0</v>
      </c>
      <c r="X501" s="447">
        <f t="shared" si="160"/>
        <v>0</v>
      </c>
      <c r="Y501" s="447">
        <f t="shared" si="160"/>
        <v>0</v>
      </c>
      <c r="Z501" s="447">
        <f t="shared" si="160"/>
        <v>0</v>
      </c>
      <c r="AA501" s="447">
        <f t="shared" si="160"/>
        <v>0</v>
      </c>
      <c r="AB501" s="447">
        <f t="shared" si="160"/>
        <v>0</v>
      </c>
      <c r="AC501" s="447">
        <f t="shared" si="160"/>
        <v>0</v>
      </c>
      <c r="AD501" s="447">
        <f t="shared" si="160"/>
        <v>0</v>
      </c>
      <c r="AE501" s="447">
        <f t="shared" si="160"/>
        <v>0</v>
      </c>
      <c r="AF501" s="447">
        <f t="shared" si="160"/>
        <v>0</v>
      </c>
      <c r="AG501" s="438">
        <f t="shared" si="160"/>
        <v>0</v>
      </c>
      <c r="AH501" s="447">
        <f t="shared" si="160"/>
        <v>0</v>
      </c>
      <c r="AI501" s="447">
        <f t="shared" si="160"/>
        <v>0</v>
      </c>
      <c r="AJ501" s="447">
        <f t="shared" si="160"/>
        <v>0</v>
      </c>
      <c r="AK501" s="447">
        <f t="shared" si="160"/>
        <v>0</v>
      </c>
      <c r="AL501" s="447">
        <f t="shared" si="160"/>
        <v>0</v>
      </c>
      <c r="AM501" s="447">
        <f t="shared" si="160"/>
        <v>0</v>
      </c>
      <c r="AN501" s="447">
        <f t="shared" si="160"/>
        <v>0</v>
      </c>
      <c r="AO501" s="447">
        <f t="shared" si="160"/>
        <v>0</v>
      </c>
      <c r="AP501" s="447">
        <f t="shared" si="160"/>
        <v>0</v>
      </c>
      <c r="AQ501" s="447">
        <f t="shared" si="160"/>
        <v>0</v>
      </c>
      <c r="AR501" s="447">
        <f t="shared" si="160"/>
        <v>0</v>
      </c>
      <c r="AS501" s="447">
        <f t="shared" si="160"/>
        <v>0</v>
      </c>
      <c r="AT501" s="447">
        <f t="shared" si="160"/>
        <v>0</v>
      </c>
      <c r="AU501" s="447">
        <f t="shared" si="160"/>
        <v>0</v>
      </c>
      <c r="AV501" s="447">
        <f t="shared" si="160"/>
        <v>0</v>
      </c>
      <c r="AW501" s="447">
        <f t="shared" si="160"/>
        <v>0</v>
      </c>
      <c r="AX501" s="447">
        <f t="shared" si="160"/>
        <v>0</v>
      </c>
      <c r="AY501" s="447">
        <f t="shared" si="160"/>
        <v>0</v>
      </c>
      <c r="AZ501" s="447">
        <f t="shared" si="160"/>
        <v>0</v>
      </c>
      <c r="BA501" s="447">
        <f t="shared" si="160"/>
        <v>0</v>
      </c>
      <c r="BB501" s="447">
        <f t="shared" si="160"/>
        <v>0</v>
      </c>
      <c r="BC501" s="447">
        <f t="shared" si="160"/>
        <v>0</v>
      </c>
      <c r="BD501" s="447">
        <f t="shared" si="160"/>
        <v>0</v>
      </c>
      <c r="BE501" s="447">
        <f t="shared" si="159"/>
        <v>0</v>
      </c>
      <c r="BF501" s="447">
        <f t="shared" si="160"/>
        <v>0</v>
      </c>
      <c r="BG501" s="447">
        <f t="shared" si="160"/>
        <v>0</v>
      </c>
      <c r="BH501" s="448">
        <f t="shared" si="160"/>
        <v>0</v>
      </c>
      <c r="BI501" s="82"/>
      <c r="BJ501" s="323"/>
      <c r="BK501" s="82"/>
    </row>
    <row r="502" spans="1:63" x14ac:dyDescent="0.25">
      <c r="A502" s="461" t="s">
        <v>172</v>
      </c>
      <c r="B502" s="439" t="s">
        <v>153</v>
      </c>
      <c r="C502" s="443" t="s">
        <v>169</v>
      </c>
      <c r="D502" s="438">
        <f t="shared" si="158"/>
        <v>0</v>
      </c>
      <c r="E502" s="447">
        <f t="shared" si="158"/>
        <v>0</v>
      </c>
      <c r="F502" s="447">
        <f t="shared" si="158"/>
        <v>0</v>
      </c>
      <c r="G502" s="447">
        <f t="shared" si="158"/>
        <v>0</v>
      </c>
      <c r="H502" s="447">
        <f t="shared" si="158"/>
        <v>0</v>
      </c>
      <c r="I502" s="447">
        <f t="shared" si="158"/>
        <v>0</v>
      </c>
      <c r="J502" s="447">
        <f t="shared" si="158"/>
        <v>0</v>
      </c>
      <c r="K502" s="447">
        <f t="shared" si="158"/>
        <v>0</v>
      </c>
      <c r="L502" s="447">
        <f t="shared" si="158"/>
        <v>0</v>
      </c>
      <c r="M502" s="447">
        <f t="shared" si="158"/>
        <v>0</v>
      </c>
      <c r="N502" s="447">
        <f t="shared" si="158"/>
        <v>0</v>
      </c>
      <c r="O502" s="447">
        <f t="shared" si="158"/>
        <v>0</v>
      </c>
      <c r="P502" s="447">
        <f t="shared" si="158"/>
        <v>0</v>
      </c>
      <c r="Q502" s="447">
        <f t="shared" si="158"/>
        <v>0</v>
      </c>
      <c r="R502" s="447">
        <f t="shared" si="158"/>
        <v>0</v>
      </c>
      <c r="S502" s="447">
        <f t="shared" si="158"/>
        <v>0</v>
      </c>
      <c r="T502" s="447">
        <f t="shared" si="160"/>
        <v>0</v>
      </c>
      <c r="U502" s="447">
        <f t="shared" si="160"/>
        <v>0</v>
      </c>
      <c r="V502" s="447">
        <f t="shared" si="160"/>
        <v>0</v>
      </c>
      <c r="W502" s="447">
        <f t="shared" si="160"/>
        <v>0</v>
      </c>
      <c r="X502" s="447">
        <f t="shared" si="160"/>
        <v>0</v>
      </c>
      <c r="Y502" s="447">
        <f t="shared" si="160"/>
        <v>0</v>
      </c>
      <c r="Z502" s="447">
        <f t="shared" si="160"/>
        <v>0</v>
      </c>
      <c r="AA502" s="447">
        <f t="shared" si="160"/>
        <v>0</v>
      </c>
      <c r="AB502" s="447">
        <f t="shared" si="160"/>
        <v>0</v>
      </c>
      <c r="AC502" s="447">
        <f t="shared" si="160"/>
        <v>0</v>
      </c>
      <c r="AD502" s="447">
        <f t="shared" si="160"/>
        <v>0</v>
      </c>
      <c r="AE502" s="447">
        <f t="shared" si="160"/>
        <v>0</v>
      </c>
      <c r="AF502" s="447">
        <f t="shared" si="160"/>
        <v>0</v>
      </c>
      <c r="AG502" s="438">
        <f t="shared" si="160"/>
        <v>0</v>
      </c>
      <c r="AH502" s="447">
        <f t="shared" si="160"/>
        <v>0</v>
      </c>
      <c r="AI502" s="447">
        <f t="shared" si="160"/>
        <v>0</v>
      </c>
      <c r="AJ502" s="447">
        <f t="shared" ref="AJ502:BH505" si="161">+AJ480-AJ458</f>
        <v>0</v>
      </c>
      <c r="AK502" s="447">
        <f t="shared" si="161"/>
        <v>0</v>
      </c>
      <c r="AL502" s="447">
        <f t="shared" si="161"/>
        <v>0</v>
      </c>
      <c r="AM502" s="447">
        <f t="shared" si="161"/>
        <v>0</v>
      </c>
      <c r="AN502" s="447">
        <f t="shared" si="161"/>
        <v>0</v>
      </c>
      <c r="AO502" s="447">
        <f t="shared" si="161"/>
        <v>0</v>
      </c>
      <c r="AP502" s="447">
        <f t="shared" si="161"/>
        <v>0</v>
      </c>
      <c r="AQ502" s="447">
        <f t="shared" si="161"/>
        <v>0</v>
      </c>
      <c r="AR502" s="447">
        <f t="shared" si="161"/>
        <v>0</v>
      </c>
      <c r="AS502" s="447">
        <f t="shared" si="161"/>
        <v>0</v>
      </c>
      <c r="AT502" s="447">
        <f t="shared" si="161"/>
        <v>0</v>
      </c>
      <c r="AU502" s="447">
        <f t="shared" si="161"/>
        <v>0</v>
      </c>
      <c r="AV502" s="447">
        <f t="shared" si="161"/>
        <v>0</v>
      </c>
      <c r="AW502" s="447">
        <f t="shared" si="161"/>
        <v>0</v>
      </c>
      <c r="AX502" s="447">
        <f t="shared" si="161"/>
        <v>0</v>
      </c>
      <c r="AY502" s="447">
        <f t="shared" si="161"/>
        <v>0</v>
      </c>
      <c r="AZ502" s="447">
        <f t="shared" si="161"/>
        <v>0</v>
      </c>
      <c r="BA502" s="447">
        <f t="shared" si="161"/>
        <v>0</v>
      </c>
      <c r="BB502" s="447">
        <f t="shared" si="161"/>
        <v>0</v>
      </c>
      <c r="BC502" s="447">
        <f t="shared" si="161"/>
        <v>0</v>
      </c>
      <c r="BD502" s="447">
        <f t="shared" si="161"/>
        <v>0</v>
      </c>
      <c r="BE502" s="447">
        <f t="shared" si="159"/>
        <v>0</v>
      </c>
      <c r="BF502" s="447">
        <f t="shared" si="161"/>
        <v>0</v>
      </c>
      <c r="BG502" s="447">
        <f t="shared" si="161"/>
        <v>0</v>
      </c>
      <c r="BH502" s="448">
        <f t="shared" si="161"/>
        <v>0</v>
      </c>
      <c r="BI502" s="82"/>
      <c r="BJ502" s="323"/>
      <c r="BK502" s="82"/>
    </row>
    <row r="503" spans="1:63" x14ac:dyDescent="0.25">
      <c r="A503" s="461" t="s">
        <v>172</v>
      </c>
      <c r="B503" s="434" t="s">
        <v>166</v>
      </c>
      <c r="C503" s="441" t="s">
        <v>170</v>
      </c>
      <c r="D503" s="435">
        <f t="shared" si="158"/>
        <v>0</v>
      </c>
      <c r="E503" s="436">
        <f t="shared" si="158"/>
        <v>0</v>
      </c>
      <c r="F503" s="436">
        <f t="shared" si="158"/>
        <v>0</v>
      </c>
      <c r="G503" s="436">
        <f t="shared" si="158"/>
        <v>0</v>
      </c>
      <c r="H503" s="436">
        <f t="shared" si="158"/>
        <v>0</v>
      </c>
      <c r="I503" s="436">
        <f t="shared" si="158"/>
        <v>0</v>
      </c>
      <c r="J503" s="436">
        <f t="shared" si="158"/>
        <v>0</v>
      </c>
      <c r="K503" s="436">
        <f t="shared" si="158"/>
        <v>0</v>
      </c>
      <c r="L503" s="436">
        <f t="shared" si="158"/>
        <v>0</v>
      </c>
      <c r="M503" s="436">
        <f t="shared" si="158"/>
        <v>0</v>
      </c>
      <c r="N503" s="436">
        <f t="shared" si="158"/>
        <v>0</v>
      </c>
      <c r="O503" s="436">
        <f t="shared" si="158"/>
        <v>0</v>
      </c>
      <c r="P503" s="436">
        <f t="shared" si="158"/>
        <v>0</v>
      </c>
      <c r="Q503" s="436">
        <f t="shared" si="158"/>
        <v>0</v>
      </c>
      <c r="R503" s="436">
        <f t="shared" si="158"/>
        <v>0</v>
      </c>
      <c r="S503" s="436">
        <f t="shared" si="158"/>
        <v>0</v>
      </c>
      <c r="T503" s="436">
        <f t="shared" ref="T503:BH505" si="162">+T481-T459</f>
        <v>0</v>
      </c>
      <c r="U503" s="436">
        <f t="shared" si="162"/>
        <v>0</v>
      </c>
      <c r="V503" s="436">
        <f t="shared" si="162"/>
        <v>0</v>
      </c>
      <c r="W503" s="436">
        <f t="shared" si="162"/>
        <v>0</v>
      </c>
      <c r="X503" s="436">
        <f t="shared" si="162"/>
        <v>0</v>
      </c>
      <c r="Y503" s="436">
        <f t="shared" si="162"/>
        <v>0</v>
      </c>
      <c r="Z503" s="436">
        <f t="shared" si="162"/>
        <v>0</v>
      </c>
      <c r="AA503" s="436">
        <f t="shared" si="162"/>
        <v>0</v>
      </c>
      <c r="AB503" s="436">
        <f t="shared" si="162"/>
        <v>0</v>
      </c>
      <c r="AC503" s="436">
        <f t="shared" si="162"/>
        <v>0</v>
      </c>
      <c r="AD503" s="436">
        <f t="shared" si="162"/>
        <v>0</v>
      </c>
      <c r="AE503" s="436">
        <f t="shared" si="162"/>
        <v>0</v>
      </c>
      <c r="AF503" s="436">
        <f t="shared" si="162"/>
        <v>0</v>
      </c>
      <c r="AG503" s="435">
        <f t="shared" si="162"/>
        <v>0</v>
      </c>
      <c r="AH503" s="436">
        <f t="shared" si="162"/>
        <v>0</v>
      </c>
      <c r="AI503" s="436">
        <f t="shared" si="162"/>
        <v>0</v>
      </c>
      <c r="AJ503" s="436">
        <f t="shared" si="162"/>
        <v>0</v>
      </c>
      <c r="AK503" s="436">
        <f t="shared" si="161"/>
        <v>0</v>
      </c>
      <c r="AL503" s="436">
        <f t="shared" si="161"/>
        <v>0</v>
      </c>
      <c r="AM503" s="436">
        <f t="shared" si="161"/>
        <v>0</v>
      </c>
      <c r="AN503" s="436">
        <f t="shared" si="161"/>
        <v>0</v>
      </c>
      <c r="AO503" s="436">
        <f t="shared" si="161"/>
        <v>0</v>
      </c>
      <c r="AP503" s="436">
        <f t="shared" si="161"/>
        <v>0</v>
      </c>
      <c r="AQ503" s="436">
        <f t="shared" si="161"/>
        <v>0</v>
      </c>
      <c r="AR503" s="436">
        <f t="shared" si="161"/>
        <v>0</v>
      </c>
      <c r="AS503" s="436">
        <f t="shared" si="161"/>
        <v>0</v>
      </c>
      <c r="AT503" s="436">
        <f t="shared" si="161"/>
        <v>0</v>
      </c>
      <c r="AU503" s="436">
        <f t="shared" si="161"/>
        <v>0</v>
      </c>
      <c r="AV503" s="436">
        <f t="shared" si="161"/>
        <v>0</v>
      </c>
      <c r="AW503" s="436">
        <f t="shared" si="162"/>
        <v>0</v>
      </c>
      <c r="AX503" s="436">
        <f t="shared" si="162"/>
        <v>0</v>
      </c>
      <c r="AY503" s="436">
        <f t="shared" si="162"/>
        <v>0</v>
      </c>
      <c r="AZ503" s="436">
        <f t="shared" si="162"/>
        <v>0</v>
      </c>
      <c r="BA503" s="436">
        <f t="shared" si="162"/>
        <v>0</v>
      </c>
      <c r="BB503" s="436">
        <f t="shared" si="162"/>
        <v>0</v>
      </c>
      <c r="BC503" s="436">
        <f t="shared" si="162"/>
        <v>0</v>
      </c>
      <c r="BD503" s="436">
        <f t="shared" si="162"/>
        <v>0</v>
      </c>
      <c r="BE503" s="436">
        <f t="shared" si="159"/>
        <v>0</v>
      </c>
      <c r="BF503" s="436">
        <f t="shared" si="162"/>
        <v>0</v>
      </c>
      <c r="BG503" s="436">
        <f t="shared" si="162"/>
        <v>0</v>
      </c>
      <c r="BH503" s="446">
        <f t="shared" si="162"/>
        <v>0</v>
      </c>
      <c r="BI503" s="82"/>
      <c r="BJ503" s="323"/>
      <c r="BK503" s="82"/>
    </row>
    <row r="504" spans="1:63" x14ac:dyDescent="0.25">
      <c r="A504" s="461" t="s">
        <v>172</v>
      </c>
      <c r="B504" s="437" t="s">
        <v>167</v>
      </c>
      <c r="C504" s="442" t="s">
        <v>170</v>
      </c>
      <c r="D504" s="438">
        <f t="shared" si="158"/>
        <v>0</v>
      </c>
      <c r="E504" s="447">
        <f t="shared" si="158"/>
        <v>0</v>
      </c>
      <c r="F504" s="447">
        <f t="shared" si="158"/>
        <v>0</v>
      </c>
      <c r="G504" s="447">
        <f t="shared" si="158"/>
        <v>0</v>
      </c>
      <c r="H504" s="447">
        <f t="shared" si="158"/>
        <v>0</v>
      </c>
      <c r="I504" s="447">
        <f t="shared" si="158"/>
        <v>0</v>
      </c>
      <c r="J504" s="447">
        <f t="shared" si="158"/>
        <v>0</v>
      </c>
      <c r="K504" s="447">
        <f t="shared" si="158"/>
        <v>0</v>
      </c>
      <c r="L504" s="447">
        <f t="shared" si="158"/>
        <v>0</v>
      </c>
      <c r="M504" s="447">
        <f t="shared" si="158"/>
        <v>0</v>
      </c>
      <c r="N504" s="447">
        <f t="shared" si="158"/>
        <v>0</v>
      </c>
      <c r="O504" s="447">
        <f t="shared" si="158"/>
        <v>0</v>
      </c>
      <c r="P504" s="447">
        <f t="shared" si="158"/>
        <v>0</v>
      </c>
      <c r="Q504" s="447">
        <f t="shared" si="158"/>
        <v>0</v>
      </c>
      <c r="R504" s="447">
        <f t="shared" si="158"/>
        <v>0</v>
      </c>
      <c r="S504" s="447">
        <f t="shared" si="158"/>
        <v>0</v>
      </c>
      <c r="T504" s="447">
        <f t="shared" si="162"/>
        <v>0</v>
      </c>
      <c r="U504" s="447">
        <f t="shared" si="162"/>
        <v>0</v>
      </c>
      <c r="V504" s="447">
        <f t="shared" si="162"/>
        <v>0</v>
      </c>
      <c r="W504" s="447">
        <f t="shared" si="162"/>
        <v>0</v>
      </c>
      <c r="X504" s="447">
        <f t="shared" si="162"/>
        <v>0</v>
      </c>
      <c r="Y504" s="447">
        <f t="shared" si="162"/>
        <v>0</v>
      </c>
      <c r="Z504" s="447">
        <f t="shared" si="162"/>
        <v>0</v>
      </c>
      <c r="AA504" s="447">
        <f t="shared" si="162"/>
        <v>0</v>
      </c>
      <c r="AB504" s="447">
        <f t="shared" si="162"/>
        <v>0</v>
      </c>
      <c r="AC504" s="447">
        <f t="shared" si="162"/>
        <v>0</v>
      </c>
      <c r="AD504" s="447">
        <f t="shared" si="162"/>
        <v>0</v>
      </c>
      <c r="AE504" s="447">
        <f t="shared" si="162"/>
        <v>0</v>
      </c>
      <c r="AF504" s="447">
        <f t="shared" si="162"/>
        <v>0</v>
      </c>
      <c r="AG504" s="438">
        <f t="shared" si="162"/>
        <v>0</v>
      </c>
      <c r="AH504" s="447">
        <f t="shared" si="162"/>
        <v>0</v>
      </c>
      <c r="AI504" s="447">
        <f t="shared" si="162"/>
        <v>0</v>
      </c>
      <c r="AJ504" s="447">
        <f t="shared" si="162"/>
        <v>0</v>
      </c>
      <c r="AK504" s="447">
        <f t="shared" si="161"/>
        <v>0</v>
      </c>
      <c r="AL504" s="447">
        <f t="shared" si="161"/>
        <v>0</v>
      </c>
      <c r="AM504" s="447">
        <f t="shared" si="161"/>
        <v>0</v>
      </c>
      <c r="AN504" s="447">
        <f t="shared" si="161"/>
        <v>0</v>
      </c>
      <c r="AO504" s="447">
        <f t="shared" si="161"/>
        <v>0</v>
      </c>
      <c r="AP504" s="447">
        <f t="shared" si="161"/>
        <v>0</v>
      </c>
      <c r="AQ504" s="447">
        <f t="shared" si="161"/>
        <v>0</v>
      </c>
      <c r="AR504" s="447">
        <f t="shared" si="161"/>
        <v>0</v>
      </c>
      <c r="AS504" s="447">
        <f t="shared" si="161"/>
        <v>0</v>
      </c>
      <c r="AT504" s="447">
        <f t="shared" si="161"/>
        <v>0</v>
      </c>
      <c r="AU504" s="447">
        <f t="shared" si="161"/>
        <v>0</v>
      </c>
      <c r="AV504" s="447">
        <f t="shared" si="161"/>
        <v>0</v>
      </c>
      <c r="AW504" s="447">
        <f t="shared" si="162"/>
        <v>0</v>
      </c>
      <c r="AX504" s="447">
        <f t="shared" si="162"/>
        <v>0</v>
      </c>
      <c r="AY504" s="447">
        <f t="shared" si="162"/>
        <v>0</v>
      </c>
      <c r="AZ504" s="447">
        <f t="shared" si="162"/>
        <v>0</v>
      </c>
      <c r="BA504" s="447">
        <f t="shared" si="162"/>
        <v>0</v>
      </c>
      <c r="BB504" s="447">
        <f t="shared" si="162"/>
        <v>0</v>
      </c>
      <c r="BC504" s="447">
        <f t="shared" si="162"/>
        <v>0</v>
      </c>
      <c r="BD504" s="447">
        <f t="shared" si="162"/>
        <v>0</v>
      </c>
      <c r="BE504" s="447">
        <f t="shared" si="159"/>
        <v>0</v>
      </c>
      <c r="BF504" s="447">
        <f t="shared" si="162"/>
        <v>0</v>
      </c>
      <c r="BG504" s="447">
        <f t="shared" si="162"/>
        <v>0</v>
      </c>
      <c r="BH504" s="448">
        <f t="shared" si="162"/>
        <v>0</v>
      </c>
      <c r="BI504" s="82"/>
      <c r="BJ504" s="323"/>
      <c r="BK504" s="82"/>
    </row>
    <row r="505" spans="1:63" x14ac:dyDescent="0.25">
      <c r="A505" s="461" t="s">
        <v>172</v>
      </c>
      <c r="B505" s="439" t="s">
        <v>153</v>
      </c>
      <c r="C505" s="443" t="s">
        <v>170</v>
      </c>
      <c r="D505" s="438">
        <f t="shared" si="158"/>
        <v>0</v>
      </c>
      <c r="E505" s="447">
        <f t="shared" si="158"/>
        <v>0</v>
      </c>
      <c r="F505" s="447">
        <f t="shared" si="158"/>
        <v>0</v>
      </c>
      <c r="G505" s="447">
        <f t="shared" si="158"/>
        <v>0</v>
      </c>
      <c r="H505" s="447">
        <f t="shared" si="158"/>
        <v>0</v>
      </c>
      <c r="I505" s="447">
        <f t="shared" si="158"/>
        <v>0</v>
      </c>
      <c r="J505" s="447">
        <f t="shared" si="158"/>
        <v>0</v>
      </c>
      <c r="K505" s="447">
        <f t="shared" si="158"/>
        <v>0</v>
      </c>
      <c r="L505" s="447">
        <f t="shared" si="158"/>
        <v>0</v>
      </c>
      <c r="M505" s="447">
        <f t="shared" si="158"/>
        <v>0</v>
      </c>
      <c r="N505" s="447">
        <f t="shared" si="158"/>
        <v>0</v>
      </c>
      <c r="O505" s="447">
        <f t="shared" si="158"/>
        <v>0</v>
      </c>
      <c r="P505" s="447">
        <f t="shared" si="158"/>
        <v>0</v>
      </c>
      <c r="Q505" s="447">
        <f t="shared" si="158"/>
        <v>0</v>
      </c>
      <c r="R505" s="447">
        <f t="shared" si="158"/>
        <v>0</v>
      </c>
      <c r="S505" s="447">
        <f t="shared" si="158"/>
        <v>0</v>
      </c>
      <c r="T505" s="447">
        <f t="shared" si="162"/>
        <v>0</v>
      </c>
      <c r="U505" s="447">
        <f t="shared" si="162"/>
        <v>0</v>
      </c>
      <c r="V505" s="447">
        <f t="shared" si="162"/>
        <v>0</v>
      </c>
      <c r="W505" s="447">
        <f t="shared" si="162"/>
        <v>0</v>
      </c>
      <c r="X505" s="447">
        <f t="shared" si="162"/>
        <v>0</v>
      </c>
      <c r="Y505" s="447">
        <f t="shared" si="162"/>
        <v>0</v>
      </c>
      <c r="Z505" s="447">
        <f t="shared" si="162"/>
        <v>0</v>
      </c>
      <c r="AA505" s="447">
        <f t="shared" si="162"/>
        <v>0</v>
      </c>
      <c r="AB505" s="447">
        <f t="shared" si="162"/>
        <v>0</v>
      </c>
      <c r="AC505" s="447">
        <f t="shared" si="162"/>
        <v>0</v>
      </c>
      <c r="AD505" s="447">
        <f t="shared" si="162"/>
        <v>0</v>
      </c>
      <c r="AE505" s="447">
        <f t="shared" si="162"/>
        <v>0</v>
      </c>
      <c r="AF505" s="447">
        <f t="shared" si="162"/>
        <v>0</v>
      </c>
      <c r="AG505" s="438">
        <f t="shared" si="162"/>
        <v>0</v>
      </c>
      <c r="AH505" s="447">
        <f t="shared" si="162"/>
        <v>0</v>
      </c>
      <c r="AI505" s="447">
        <f t="shared" si="162"/>
        <v>0</v>
      </c>
      <c r="AJ505" s="447">
        <f t="shared" si="162"/>
        <v>0</v>
      </c>
      <c r="AK505" s="447">
        <f t="shared" si="161"/>
        <v>0</v>
      </c>
      <c r="AL505" s="447">
        <f t="shared" si="161"/>
        <v>0</v>
      </c>
      <c r="AM505" s="447">
        <f t="shared" si="161"/>
        <v>0</v>
      </c>
      <c r="AN505" s="447">
        <f t="shared" si="161"/>
        <v>0</v>
      </c>
      <c r="AO505" s="447">
        <f t="shared" si="161"/>
        <v>0</v>
      </c>
      <c r="AP505" s="447">
        <f t="shared" si="161"/>
        <v>0</v>
      </c>
      <c r="AQ505" s="447">
        <f t="shared" si="161"/>
        <v>0</v>
      </c>
      <c r="AR505" s="447">
        <f t="shared" si="161"/>
        <v>0</v>
      </c>
      <c r="AS505" s="447">
        <f t="shared" si="161"/>
        <v>0</v>
      </c>
      <c r="AT505" s="447">
        <f t="shared" si="161"/>
        <v>0</v>
      </c>
      <c r="AU505" s="447">
        <f t="shared" si="161"/>
        <v>0</v>
      </c>
      <c r="AV505" s="447">
        <f t="shared" si="161"/>
        <v>0</v>
      </c>
      <c r="AW505" s="447">
        <f t="shared" si="162"/>
        <v>0</v>
      </c>
      <c r="AX505" s="447">
        <f t="shared" si="162"/>
        <v>0</v>
      </c>
      <c r="AY505" s="447">
        <f t="shared" si="162"/>
        <v>0</v>
      </c>
      <c r="AZ505" s="447">
        <f t="shared" si="162"/>
        <v>0</v>
      </c>
      <c r="BA505" s="447">
        <f t="shared" si="162"/>
        <v>0</v>
      </c>
      <c r="BB505" s="447">
        <f t="shared" si="162"/>
        <v>0</v>
      </c>
      <c r="BC505" s="447">
        <f t="shared" si="162"/>
        <v>0</v>
      </c>
      <c r="BD505" s="447">
        <f t="shared" si="162"/>
        <v>0</v>
      </c>
      <c r="BE505" s="447">
        <f t="shared" si="159"/>
        <v>0</v>
      </c>
      <c r="BF505" s="447">
        <f t="shared" si="162"/>
        <v>0</v>
      </c>
      <c r="BG505" s="447">
        <f t="shared" si="162"/>
        <v>0</v>
      </c>
      <c r="BH505" s="448">
        <f t="shared" si="162"/>
        <v>0</v>
      </c>
      <c r="BI505" s="82"/>
      <c r="BJ505" s="323"/>
      <c r="BK505" s="82"/>
    </row>
    <row r="506" spans="1:63" hidden="1" outlineLevel="1" x14ac:dyDescent="0.25">
      <c r="A506" s="461" t="s">
        <v>172</v>
      </c>
      <c r="B506" s="434"/>
      <c r="C506" s="441"/>
      <c r="D506" s="435">
        <f t="shared" ref="D506:AJ506" si="163">+D484-D462</f>
        <v>0</v>
      </c>
      <c r="E506" s="436">
        <f t="shared" si="163"/>
        <v>0</v>
      </c>
      <c r="F506" s="436">
        <f t="shared" si="163"/>
        <v>0</v>
      </c>
      <c r="G506" s="436">
        <f t="shared" si="163"/>
        <v>0</v>
      </c>
      <c r="H506" s="436">
        <f t="shared" si="163"/>
        <v>0</v>
      </c>
      <c r="I506" s="436">
        <f t="shared" si="163"/>
        <v>0</v>
      </c>
      <c r="J506" s="436">
        <f t="shared" si="163"/>
        <v>0</v>
      </c>
      <c r="K506" s="436">
        <f t="shared" si="163"/>
        <v>0</v>
      </c>
      <c r="L506" s="436">
        <f t="shared" si="163"/>
        <v>0</v>
      </c>
      <c r="M506" s="436">
        <f t="shared" si="163"/>
        <v>0</v>
      </c>
      <c r="N506" s="436">
        <f t="shared" si="163"/>
        <v>0</v>
      </c>
      <c r="O506" s="436">
        <f t="shared" si="163"/>
        <v>0</v>
      </c>
      <c r="P506" s="436">
        <f t="shared" si="163"/>
        <v>0</v>
      </c>
      <c r="Q506" s="436">
        <f t="shared" si="163"/>
        <v>0</v>
      </c>
      <c r="R506" s="436">
        <f t="shared" si="163"/>
        <v>0</v>
      </c>
      <c r="S506" s="436">
        <f t="shared" si="163"/>
        <v>0</v>
      </c>
      <c r="T506" s="436">
        <f t="shared" si="163"/>
        <v>0</v>
      </c>
      <c r="U506" s="436">
        <f t="shared" si="163"/>
        <v>0</v>
      </c>
      <c r="V506" s="436">
        <f t="shared" si="163"/>
        <v>0</v>
      </c>
      <c r="W506" s="436">
        <f t="shared" si="163"/>
        <v>0</v>
      </c>
      <c r="X506" s="436">
        <f t="shared" si="163"/>
        <v>0</v>
      </c>
      <c r="Y506" s="436">
        <f t="shared" si="163"/>
        <v>0</v>
      </c>
      <c r="Z506" s="436">
        <f t="shared" si="163"/>
        <v>0</v>
      </c>
      <c r="AA506" s="436">
        <f t="shared" si="163"/>
        <v>0</v>
      </c>
      <c r="AB506" s="436">
        <f t="shared" si="163"/>
        <v>0</v>
      </c>
      <c r="AC506" s="436">
        <f t="shared" si="163"/>
        <v>0</v>
      </c>
      <c r="AD506" s="436">
        <f t="shared" si="163"/>
        <v>0</v>
      </c>
      <c r="AE506" s="436">
        <f t="shared" si="163"/>
        <v>0</v>
      </c>
      <c r="AF506" s="436">
        <f t="shared" si="163"/>
        <v>0</v>
      </c>
      <c r="AG506" s="435">
        <f t="shared" si="163"/>
        <v>0</v>
      </c>
      <c r="AH506" s="436">
        <f t="shared" si="163"/>
        <v>0</v>
      </c>
      <c r="AI506" s="436">
        <f t="shared" si="163"/>
        <v>0</v>
      </c>
      <c r="AJ506" s="436">
        <f t="shared" si="163"/>
        <v>0</v>
      </c>
      <c r="AK506" s="436"/>
      <c r="AL506" s="436"/>
      <c r="AM506" s="436"/>
      <c r="AN506" s="436"/>
      <c r="AO506" s="436"/>
      <c r="AP506" s="436"/>
      <c r="AQ506" s="436"/>
      <c r="AR506" s="436"/>
      <c r="AS506" s="436"/>
      <c r="AT506" s="436"/>
      <c r="AU506" s="436"/>
      <c r="AV506" s="436">
        <f t="shared" ref="AV506:BH506" si="164">+AV484-AV462</f>
        <v>0</v>
      </c>
      <c r="AW506" s="436">
        <f t="shared" si="164"/>
        <v>0</v>
      </c>
      <c r="AX506" s="436">
        <f t="shared" si="164"/>
        <v>0</v>
      </c>
      <c r="AY506" s="436">
        <f t="shared" si="164"/>
        <v>0</v>
      </c>
      <c r="AZ506" s="436">
        <f t="shared" si="164"/>
        <v>0</v>
      </c>
      <c r="BA506" s="436">
        <f t="shared" si="164"/>
        <v>0</v>
      </c>
      <c r="BB506" s="436">
        <f t="shared" si="164"/>
        <v>0</v>
      </c>
      <c r="BC506" s="436">
        <f t="shared" si="164"/>
        <v>0</v>
      </c>
      <c r="BD506" s="436">
        <f t="shared" si="164"/>
        <v>0</v>
      </c>
      <c r="BE506" s="436">
        <f t="shared" si="164"/>
        <v>0</v>
      </c>
      <c r="BF506" s="436">
        <f t="shared" si="164"/>
        <v>0</v>
      </c>
      <c r="BG506" s="436">
        <f t="shared" si="164"/>
        <v>0</v>
      </c>
      <c r="BH506" s="446">
        <f t="shared" si="164"/>
        <v>0</v>
      </c>
      <c r="BI506" s="82"/>
      <c r="BJ506" s="323"/>
      <c r="BK506" s="82"/>
    </row>
    <row r="507" spans="1:63" hidden="1" outlineLevel="1" x14ac:dyDescent="0.25">
      <c r="A507" s="461" t="s">
        <v>172</v>
      </c>
      <c r="B507" s="437"/>
      <c r="C507" s="442"/>
      <c r="D507" s="438">
        <f t="shared" ref="D507:AJ507" si="165">+D485-D463</f>
        <v>0</v>
      </c>
      <c r="E507" s="447">
        <f t="shared" si="165"/>
        <v>0</v>
      </c>
      <c r="F507" s="447">
        <f t="shared" si="165"/>
        <v>0</v>
      </c>
      <c r="G507" s="447">
        <f t="shared" si="165"/>
        <v>0</v>
      </c>
      <c r="H507" s="447">
        <f t="shared" si="165"/>
        <v>0</v>
      </c>
      <c r="I507" s="447">
        <f t="shared" si="165"/>
        <v>0</v>
      </c>
      <c r="J507" s="447">
        <f t="shared" si="165"/>
        <v>0</v>
      </c>
      <c r="K507" s="447">
        <f t="shared" si="165"/>
        <v>0</v>
      </c>
      <c r="L507" s="447">
        <f t="shared" si="165"/>
        <v>0</v>
      </c>
      <c r="M507" s="447">
        <f t="shared" si="165"/>
        <v>0</v>
      </c>
      <c r="N507" s="447">
        <f t="shared" si="165"/>
        <v>0</v>
      </c>
      <c r="O507" s="447">
        <f t="shared" si="165"/>
        <v>0</v>
      </c>
      <c r="P507" s="447">
        <f t="shared" si="165"/>
        <v>0</v>
      </c>
      <c r="Q507" s="447">
        <f t="shared" si="165"/>
        <v>0</v>
      </c>
      <c r="R507" s="447">
        <f t="shared" si="165"/>
        <v>0</v>
      </c>
      <c r="S507" s="447">
        <f t="shared" si="165"/>
        <v>0</v>
      </c>
      <c r="T507" s="447">
        <f t="shared" si="165"/>
        <v>0</v>
      </c>
      <c r="U507" s="447">
        <f t="shared" si="165"/>
        <v>0</v>
      </c>
      <c r="V507" s="447">
        <f t="shared" si="165"/>
        <v>0</v>
      </c>
      <c r="W507" s="447">
        <f t="shared" si="165"/>
        <v>0</v>
      </c>
      <c r="X507" s="447">
        <f t="shared" si="165"/>
        <v>0</v>
      </c>
      <c r="Y507" s="447">
        <f t="shared" si="165"/>
        <v>0</v>
      </c>
      <c r="Z507" s="447">
        <f t="shared" si="165"/>
        <v>0</v>
      </c>
      <c r="AA507" s="447">
        <f t="shared" si="165"/>
        <v>0</v>
      </c>
      <c r="AB507" s="447">
        <f t="shared" si="165"/>
        <v>0</v>
      </c>
      <c r="AC507" s="447">
        <f t="shared" si="165"/>
        <v>0</v>
      </c>
      <c r="AD507" s="447">
        <f t="shared" si="165"/>
        <v>0</v>
      </c>
      <c r="AE507" s="447">
        <f t="shared" si="165"/>
        <v>0</v>
      </c>
      <c r="AF507" s="447">
        <f t="shared" si="165"/>
        <v>0</v>
      </c>
      <c r="AG507" s="438">
        <f t="shared" si="165"/>
        <v>0</v>
      </c>
      <c r="AH507" s="447">
        <f t="shared" si="165"/>
        <v>0</v>
      </c>
      <c r="AI507" s="447">
        <f t="shared" si="165"/>
        <v>0</v>
      </c>
      <c r="AJ507" s="447">
        <f t="shared" si="165"/>
        <v>0</v>
      </c>
      <c r="AK507" s="447"/>
      <c r="AL507" s="447"/>
      <c r="AM507" s="447"/>
      <c r="AN507" s="447"/>
      <c r="AO507" s="447"/>
      <c r="AP507" s="447"/>
      <c r="AQ507" s="447"/>
      <c r="AR507" s="447"/>
      <c r="AS507" s="447"/>
      <c r="AT507" s="447"/>
      <c r="AU507" s="447"/>
      <c r="AV507" s="447">
        <f t="shared" ref="AV507:BH507" si="166">+AV485-AV463</f>
        <v>0</v>
      </c>
      <c r="AW507" s="447">
        <f t="shared" si="166"/>
        <v>0</v>
      </c>
      <c r="AX507" s="447">
        <f t="shared" si="166"/>
        <v>0</v>
      </c>
      <c r="AY507" s="447">
        <f t="shared" si="166"/>
        <v>0</v>
      </c>
      <c r="AZ507" s="447">
        <f t="shared" si="166"/>
        <v>0</v>
      </c>
      <c r="BA507" s="447">
        <f t="shared" si="166"/>
        <v>0</v>
      </c>
      <c r="BB507" s="447">
        <f t="shared" si="166"/>
        <v>0</v>
      </c>
      <c r="BC507" s="447">
        <f t="shared" si="166"/>
        <v>0</v>
      </c>
      <c r="BD507" s="447">
        <f t="shared" si="166"/>
        <v>0</v>
      </c>
      <c r="BE507" s="447">
        <f t="shared" si="166"/>
        <v>0</v>
      </c>
      <c r="BF507" s="447">
        <f t="shared" si="166"/>
        <v>0</v>
      </c>
      <c r="BG507" s="447">
        <f t="shared" si="166"/>
        <v>0</v>
      </c>
      <c r="BH507" s="448">
        <f t="shared" si="166"/>
        <v>0</v>
      </c>
      <c r="BI507" s="82"/>
      <c r="BJ507" s="323"/>
      <c r="BK507" s="82"/>
    </row>
    <row r="508" spans="1:63" hidden="1" outlineLevel="1" x14ac:dyDescent="0.25">
      <c r="A508" s="461" t="s">
        <v>172</v>
      </c>
      <c r="B508" s="439"/>
      <c r="C508" s="443"/>
      <c r="D508" s="438">
        <f t="shared" ref="D508:AJ508" si="167">+D486-D464</f>
        <v>0</v>
      </c>
      <c r="E508" s="447">
        <f t="shared" si="167"/>
        <v>0</v>
      </c>
      <c r="F508" s="447">
        <f t="shared" si="167"/>
        <v>0</v>
      </c>
      <c r="G508" s="447">
        <f t="shared" si="167"/>
        <v>0</v>
      </c>
      <c r="H508" s="447">
        <f t="shared" si="167"/>
        <v>0</v>
      </c>
      <c r="I508" s="447">
        <f t="shared" si="167"/>
        <v>0</v>
      </c>
      <c r="J508" s="447">
        <f t="shared" si="167"/>
        <v>0</v>
      </c>
      <c r="K508" s="447">
        <f t="shared" si="167"/>
        <v>0</v>
      </c>
      <c r="L508" s="447">
        <f t="shared" si="167"/>
        <v>0</v>
      </c>
      <c r="M508" s="447">
        <f t="shared" si="167"/>
        <v>0</v>
      </c>
      <c r="N508" s="447">
        <f t="shared" si="167"/>
        <v>0</v>
      </c>
      <c r="O508" s="447">
        <f t="shared" si="167"/>
        <v>0</v>
      </c>
      <c r="P508" s="447">
        <f t="shared" si="167"/>
        <v>0</v>
      </c>
      <c r="Q508" s="447">
        <f t="shared" si="167"/>
        <v>0</v>
      </c>
      <c r="R508" s="447">
        <f t="shared" si="167"/>
        <v>0</v>
      </c>
      <c r="S508" s="447">
        <f t="shared" si="167"/>
        <v>0</v>
      </c>
      <c r="T508" s="447">
        <f t="shared" si="167"/>
        <v>0</v>
      </c>
      <c r="U508" s="447">
        <f t="shared" si="167"/>
        <v>0</v>
      </c>
      <c r="V508" s="447">
        <f t="shared" si="167"/>
        <v>0</v>
      </c>
      <c r="W508" s="447">
        <f t="shared" si="167"/>
        <v>0</v>
      </c>
      <c r="X508" s="447">
        <f t="shared" si="167"/>
        <v>0</v>
      </c>
      <c r="Y508" s="447">
        <f t="shared" si="167"/>
        <v>0</v>
      </c>
      <c r="Z508" s="447">
        <f t="shared" si="167"/>
        <v>0</v>
      </c>
      <c r="AA508" s="447">
        <f t="shared" si="167"/>
        <v>0</v>
      </c>
      <c r="AB508" s="447">
        <f t="shared" si="167"/>
        <v>0</v>
      </c>
      <c r="AC508" s="447">
        <f t="shared" si="167"/>
        <v>0</v>
      </c>
      <c r="AD508" s="447">
        <f t="shared" si="167"/>
        <v>0</v>
      </c>
      <c r="AE508" s="447">
        <f t="shared" si="167"/>
        <v>0</v>
      </c>
      <c r="AF508" s="447">
        <f t="shared" si="167"/>
        <v>0</v>
      </c>
      <c r="AG508" s="438">
        <f t="shared" si="167"/>
        <v>0</v>
      </c>
      <c r="AH508" s="447">
        <f t="shared" si="167"/>
        <v>0</v>
      </c>
      <c r="AI508" s="447">
        <f t="shared" si="167"/>
        <v>0</v>
      </c>
      <c r="AJ508" s="447">
        <f t="shared" si="167"/>
        <v>0</v>
      </c>
      <c r="AK508" s="447"/>
      <c r="AL508" s="447"/>
      <c r="AM508" s="447"/>
      <c r="AN508" s="447"/>
      <c r="AO508" s="447"/>
      <c r="AP508" s="447"/>
      <c r="AQ508" s="447"/>
      <c r="AR508" s="447"/>
      <c r="AS508" s="447"/>
      <c r="AT508" s="447"/>
      <c r="AU508" s="447"/>
      <c r="AV508" s="447">
        <f t="shared" ref="AV508:BH508" si="168">+AV486-AV464</f>
        <v>0</v>
      </c>
      <c r="AW508" s="447">
        <f t="shared" si="168"/>
        <v>0</v>
      </c>
      <c r="AX508" s="447">
        <f t="shared" si="168"/>
        <v>0</v>
      </c>
      <c r="AY508" s="447">
        <f t="shared" si="168"/>
        <v>0</v>
      </c>
      <c r="AZ508" s="447">
        <f t="shared" si="168"/>
        <v>0</v>
      </c>
      <c r="BA508" s="447">
        <f t="shared" si="168"/>
        <v>0</v>
      </c>
      <c r="BB508" s="447">
        <f t="shared" si="168"/>
        <v>0</v>
      </c>
      <c r="BC508" s="447">
        <f t="shared" si="168"/>
        <v>0</v>
      </c>
      <c r="BD508" s="447">
        <f t="shared" si="168"/>
        <v>0</v>
      </c>
      <c r="BE508" s="447">
        <f t="shared" si="168"/>
        <v>0</v>
      </c>
      <c r="BF508" s="447">
        <f t="shared" si="168"/>
        <v>0</v>
      </c>
      <c r="BG508" s="447">
        <f t="shared" si="168"/>
        <v>0</v>
      </c>
      <c r="BH508" s="447">
        <f t="shared" si="168"/>
        <v>0</v>
      </c>
      <c r="BI508" s="82"/>
      <c r="BJ508" s="323"/>
      <c r="BK508" s="82"/>
    </row>
    <row r="509" spans="1:63" hidden="1" outlineLevel="1" x14ac:dyDescent="0.25">
      <c r="A509" s="461" t="s">
        <v>172</v>
      </c>
      <c r="B509" s="434"/>
      <c r="C509" s="441"/>
      <c r="D509" s="438">
        <f t="shared" ref="D509:AJ509" si="169">+D487-D465</f>
        <v>0</v>
      </c>
      <c r="E509" s="436">
        <f t="shared" si="169"/>
        <v>0</v>
      </c>
      <c r="F509" s="436">
        <f t="shared" si="169"/>
        <v>0</v>
      </c>
      <c r="G509" s="436">
        <f t="shared" si="169"/>
        <v>0</v>
      </c>
      <c r="H509" s="436">
        <f t="shared" si="169"/>
        <v>0</v>
      </c>
      <c r="I509" s="436">
        <f t="shared" si="169"/>
        <v>0</v>
      </c>
      <c r="J509" s="436">
        <f t="shared" si="169"/>
        <v>0</v>
      </c>
      <c r="K509" s="436">
        <f t="shared" si="169"/>
        <v>0</v>
      </c>
      <c r="L509" s="436">
        <f t="shared" si="169"/>
        <v>0</v>
      </c>
      <c r="M509" s="436">
        <f t="shared" si="169"/>
        <v>0</v>
      </c>
      <c r="N509" s="436">
        <f t="shared" si="169"/>
        <v>0</v>
      </c>
      <c r="O509" s="436">
        <f t="shared" si="169"/>
        <v>0</v>
      </c>
      <c r="P509" s="436">
        <f t="shared" si="169"/>
        <v>0</v>
      </c>
      <c r="Q509" s="436">
        <f t="shared" si="169"/>
        <v>0</v>
      </c>
      <c r="R509" s="436">
        <f t="shared" si="169"/>
        <v>0</v>
      </c>
      <c r="S509" s="436">
        <f t="shared" si="169"/>
        <v>0</v>
      </c>
      <c r="T509" s="436">
        <f t="shared" si="169"/>
        <v>0</v>
      </c>
      <c r="U509" s="436">
        <f t="shared" si="169"/>
        <v>0</v>
      </c>
      <c r="V509" s="436">
        <f t="shared" si="169"/>
        <v>0</v>
      </c>
      <c r="W509" s="436">
        <f t="shared" si="169"/>
        <v>0</v>
      </c>
      <c r="X509" s="436">
        <f t="shared" si="169"/>
        <v>0</v>
      </c>
      <c r="Y509" s="436">
        <f t="shared" si="169"/>
        <v>0</v>
      </c>
      <c r="Z509" s="436">
        <f t="shared" si="169"/>
        <v>0</v>
      </c>
      <c r="AA509" s="436">
        <f t="shared" si="169"/>
        <v>0</v>
      </c>
      <c r="AB509" s="436">
        <f t="shared" si="169"/>
        <v>0</v>
      </c>
      <c r="AC509" s="436">
        <f t="shared" si="169"/>
        <v>0</v>
      </c>
      <c r="AD509" s="436">
        <f t="shared" si="169"/>
        <v>0</v>
      </c>
      <c r="AE509" s="436">
        <f t="shared" si="169"/>
        <v>0</v>
      </c>
      <c r="AF509" s="436">
        <f t="shared" si="169"/>
        <v>0</v>
      </c>
      <c r="AG509" s="435">
        <f t="shared" si="169"/>
        <v>0</v>
      </c>
      <c r="AH509" s="436">
        <f t="shared" si="169"/>
        <v>0</v>
      </c>
      <c r="AI509" s="436">
        <f t="shared" si="169"/>
        <v>0</v>
      </c>
      <c r="AJ509" s="436">
        <f t="shared" si="169"/>
        <v>0</v>
      </c>
      <c r="AK509" s="436"/>
      <c r="AL509" s="436"/>
      <c r="AM509" s="436"/>
      <c r="AN509" s="436"/>
      <c r="AO509" s="436"/>
      <c r="AP509" s="436"/>
      <c r="AQ509" s="436"/>
      <c r="AR509" s="436"/>
      <c r="AS509" s="436"/>
      <c r="AT509" s="436"/>
      <c r="AU509" s="436"/>
      <c r="AV509" s="436">
        <f t="shared" ref="AV509:BH509" si="170">+AV487-AV465</f>
        <v>0</v>
      </c>
      <c r="AW509" s="436">
        <f t="shared" si="170"/>
        <v>0</v>
      </c>
      <c r="AX509" s="436">
        <f t="shared" si="170"/>
        <v>0</v>
      </c>
      <c r="AY509" s="436">
        <f t="shared" si="170"/>
        <v>0</v>
      </c>
      <c r="AZ509" s="436">
        <f t="shared" si="170"/>
        <v>0</v>
      </c>
      <c r="BA509" s="436">
        <f t="shared" si="170"/>
        <v>0</v>
      </c>
      <c r="BB509" s="436">
        <f t="shared" si="170"/>
        <v>0</v>
      </c>
      <c r="BC509" s="436">
        <f t="shared" si="170"/>
        <v>0</v>
      </c>
      <c r="BD509" s="436">
        <f t="shared" si="170"/>
        <v>0</v>
      </c>
      <c r="BE509" s="436">
        <f t="shared" si="170"/>
        <v>0</v>
      </c>
      <c r="BF509" s="436">
        <f t="shared" si="170"/>
        <v>0</v>
      </c>
      <c r="BG509" s="436">
        <f t="shared" si="170"/>
        <v>0</v>
      </c>
      <c r="BH509" s="446">
        <f t="shared" si="170"/>
        <v>0</v>
      </c>
      <c r="BI509" s="82"/>
      <c r="BJ509" s="323"/>
      <c r="BK509" s="82"/>
    </row>
    <row r="510" spans="1:63" hidden="1" outlineLevel="1" x14ac:dyDescent="0.25">
      <c r="A510" s="461" t="s">
        <v>172</v>
      </c>
      <c r="B510" s="437"/>
      <c r="C510" s="442"/>
      <c r="D510" s="438">
        <f t="shared" ref="D510:AJ510" si="171">+D488-D466</f>
        <v>0</v>
      </c>
      <c r="E510" s="447">
        <f t="shared" si="171"/>
        <v>0</v>
      </c>
      <c r="F510" s="447">
        <f t="shared" si="171"/>
        <v>0</v>
      </c>
      <c r="G510" s="447">
        <f t="shared" si="171"/>
        <v>0</v>
      </c>
      <c r="H510" s="447">
        <f t="shared" si="171"/>
        <v>0</v>
      </c>
      <c r="I510" s="447">
        <f t="shared" si="171"/>
        <v>0</v>
      </c>
      <c r="J510" s="447">
        <f t="shared" si="171"/>
        <v>0</v>
      </c>
      <c r="K510" s="447">
        <f t="shared" si="171"/>
        <v>0</v>
      </c>
      <c r="L510" s="447">
        <f t="shared" si="171"/>
        <v>0</v>
      </c>
      <c r="M510" s="447">
        <f t="shared" si="171"/>
        <v>0</v>
      </c>
      <c r="N510" s="447">
        <f t="shared" si="171"/>
        <v>0</v>
      </c>
      <c r="O510" s="447">
        <f t="shared" si="171"/>
        <v>0</v>
      </c>
      <c r="P510" s="447">
        <f t="shared" si="171"/>
        <v>0</v>
      </c>
      <c r="Q510" s="447">
        <f t="shared" si="171"/>
        <v>0</v>
      </c>
      <c r="R510" s="447">
        <f t="shared" si="171"/>
        <v>0</v>
      </c>
      <c r="S510" s="447">
        <f t="shared" si="171"/>
        <v>0</v>
      </c>
      <c r="T510" s="447">
        <f t="shared" si="171"/>
        <v>0</v>
      </c>
      <c r="U510" s="447">
        <f t="shared" si="171"/>
        <v>0</v>
      </c>
      <c r="V510" s="447">
        <f t="shared" si="171"/>
        <v>0</v>
      </c>
      <c r="W510" s="447">
        <f t="shared" si="171"/>
        <v>0</v>
      </c>
      <c r="X510" s="447">
        <f t="shared" si="171"/>
        <v>0</v>
      </c>
      <c r="Y510" s="447">
        <f t="shared" si="171"/>
        <v>0</v>
      </c>
      <c r="Z510" s="447">
        <f t="shared" si="171"/>
        <v>0</v>
      </c>
      <c r="AA510" s="447">
        <f t="shared" si="171"/>
        <v>0</v>
      </c>
      <c r="AB510" s="447">
        <f t="shared" si="171"/>
        <v>0</v>
      </c>
      <c r="AC510" s="447">
        <f t="shared" si="171"/>
        <v>0</v>
      </c>
      <c r="AD510" s="447">
        <f t="shared" si="171"/>
        <v>0</v>
      </c>
      <c r="AE510" s="447">
        <f t="shared" si="171"/>
        <v>0</v>
      </c>
      <c r="AF510" s="447">
        <f t="shared" si="171"/>
        <v>0</v>
      </c>
      <c r="AG510" s="438">
        <f t="shared" si="171"/>
        <v>0</v>
      </c>
      <c r="AH510" s="447">
        <f t="shared" si="171"/>
        <v>0</v>
      </c>
      <c r="AI510" s="447">
        <f t="shared" si="171"/>
        <v>0</v>
      </c>
      <c r="AJ510" s="447">
        <f t="shared" si="171"/>
        <v>0</v>
      </c>
      <c r="AK510" s="447"/>
      <c r="AL510" s="447"/>
      <c r="AM510" s="447"/>
      <c r="AN510" s="447"/>
      <c r="AO510" s="447"/>
      <c r="AP510" s="447"/>
      <c r="AQ510" s="447"/>
      <c r="AR510" s="447"/>
      <c r="AS510" s="447"/>
      <c r="AT510" s="447"/>
      <c r="AU510" s="447"/>
      <c r="AV510" s="447">
        <f t="shared" ref="AV510:BH510" si="172">+AV488-AV466</f>
        <v>0</v>
      </c>
      <c r="AW510" s="447">
        <f t="shared" si="172"/>
        <v>0</v>
      </c>
      <c r="AX510" s="447">
        <f t="shared" si="172"/>
        <v>0</v>
      </c>
      <c r="AY510" s="447">
        <f t="shared" si="172"/>
        <v>0</v>
      </c>
      <c r="AZ510" s="447">
        <f t="shared" si="172"/>
        <v>0</v>
      </c>
      <c r="BA510" s="447">
        <f t="shared" si="172"/>
        <v>0</v>
      </c>
      <c r="BB510" s="447">
        <f t="shared" si="172"/>
        <v>0</v>
      </c>
      <c r="BC510" s="447">
        <f t="shared" si="172"/>
        <v>0</v>
      </c>
      <c r="BD510" s="447">
        <f t="shared" si="172"/>
        <v>0</v>
      </c>
      <c r="BE510" s="447">
        <f t="shared" si="172"/>
        <v>0</v>
      </c>
      <c r="BF510" s="447">
        <f t="shared" si="172"/>
        <v>0</v>
      </c>
      <c r="BG510" s="447">
        <f t="shared" si="172"/>
        <v>0</v>
      </c>
      <c r="BH510" s="448">
        <f t="shared" si="172"/>
        <v>0</v>
      </c>
      <c r="BI510" s="82"/>
      <c r="BJ510" s="323"/>
      <c r="BK510" s="82"/>
    </row>
    <row r="511" spans="1:63" hidden="1" outlineLevel="1" x14ac:dyDescent="0.25">
      <c r="A511" s="461" t="s">
        <v>172</v>
      </c>
      <c r="B511" s="439"/>
      <c r="C511" s="443"/>
      <c r="D511" s="438">
        <f t="shared" ref="D511:AJ511" si="173">+D489-D467</f>
        <v>0</v>
      </c>
      <c r="E511" s="447">
        <f t="shared" si="173"/>
        <v>0</v>
      </c>
      <c r="F511" s="447">
        <f t="shared" si="173"/>
        <v>0</v>
      </c>
      <c r="G511" s="447">
        <f t="shared" si="173"/>
        <v>0</v>
      </c>
      <c r="H511" s="447">
        <f t="shared" si="173"/>
        <v>0</v>
      </c>
      <c r="I511" s="447">
        <f t="shared" si="173"/>
        <v>0</v>
      </c>
      <c r="J511" s="447">
        <f t="shared" si="173"/>
        <v>0</v>
      </c>
      <c r="K511" s="447">
        <f t="shared" si="173"/>
        <v>0</v>
      </c>
      <c r="L511" s="447">
        <f t="shared" si="173"/>
        <v>0</v>
      </c>
      <c r="M511" s="447">
        <f t="shared" si="173"/>
        <v>0</v>
      </c>
      <c r="N511" s="447">
        <f t="shared" si="173"/>
        <v>0</v>
      </c>
      <c r="O511" s="447">
        <f t="shared" si="173"/>
        <v>0</v>
      </c>
      <c r="P511" s="447">
        <f t="shared" si="173"/>
        <v>0</v>
      </c>
      <c r="Q511" s="447">
        <f t="shared" si="173"/>
        <v>0</v>
      </c>
      <c r="R511" s="447">
        <f t="shared" si="173"/>
        <v>0</v>
      </c>
      <c r="S511" s="447">
        <f t="shared" si="173"/>
        <v>0</v>
      </c>
      <c r="T511" s="447">
        <f t="shared" si="173"/>
        <v>0</v>
      </c>
      <c r="U511" s="447">
        <f t="shared" si="173"/>
        <v>0</v>
      </c>
      <c r="V511" s="447">
        <f t="shared" si="173"/>
        <v>0</v>
      </c>
      <c r="W511" s="447">
        <f t="shared" si="173"/>
        <v>0</v>
      </c>
      <c r="X511" s="447">
        <f t="shared" si="173"/>
        <v>0</v>
      </c>
      <c r="Y511" s="447">
        <f t="shared" si="173"/>
        <v>0</v>
      </c>
      <c r="Z511" s="447">
        <f t="shared" si="173"/>
        <v>0</v>
      </c>
      <c r="AA511" s="447">
        <f t="shared" si="173"/>
        <v>0</v>
      </c>
      <c r="AB511" s="447">
        <f t="shared" si="173"/>
        <v>0</v>
      </c>
      <c r="AC511" s="447">
        <f t="shared" si="173"/>
        <v>0</v>
      </c>
      <c r="AD511" s="447">
        <f t="shared" si="173"/>
        <v>0</v>
      </c>
      <c r="AE511" s="447">
        <f t="shared" si="173"/>
        <v>0</v>
      </c>
      <c r="AF511" s="447">
        <f t="shared" si="173"/>
        <v>0</v>
      </c>
      <c r="AG511" s="438">
        <f t="shared" si="173"/>
        <v>0</v>
      </c>
      <c r="AH511" s="447">
        <f t="shared" si="173"/>
        <v>0</v>
      </c>
      <c r="AI511" s="447">
        <f t="shared" si="173"/>
        <v>0</v>
      </c>
      <c r="AJ511" s="447">
        <f t="shared" si="173"/>
        <v>0</v>
      </c>
      <c r="AK511" s="447"/>
      <c r="AL511" s="447"/>
      <c r="AM511" s="447"/>
      <c r="AN511" s="447"/>
      <c r="AO511" s="447"/>
      <c r="AP511" s="447"/>
      <c r="AQ511" s="447"/>
      <c r="AR511" s="447"/>
      <c r="AS511" s="447"/>
      <c r="AT511" s="447"/>
      <c r="AU511" s="447"/>
      <c r="AV511" s="447">
        <f t="shared" ref="AV511:BH511" si="174">+AV489-AV467</f>
        <v>0</v>
      </c>
      <c r="AW511" s="447">
        <f t="shared" si="174"/>
        <v>0</v>
      </c>
      <c r="AX511" s="447">
        <f t="shared" si="174"/>
        <v>0</v>
      </c>
      <c r="AY511" s="447">
        <f t="shared" si="174"/>
        <v>0</v>
      </c>
      <c r="AZ511" s="447">
        <f t="shared" si="174"/>
        <v>0</v>
      </c>
      <c r="BA511" s="447">
        <f t="shared" si="174"/>
        <v>0</v>
      </c>
      <c r="BB511" s="447">
        <f t="shared" si="174"/>
        <v>0</v>
      </c>
      <c r="BC511" s="447">
        <f t="shared" si="174"/>
        <v>0</v>
      </c>
      <c r="BD511" s="447">
        <f t="shared" si="174"/>
        <v>0</v>
      </c>
      <c r="BE511" s="447">
        <f t="shared" si="174"/>
        <v>0</v>
      </c>
      <c r="BF511" s="447">
        <f t="shared" si="174"/>
        <v>0</v>
      </c>
      <c r="BG511" s="447">
        <f t="shared" si="174"/>
        <v>0</v>
      </c>
      <c r="BH511" s="448">
        <f t="shared" si="174"/>
        <v>0</v>
      </c>
      <c r="BI511" s="82"/>
      <c r="BJ511" s="323"/>
      <c r="BK511" s="82"/>
    </row>
    <row r="512" spans="1:63" collapsed="1" x14ac:dyDescent="0.25">
      <c r="D512" s="436"/>
      <c r="E512" s="375"/>
      <c r="F512" s="436"/>
      <c r="G512" s="375"/>
      <c r="H512" s="375"/>
      <c r="I512" s="375"/>
      <c r="J512" s="375"/>
      <c r="K512" s="375"/>
      <c r="L512" s="375"/>
      <c r="M512" s="375"/>
      <c r="N512" s="375"/>
      <c r="O512" s="375"/>
      <c r="P512" s="375"/>
      <c r="Q512" s="375"/>
      <c r="R512" s="375"/>
      <c r="S512" s="375"/>
      <c r="T512" s="375"/>
      <c r="U512" s="375"/>
      <c r="V512" s="375"/>
      <c r="W512" s="375"/>
      <c r="X512" s="375"/>
      <c r="Y512" s="375"/>
      <c r="Z512" s="375"/>
      <c r="AA512" s="375"/>
      <c r="AB512" s="375"/>
      <c r="AC512" s="375"/>
      <c r="AD512" s="375"/>
      <c r="AE512" s="375"/>
      <c r="AF512" s="375"/>
      <c r="AG512" s="375"/>
      <c r="AH512" s="375"/>
      <c r="AI512" s="375"/>
      <c r="AJ512" s="375"/>
      <c r="AK512" s="375"/>
      <c r="AL512" s="375"/>
      <c r="AM512" s="375"/>
      <c r="AN512" s="375"/>
      <c r="AO512" s="375"/>
      <c r="AP512" s="375"/>
      <c r="AQ512" s="375"/>
      <c r="AR512" s="375"/>
      <c r="AS512" s="375"/>
      <c r="AT512" s="375"/>
      <c r="AU512" s="375"/>
      <c r="AV512" s="375"/>
      <c r="AW512" s="375"/>
      <c r="AX512" s="375"/>
      <c r="AY512" s="375"/>
      <c r="AZ512" s="375"/>
      <c r="BA512" s="375"/>
      <c r="BB512" s="375"/>
      <c r="BC512" s="375"/>
      <c r="BD512" s="375"/>
      <c r="BE512" s="375"/>
      <c r="BF512" s="375"/>
      <c r="BG512" s="464"/>
      <c r="BH512" s="375"/>
      <c r="BI512" s="82"/>
    </row>
    <row r="513" spans="5:59" x14ac:dyDescent="0.25">
      <c r="E513" s="323"/>
      <c r="F513" s="323"/>
      <c r="AB513" s="323"/>
      <c r="BG513" s="465"/>
    </row>
    <row r="514" spans="5:59" x14ac:dyDescent="0.25">
      <c r="BG514" s="323"/>
    </row>
    <row r="546" ht="12" customHeight="1" x14ac:dyDescent="0.25"/>
  </sheetData>
  <autoFilter ref="A10:BI512"/>
  <conditionalFormatting sqref="AW75:BB75 AV319:BB319 AV14:BB14 AX197:BB197 AW136:BB136 AW258:BB258 AV380:BB380 Z75:AF75 Z319:AF319 Z14:AF14 Z197:AF197 Z136:AF136 Z258:AF258 Z380:AF380 E9:AK9 AM9:BD9 BF9:BH9">
    <cfRule type="containsErrors" dxfId="347" priority="195">
      <formula>ISERROR(E9)</formula>
    </cfRule>
  </conditionalFormatting>
  <conditionalFormatting sqref="E375:BD375 E436:BD436 BF436 BF375 E70:BD70">
    <cfRule type="cellIs" dxfId="346" priority="194" operator="notEqual">
      <formula>0</formula>
    </cfRule>
  </conditionalFormatting>
  <conditionalFormatting sqref="D73 D75">
    <cfRule type="cellIs" dxfId="345" priority="193" operator="notEqual">
      <formula>0</formula>
    </cfRule>
  </conditionalFormatting>
  <conditionalFormatting sqref="BH73:BH75">
    <cfRule type="cellIs" dxfId="344" priority="192" operator="notEqual">
      <formula>0</formula>
    </cfRule>
  </conditionalFormatting>
  <conditionalFormatting sqref="D9">
    <cfRule type="containsErrors" dxfId="343" priority="191">
      <formula>ISERROR(D9)</formula>
    </cfRule>
  </conditionalFormatting>
  <conditionalFormatting sqref="BG1:BH1 BC1:BD1">
    <cfRule type="cellIs" dxfId="342" priority="190" operator="notEqual">
      <formula>0</formula>
    </cfRule>
  </conditionalFormatting>
  <conditionalFormatting sqref="D1">
    <cfRule type="cellIs" dxfId="341" priority="189" operator="equal">
      <formula>"NEEDS ATTENTION!!!"</formula>
    </cfRule>
  </conditionalFormatting>
  <conditionalFormatting sqref="G3:L3 O3:BD3 BF3:BH3">
    <cfRule type="containsText" dxfId="340" priority="188" operator="containsText" text="CHECK NEEDED">
      <formula>NOT(ISERROR(SEARCH("CHECK NEEDED",G3)))</formula>
    </cfRule>
  </conditionalFormatting>
  <conditionalFormatting sqref="BB1">
    <cfRule type="cellIs" dxfId="339" priority="187" operator="notEqual">
      <formula>0</formula>
    </cfRule>
  </conditionalFormatting>
  <conditionalFormatting sqref="BF1">
    <cfRule type="cellIs" dxfId="338" priority="186" operator="notEqual">
      <formula>0</formula>
    </cfRule>
  </conditionalFormatting>
  <conditionalFormatting sqref="D70">
    <cfRule type="cellIs" dxfId="337" priority="185" operator="notEqual">
      <formula>0</formula>
    </cfRule>
  </conditionalFormatting>
  <conditionalFormatting sqref="BH70">
    <cfRule type="cellIs" dxfId="336" priority="184" operator="notEqual">
      <formula>0</formula>
    </cfRule>
  </conditionalFormatting>
  <conditionalFormatting sqref="D70 BG70:BH70 BG436:BH436 BG375:BH375 AW491:BD505 D491:AJ505 BF491:BH511 D506:BD511">
    <cfRule type="cellIs" dxfId="335" priority="183" operator="notEqual">
      <formula>0</formula>
    </cfRule>
  </conditionalFormatting>
  <conditionalFormatting sqref="E75:X75 BD75 BF75">
    <cfRule type="containsErrors" dxfId="334" priority="182">
      <formula>ISERROR(E75)</formula>
    </cfRule>
  </conditionalFormatting>
  <conditionalFormatting sqref="Y75">
    <cfRule type="containsErrors" dxfId="333" priority="181">
      <formula>ISERROR(Y75)</formula>
    </cfRule>
  </conditionalFormatting>
  <conditionalFormatting sqref="AI75:AV75">
    <cfRule type="containsErrors" dxfId="332" priority="180">
      <formula>ISERROR(AI75)</formula>
    </cfRule>
  </conditionalFormatting>
  <conditionalFormatting sqref="AG75:AH75">
    <cfRule type="containsErrors" dxfId="331" priority="179">
      <formula>ISERROR(AG75)</formula>
    </cfRule>
  </conditionalFormatting>
  <conditionalFormatting sqref="BC75">
    <cfRule type="containsErrors" dxfId="330" priority="178">
      <formula>ISERROR(BC75)</formula>
    </cfRule>
  </conditionalFormatting>
  <conditionalFormatting sqref="AI14:AU14">
    <cfRule type="containsErrors" dxfId="329" priority="169">
      <formula>ISERROR(AI14)</formula>
    </cfRule>
  </conditionalFormatting>
  <conditionalFormatting sqref="AG14:AH14">
    <cfRule type="containsErrors" dxfId="328" priority="168">
      <formula>ISERROR(AG14)</formula>
    </cfRule>
  </conditionalFormatting>
  <conditionalFormatting sqref="BC14">
    <cfRule type="containsErrors" dxfId="327" priority="167">
      <formula>ISERROR(BC14)</formula>
    </cfRule>
  </conditionalFormatting>
  <conditionalFormatting sqref="D198">
    <cfRule type="cellIs" dxfId="326" priority="177" operator="notEqual">
      <formula>0</formula>
    </cfRule>
  </conditionalFormatting>
  <conditionalFormatting sqref="BH198">
    <cfRule type="cellIs" dxfId="325" priority="176" operator="notEqual">
      <formula>0</formula>
    </cfRule>
  </conditionalFormatting>
  <conditionalFormatting sqref="AI136:AV136">
    <cfRule type="containsErrors" dxfId="324" priority="155">
      <formula>ISERROR(AI136)</formula>
    </cfRule>
  </conditionalFormatting>
  <conditionalFormatting sqref="AG136:AH136">
    <cfRule type="containsErrors" dxfId="323" priority="154">
      <formula>ISERROR(AG136)</formula>
    </cfRule>
  </conditionalFormatting>
  <conditionalFormatting sqref="BC136">
    <cfRule type="containsErrors" dxfId="322" priority="153">
      <formula>ISERROR(BC136)</formula>
    </cfRule>
  </conditionalFormatting>
  <conditionalFormatting sqref="BH320">
    <cfRule type="cellIs" dxfId="321" priority="144" operator="notEqual">
      <formula>0</formula>
    </cfRule>
  </conditionalFormatting>
  <conditionalFormatting sqref="BH318:BH319">
    <cfRule type="cellIs" dxfId="320" priority="142" operator="notEqual">
      <formula>0</formula>
    </cfRule>
  </conditionalFormatting>
  <conditionalFormatting sqref="E319:X319 BD319 BF319">
    <cfRule type="containsErrors" dxfId="319" priority="141">
      <formula>ISERROR(E319)</formula>
    </cfRule>
  </conditionalFormatting>
  <conditionalFormatting sqref="Y319">
    <cfRule type="containsErrors" dxfId="318" priority="140">
      <formula>ISERROR(Y319)</formula>
    </cfRule>
  </conditionalFormatting>
  <conditionalFormatting sqref="AI319:AU319">
    <cfRule type="containsErrors" dxfId="317" priority="139">
      <formula>ISERROR(AI319)</formula>
    </cfRule>
  </conditionalFormatting>
  <conditionalFormatting sqref="AG319:AH319">
    <cfRule type="containsErrors" dxfId="316" priority="138">
      <formula>ISERROR(AG319)</formula>
    </cfRule>
  </conditionalFormatting>
  <conditionalFormatting sqref="BC319">
    <cfRule type="containsErrors" dxfId="315" priority="137">
      <formula>ISERROR(BC319)</formula>
    </cfRule>
  </conditionalFormatting>
  <conditionalFormatting sqref="D259">
    <cfRule type="cellIs" dxfId="314" priority="175" operator="notEqual">
      <formula>0</formula>
    </cfRule>
  </conditionalFormatting>
  <conditionalFormatting sqref="BH259">
    <cfRule type="cellIs" dxfId="313" priority="174" operator="notEqual">
      <formula>0</formula>
    </cfRule>
  </conditionalFormatting>
  <conditionalFormatting sqref="D14">
    <cfRule type="cellIs" dxfId="312" priority="173" operator="notEqual">
      <formula>0</formula>
    </cfRule>
  </conditionalFormatting>
  <conditionalFormatting sqref="BH13:BH14">
    <cfRule type="cellIs" dxfId="311" priority="172" operator="notEqual">
      <formula>0</formula>
    </cfRule>
  </conditionalFormatting>
  <conditionalFormatting sqref="E14:X14 BD14 BF14">
    <cfRule type="containsErrors" dxfId="310" priority="171">
      <formula>ISERROR(E14)</formula>
    </cfRule>
  </conditionalFormatting>
  <conditionalFormatting sqref="Y14">
    <cfRule type="containsErrors" dxfId="309" priority="170">
      <formula>ISERROR(Y14)</formula>
    </cfRule>
  </conditionalFormatting>
  <conditionalFormatting sqref="BH256">
    <cfRule type="cellIs" dxfId="308" priority="114" operator="notEqual">
      <formula>0</formula>
    </cfRule>
  </conditionalFormatting>
  <conditionalFormatting sqref="D197">
    <cfRule type="cellIs" dxfId="307" priority="166" operator="notEqual">
      <formula>0</formula>
    </cfRule>
  </conditionalFormatting>
  <conditionalFormatting sqref="BH196:BH197">
    <cfRule type="cellIs" dxfId="306" priority="165" operator="notEqual">
      <formula>0</formula>
    </cfRule>
  </conditionalFormatting>
  <conditionalFormatting sqref="E197:X197 BD197 BF197">
    <cfRule type="containsErrors" dxfId="305" priority="164">
      <formula>ISERROR(E197)</formula>
    </cfRule>
  </conditionalFormatting>
  <conditionalFormatting sqref="Y197">
    <cfRule type="containsErrors" dxfId="304" priority="163">
      <formula>ISERROR(Y197)</formula>
    </cfRule>
  </conditionalFormatting>
  <conditionalFormatting sqref="AI197:AW197">
    <cfRule type="containsErrors" dxfId="303" priority="162">
      <formula>ISERROR(AI197)</formula>
    </cfRule>
  </conditionalFormatting>
  <conditionalFormatting sqref="AG197:AH197">
    <cfRule type="containsErrors" dxfId="302" priority="161">
      <formula>ISERROR(AG197)</formula>
    </cfRule>
  </conditionalFormatting>
  <conditionalFormatting sqref="BC197">
    <cfRule type="containsErrors" dxfId="301" priority="160">
      <formula>ISERROR(BC197)</formula>
    </cfRule>
  </conditionalFormatting>
  <conditionalFormatting sqref="D136">
    <cfRule type="cellIs" dxfId="300" priority="159" operator="notEqual">
      <formula>0</formula>
    </cfRule>
  </conditionalFormatting>
  <conditionalFormatting sqref="BH135:BH136">
    <cfRule type="cellIs" dxfId="299" priority="158" operator="notEqual">
      <formula>0</formula>
    </cfRule>
  </conditionalFormatting>
  <conditionalFormatting sqref="E136:X136 BD136 BF136">
    <cfRule type="containsErrors" dxfId="298" priority="157">
      <formula>ISERROR(E136)</formula>
    </cfRule>
  </conditionalFormatting>
  <conditionalFormatting sqref="Y136">
    <cfRule type="containsErrors" dxfId="297" priority="156">
      <formula>ISERROR(Y136)</formula>
    </cfRule>
  </conditionalFormatting>
  <conditionalFormatting sqref="D258">
    <cfRule type="cellIs" dxfId="296" priority="152" operator="notEqual">
      <formula>0</formula>
    </cfRule>
  </conditionalFormatting>
  <conditionalFormatting sqref="BH257:BH258">
    <cfRule type="cellIs" dxfId="295" priority="151" operator="notEqual">
      <formula>0</formula>
    </cfRule>
  </conditionalFormatting>
  <conditionalFormatting sqref="E258:X258 BD258 BF258">
    <cfRule type="containsErrors" dxfId="294" priority="150">
      <formula>ISERROR(E258)</formula>
    </cfRule>
  </conditionalFormatting>
  <conditionalFormatting sqref="Y258">
    <cfRule type="containsErrors" dxfId="293" priority="149">
      <formula>ISERROR(Y258)</formula>
    </cfRule>
  </conditionalFormatting>
  <conditionalFormatting sqref="AI258:AV258">
    <cfRule type="containsErrors" dxfId="292" priority="148">
      <formula>ISERROR(AI258)</formula>
    </cfRule>
  </conditionalFormatting>
  <conditionalFormatting sqref="AG258:AH258">
    <cfRule type="containsErrors" dxfId="291" priority="147">
      <formula>ISERROR(AG258)</formula>
    </cfRule>
  </conditionalFormatting>
  <conditionalFormatting sqref="BC258">
    <cfRule type="containsErrors" dxfId="290" priority="146">
      <formula>ISERROR(BC258)</formula>
    </cfRule>
  </conditionalFormatting>
  <conditionalFormatting sqref="D320">
    <cfRule type="cellIs" dxfId="289" priority="145" operator="notEqual">
      <formula>0</formula>
    </cfRule>
  </conditionalFormatting>
  <conditionalFormatting sqref="D319">
    <cfRule type="cellIs" dxfId="288" priority="143" operator="notEqual">
      <formula>0</formula>
    </cfRule>
  </conditionalFormatting>
  <conditionalFormatting sqref="D439:D444">
    <cfRule type="cellIs" dxfId="287" priority="136" operator="notEqual">
      <formula>0</formula>
    </cfRule>
  </conditionalFormatting>
  <conditionalFormatting sqref="BH439:BH444">
    <cfRule type="cellIs" dxfId="286" priority="131" operator="notEqual">
      <formula>0</formula>
    </cfRule>
  </conditionalFormatting>
  <conditionalFormatting sqref="D381">
    <cfRule type="cellIs" dxfId="285" priority="134" operator="notEqual">
      <formula>0</formula>
    </cfRule>
  </conditionalFormatting>
  <conditionalFormatting sqref="D439:D444">
    <cfRule type="cellIs" dxfId="284" priority="135" operator="notEqual">
      <formula>0</formula>
    </cfRule>
  </conditionalFormatting>
  <conditionalFormatting sqref="D439:D444">
    <cfRule type="cellIs" dxfId="283" priority="133" operator="notEqual">
      <formula>0</formula>
    </cfRule>
  </conditionalFormatting>
  <conditionalFormatting sqref="BH381">
    <cfRule type="cellIs" dxfId="282" priority="132" operator="notEqual">
      <formula>0</formula>
    </cfRule>
  </conditionalFormatting>
  <conditionalFormatting sqref="D380">
    <cfRule type="cellIs" dxfId="281" priority="130" operator="notEqual">
      <formula>0</formula>
    </cfRule>
  </conditionalFormatting>
  <conditionalFormatting sqref="BH379:BH380">
    <cfRule type="cellIs" dxfId="280" priority="129" operator="notEqual">
      <formula>0</formula>
    </cfRule>
  </conditionalFormatting>
  <conditionalFormatting sqref="E380:X380 BD380 BF380">
    <cfRule type="containsErrors" dxfId="279" priority="128">
      <formula>ISERROR(E380)</formula>
    </cfRule>
  </conditionalFormatting>
  <conditionalFormatting sqref="Y380">
    <cfRule type="containsErrors" dxfId="278" priority="127">
      <formula>ISERROR(Y380)</formula>
    </cfRule>
  </conditionalFormatting>
  <conditionalFormatting sqref="AI380:AU380">
    <cfRule type="containsErrors" dxfId="277" priority="126">
      <formula>ISERROR(AI380)</formula>
    </cfRule>
  </conditionalFormatting>
  <conditionalFormatting sqref="AG380:AH380">
    <cfRule type="containsErrors" dxfId="276" priority="125">
      <formula>ISERROR(AG380)</formula>
    </cfRule>
  </conditionalFormatting>
  <conditionalFormatting sqref="BC380">
    <cfRule type="containsErrors" dxfId="275" priority="124">
      <formula>ISERROR(BC380)</formula>
    </cfRule>
  </conditionalFormatting>
  <conditionalFormatting sqref="BH134">
    <cfRule type="cellIs" dxfId="274" priority="120" operator="notEqual">
      <formula>0</formula>
    </cfRule>
  </conditionalFormatting>
  <conditionalFormatting sqref="D317">
    <cfRule type="cellIs" dxfId="273" priority="119" operator="notEqual">
      <formula>0</formula>
    </cfRule>
  </conditionalFormatting>
  <conditionalFormatting sqref="D195">
    <cfRule type="cellIs" dxfId="272" priority="123" operator="notEqual">
      <formula>0</formula>
    </cfRule>
  </conditionalFormatting>
  <conditionalFormatting sqref="BH195">
    <cfRule type="cellIs" dxfId="271" priority="122" operator="notEqual">
      <formula>0</formula>
    </cfRule>
  </conditionalFormatting>
  <conditionalFormatting sqref="D134">
    <cfRule type="cellIs" dxfId="270" priority="121" operator="notEqual">
      <formula>0</formula>
    </cfRule>
  </conditionalFormatting>
  <conditionalFormatting sqref="BH317">
    <cfRule type="cellIs" dxfId="269" priority="118" operator="notEqual">
      <formula>0</formula>
    </cfRule>
  </conditionalFormatting>
  <conditionalFormatting sqref="D378">
    <cfRule type="cellIs" dxfId="268" priority="117" operator="notEqual">
      <formula>0</formula>
    </cfRule>
  </conditionalFormatting>
  <conditionalFormatting sqref="BH378">
    <cfRule type="cellIs" dxfId="267" priority="116" operator="notEqual">
      <formula>0</formula>
    </cfRule>
  </conditionalFormatting>
  <conditionalFormatting sqref="D256">
    <cfRule type="cellIs" dxfId="266" priority="115" operator="notEqual">
      <formula>0</formula>
    </cfRule>
  </conditionalFormatting>
  <conditionalFormatting sqref="D436">
    <cfRule type="cellIs" dxfId="265" priority="111" operator="notEqual">
      <formula>0</formula>
    </cfRule>
  </conditionalFormatting>
  <conditionalFormatting sqref="D436">
    <cfRule type="cellIs" dxfId="264" priority="110" operator="notEqual">
      <formula>0</formula>
    </cfRule>
  </conditionalFormatting>
  <conditionalFormatting sqref="D375">
    <cfRule type="cellIs" dxfId="263" priority="113" operator="notEqual">
      <formula>0</formula>
    </cfRule>
  </conditionalFormatting>
  <conditionalFormatting sqref="D375">
    <cfRule type="cellIs" dxfId="262" priority="112" operator="notEqual">
      <formula>0</formula>
    </cfRule>
  </conditionalFormatting>
  <conditionalFormatting sqref="D2">
    <cfRule type="cellIs" dxfId="261" priority="109" operator="equal">
      <formula>"NEEDS ATTENTION!!!"</formula>
    </cfRule>
  </conditionalFormatting>
  <conditionalFormatting sqref="D3:D7">
    <cfRule type="cellIs" dxfId="260" priority="108" operator="equal">
      <formula>"NEEDS ATTENTION!!!"</formula>
    </cfRule>
  </conditionalFormatting>
  <conditionalFormatting sqref="D491">
    <cfRule type="cellIs" dxfId="259" priority="107" operator="notEqual">
      <formula>0</formula>
    </cfRule>
  </conditionalFormatting>
  <conditionalFormatting sqref="D494">
    <cfRule type="cellIs" dxfId="258" priority="106" operator="notEqual">
      <formula>0</formula>
    </cfRule>
  </conditionalFormatting>
  <conditionalFormatting sqref="BH437:BH438">
    <cfRule type="cellIs" dxfId="257" priority="102" operator="notEqual">
      <formula>0</formula>
    </cfRule>
  </conditionalFormatting>
  <conditionalFormatting sqref="D71:D72">
    <cfRule type="cellIs" dxfId="256" priority="98" operator="notEqual">
      <formula>0</formula>
    </cfRule>
  </conditionalFormatting>
  <conditionalFormatting sqref="D376:D377">
    <cfRule type="cellIs" dxfId="255" priority="105" operator="notEqual">
      <formula>0</formula>
    </cfRule>
  </conditionalFormatting>
  <conditionalFormatting sqref="BH376:BH377">
    <cfRule type="cellIs" dxfId="254" priority="104" operator="notEqual">
      <formula>0</formula>
    </cfRule>
  </conditionalFormatting>
  <conditionalFormatting sqref="D437:D438">
    <cfRule type="cellIs" dxfId="253" priority="103" operator="notEqual">
      <formula>0</formula>
    </cfRule>
  </conditionalFormatting>
  <conditionalFormatting sqref="D8">
    <cfRule type="cellIs" dxfId="252" priority="101" operator="equal">
      <formula>"NEEDS ATTENTION!!!"</formula>
    </cfRule>
  </conditionalFormatting>
  <conditionalFormatting sqref="AK491:AV505">
    <cfRule type="cellIs" dxfId="251" priority="100" operator="notEqual">
      <formula>0</formula>
    </cfRule>
  </conditionalFormatting>
  <conditionalFormatting sqref="E70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71:D72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71:BH72">
    <cfRule type="cellIs" dxfId="250" priority="96" operator="notEqual">
      <formula>0</formula>
    </cfRule>
  </conditionalFormatting>
  <conditionalFormatting sqref="BH71:BH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0:BD70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31:BD131 E131:AJ131">
    <cfRule type="cellIs" dxfId="249" priority="93" operator="notEqual">
      <formula>0</formula>
    </cfRule>
  </conditionalFormatting>
  <conditionalFormatting sqref="D131">
    <cfRule type="cellIs" dxfId="248" priority="92" operator="notEqual">
      <formula>0</formula>
    </cfRule>
  </conditionalFormatting>
  <conditionalFormatting sqref="BH131">
    <cfRule type="cellIs" dxfId="247" priority="91" operator="notEqual">
      <formula>0</formula>
    </cfRule>
  </conditionalFormatting>
  <conditionalFormatting sqref="D131 BG131:BH131">
    <cfRule type="cellIs" dxfId="246" priority="90" operator="notEqual">
      <formula>0</formula>
    </cfRule>
  </conditionalFormatting>
  <conditionalFormatting sqref="D132:D133">
    <cfRule type="cellIs" dxfId="245" priority="88" operator="notEqual">
      <formula>0</formula>
    </cfRule>
  </conditionalFormatting>
  <conditionalFormatting sqref="E13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32:D133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132:BH133">
    <cfRule type="cellIs" dxfId="244" priority="86" operator="notEqual">
      <formula>0</formula>
    </cfRule>
  </conditionalFormatting>
  <conditionalFormatting sqref="BH132:BH133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31:BD131 F131:AJ131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2:AK192 AP192:BD192">
    <cfRule type="cellIs" dxfId="243" priority="83" operator="notEqual">
      <formula>0</formula>
    </cfRule>
  </conditionalFormatting>
  <conditionalFormatting sqref="D192">
    <cfRule type="cellIs" dxfId="242" priority="82" operator="notEqual">
      <formula>0</formula>
    </cfRule>
  </conditionalFormatting>
  <conditionalFormatting sqref="BH192">
    <cfRule type="cellIs" dxfId="241" priority="81" operator="notEqual">
      <formula>0</formula>
    </cfRule>
  </conditionalFormatting>
  <conditionalFormatting sqref="D192 BG192:BH192">
    <cfRule type="cellIs" dxfId="240" priority="80" operator="notEqual">
      <formula>0</formula>
    </cfRule>
  </conditionalFormatting>
  <conditionalFormatting sqref="D193:D194">
    <cfRule type="cellIs" dxfId="239" priority="78" operator="notEqual">
      <formula>0</formula>
    </cfRule>
  </conditionalFormatting>
  <conditionalFormatting sqref="E192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93:D194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193:BH194">
    <cfRule type="cellIs" dxfId="238" priority="76" operator="notEqual">
      <formula>0</formula>
    </cfRule>
  </conditionalFormatting>
  <conditionalFormatting sqref="BH193:BH194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2:AK192 AP192:BD192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53:AK253 AQ253:BD253">
    <cfRule type="cellIs" dxfId="237" priority="73" operator="notEqual">
      <formula>0</formula>
    </cfRule>
  </conditionalFormatting>
  <conditionalFormatting sqref="D253">
    <cfRule type="cellIs" dxfId="236" priority="72" operator="notEqual">
      <formula>0</formula>
    </cfRule>
  </conditionalFormatting>
  <conditionalFormatting sqref="BH253">
    <cfRule type="cellIs" dxfId="235" priority="71" operator="notEqual">
      <formula>0</formula>
    </cfRule>
  </conditionalFormatting>
  <conditionalFormatting sqref="D253 BG253:BH253">
    <cfRule type="cellIs" dxfId="234" priority="70" operator="notEqual">
      <formula>0</formula>
    </cfRule>
  </conditionalFormatting>
  <conditionalFormatting sqref="D254:D255">
    <cfRule type="cellIs" dxfId="233" priority="68" operator="notEqual">
      <formula>0</formula>
    </cfRule>
  </conditionalFormatting>
  <conditionalFormatting sqref="E253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4:D255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254:BH255">
    <cfRule type="cellIs" dxfId="232" priority="66" operator="notEqual">
      <formula>0</formula>
    </cfRule>
  </conditionalFormatting>
  <conditionalFormatting sqref="BH254:BH255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3:AK253 AQ253:BD253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4:AK314 AQ314:BD314">
    <cfRule type="cellIs" dxfId="231" priority="63" operator="notEqual">
      <formula>0</formula>
    </cfRule>
  </conditionalFormatting>
  <conditionalFormatting sqref="D314">
    <cfRule type="cellIs" dxfId="230" priority="62" operator="notEqual">
      <formula>0</formula>
    </cfRule>
  </conditionalFormatting>
  <conditionalFormatting sqref="BH314">
    <cfRule type="cellIs" dxfId="229" priority="61" operator="notEqual">
      <formula>0</formula>
    </cfRule>
  </conditionalFormatting>
  <conditionalFormatting sqref="D314 BG314:BH314">
    <cfRule type="cellIs" dxfId="228" priority="60" operator="notEqual">
      <formula>0</formula>
    </cfRule>
  </conditionalFormatting>
  <conditionalFormatting sqref="D315:D316">
    <cfRule type="cellIs" dxfId="227" priority="58" operator="notEqual">
      <formula>0</formula>
    </cfRule>
  </conditionalFormatting>
  <conditionalFormatting sqref="E314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15:D316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315:BH316">
    <cfRule type="cellIs" dxfId="226" priority="56" operator="notEqual">
      <formula>0</formula>
    </cfRule>
  </conditionalFormatting>
  <conditionalFormatting sqref="BH315:BH316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14:AK314 AQ314:BD314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9:AU9">
    <cfRule type="containsErrors" dxfId="225" priority="54">
      <formula>ISERROR(AL9)</formula>
    </cfRule>
  </conditionalFormatting>
  <conditionalFormatting sqref="AL192:AM192">
    <cfRule type="cellIs" dxfId="224" priority="52" operator="notEqual">
      <formula>0</formula>
    </cfRule>
  </conditionalFormatting>
  <conditionalFormatting sqref="AL192:AM192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253">
    <cfRule type="cellIs" dxfId="223" priority="50" operator="notEqual">
      <formula>0</formula>
    </cfRule>
  </conditionalFormatting>
  <conditionalFormatting sqref="AL253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314:AM314">
    <cfRule type="cellIs" dxfId="222" priority="48" operator="notEqual">
      <formula>0</formula>
    </cfRule>
  </conditionalFormatting>
  <conditionalFormatting sqref="AL314:AM314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31:AM131">
    <cfRule type="cellIs" dxfId="221" priority="46" operator="notEqual">
      <formula>0</formula>
    </cfRule>
  </conditionalFormatting>
  <conditionalFormatting sqref="AK131:AM13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253">
    <cfRule type="cellIs" dxfId="220" priority="44" operator="notEqual">
      <formula>0</formula>
    </cfRule>
  </conditionalFormatting>
  <conditionalFormatting sqref="AM253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9">
    <cfRule type="containsErrors" dxfId="219" priority="42">
      <formula>ISERROR(BE9)</formula>
    </cfRule>
  </conditionalFormatting>
  <conditionalFormatting sqref="BE70 BE436 BE375">
    <cfRule type="cellIs" dxfId="218" priority="41" operator="notEqual">
      <formula>0</formula>
    </cfRule>
  </conditionalFormatting>
  <conditionalFormatting sqref="BE3">
    <cfRule type="containsText" dxfId="217" priority="40" operator="containsText" text="CHECK NEEDED">
      <formula>NOT(ISERROR(SEARCH("CHECK NEEDED",BE3)))</formula>
    </cfRule>
  </conditionalFormatting>
  <conditionalFormatting sqref="BE1">
    <cfRule type="cellIs" dxfId="216" priority="39" operator="notEqual">
      <formula>0</formula>
    </cfRule>
  </conditionalFormatting>
  <conditionalFormatting sqref="BE491:BE511">
    <cfRule type="cellIs" dxfId="215" priority="38" operator="notEqual">
      <formula>0</formula>
    </cfRule>
  </conditionalFormatting>
  <conditionalFormatting sqref="BE75">
    <cfRule type="containsErrors" dxfId="214" priority="37">
      <formula>ISERROR(BE75)</formula>
    </cfRule>
  </conditionalFormatting>
  <conditionalFormatting sqref="BE319">
    <cfRule type="containsErrors" dxfId="213" priority="32">
      <formula>ISERROR(BE319)</formula>
    </cfRule>
  </conditionalFormatting>
  <conditionalFormatting sqref="BE14">
    <cfRule type="containsErrors" dxfId="212" priority="36">
      <formula>ISERROR(BE14)</formula>
    </cfRule>
  </conditionalFormatting>
  <conditionalFormatting sqref="BE197">
    <cfRule type="containsErrors" dxfId="211" priority="35">
      <formula>ISERROR(BE197)</formula>
    </cfRule>
  </conditionalFormatting>
  <conditionalFormatting sqref="BE136">
    <cfRule type="containsErrors" dxfId="210" priority="34">
      <formula>ISERROR(BE136)</formula>
    </cfRule>
  </conditionalFormatting>
  <conditionalFormatting sqref="BE258">
    <cfRule type="containsErrors" dxfId="209" priority="33">
      <formula>ISERROR(BE258)</formula>
    </cfRule>
  </conditionalFormatting>
  <conditionalFormatting sqref="BE380">
    <cfRule type="containsErrors" dxfId="208" priority="31">
      <formula>ISERROR(BE380)</formula>
    </cfRule>
  </conditionalFormatting>
  <conditionalFormatting sqref="BE70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131">
    <cfRule type="cellIs" dxfId="207" priority="29" operator="notEqual">
      <formula>0</formula>
    </cfRule>
  </conditionalFormatting>
  <conditionalFormatting sqref="BE131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192">
    <cfRule type="cellIs" dxfId="206" priority="27" operator="notEqual">
      <formula>0</formula>
    </cfRule>
  </conditionalFormatting>
  <conditionalFormatting sqref="BE192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253">
    <cfRule type="cellIs" dxfId="205" priority="25" operator="notEqual">
      <formula>0</formula>
    </cfRule>
  </conditionalFormatting>
  <conditionalFormatting sqref="BE25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314">
    <cfRule type="cellIs" dxfId="204" priority="23" operator="notEqual">
      <formula>0</formula>
    </cfRule>
  </conditionalFormatting>
  <conditionalFormatting sqref="BE31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70">
    <cfRule type="cellIs" dxfId="203" priority="21" operator="notEqual">
      <formula>0</formula>
    </cfRule>
  </conditionalFormatting>
  <conditionalFormatting sqref="BF7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131">
    <cfRule type="cellIs" dxfId="202" priority="19" operator="notEqual">
      <formula>0</formula>
    </cfRule>
  </conditionalFormatting>
  <conditionalFormatting sqref="BF13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192">
    <cfRule type="cellIs" dxfId="201" priority="17" operator="notEqual">
      <formula>0</formula>
    </cfRule>
  </conditionalFormatting>
  <conditionalFormatting sqref="BF19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253">
    <cfRule type="cellIs" dxfId="200" priority="15" operator="notEqual">
      <formula>0</formula>
    </cfRule>
  </conditionalFormatting>
  <conditionalFormatting sqref="BF25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314">
    <cfRule type="cellIs" dxfId="199" priority="13" operator="notEqual">
      <formula>0</formula>
    </cfRule>
  </conditionalFormatting>
  <conditionalFormatting sqref="BF31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31:AO131">
    <cfRule type="cellIs" dxfId="198" priority="11" operator="notEqual">
      <formula>0</formula>
    </cfRule>
  </conditionalFormatting>
  <conditionalFormatting sqref="AN131:AO13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92:AO192">
    <cfRule type="cellIs" dxfId="197" priority="9" operator="notEqual">
      <formula>0</formula>
    </cfRule>
  </conditionalFormatting>
  <conditionalFormatting sqref="AN192:AO19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253:AP253">
    <cfRule type="cellIs" dxfId="196" priority="7" operator="notEqual">
      <formula>0</formula>
    </cfRule>
  </conditionalFormatting>
  <conditionalFormatting sqref="AO253:AP25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314:AP314">
    <cfRule type="cellIs" dxfId="195" priority="5" operator="notEqual">
      <formula>0</formula>
    </cfRule>
  </conditionalFormatting>
  <conditionalFormatting sqref="AO314:AP31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253">
    <cfRule type="cellIs" dxfId="194" priority="3" operator="notEqual">
      <formula>0</formula>
    </cfRule>
  </conditionalFormatting>
  <conditionalFormatting sqref="AN25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314">
    <cfRule type="cellIs" dxfId="193" priority="1" operator="notEqual">
      <formula>0</formula>
    </cfRule>
  </conditionalFormatting>
  <conditionalFormatting sqref="AN31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fitToWidth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2"/>
  <sheetViews>
    <sheetView workbookViewId="0">
      <selection activeCell="B41" sqref="B41"/>
    </sheetView>
  </sheetViews>
  <sheetFormatPr defaultRowHeight="15" x14ac:dyDescent="0.25"/>
  <cols>
    <col min="2" max="2" width="65.85546875" customWidth="1"/>
  </cols>
  <sheetData>
    <row r="1" spans="1:5" x14ac:dyDescent="0.25">
      <c r="A1" s="1"/>
      <c r="B1" s="1"/>
      <c r="C1" s="2" t="s">
        <v>782</v>
      </c>
      <c r="D1" s="5"/>
      <c r="E1" s="3"/>
    </row>
    <row r="2" spans="1:5" x14ac:dyDescent="0.25">
      <c r="A2" s="6" t="s">
        <v>779</v>
      </c>
      <c r="B2" s="6"/>
      <c r="C2" s="8"/>
      <c r="D2" s="8"/>
      <c r="E2" s="8"/>
    </row>
    <row r="3" spans="1:5" x14ac:dyDescent="0.25">
      <c r="A3" s="6" t="s">
        <v>0</v>
      </c>
      <c r="B3" s="6"/>
      <c r="C3" s="8"/>
      <c r="D3" s="8"/>
      <c r="E3" s="8"/>
    </row>
    <row r="4" spans="1:5" x14ac:dyDescent="0.25">
      <c r="A4" s="6" t="str">
        <f>'SEF-29 pg 1-2'!$A$4</f>
        <v>2024 GENERAL RATE CASE</v>
      </c>
      <c r="B4" s="6"/>
      <c r="C4" s="8"/>
      <c r="D4" s="8"/>
      <c r="E4" s="8"/>
    </row>
    <row r="5" spans="1:5" x14ac:dyDescent="0.25">
      <c r="A5" s="6" t="str">
        <f>'SEF-29 pg 1-2'!$A$5</f>
        <v>12 MONTHS ENDED JUNE 30, 2023</v>
      </c>
      <c r="B5" s="6"/>
      <c r="C5" s="8"/>
      <c r="D5" s="8"/>
      <c r="E5" s="8"/>
    </row>
    <row r="6" spans="1:5" x14ac:dyDescent="0.25">
      <c r="A6" s="9" t="s">
        <v>3</v>
      </c>
      <c r="B6" s="9"/>
      <c r="C6" s="9"/>
      <c r="D6" s="9"/>
      <c r="E6" s="9"/>
    </row>
    <row r="7" spans="1:5" x14ac:dyDescent="0.25">
      <c r="A7" s="8"/>
      <c r="B7" s="8"/>
      <c r="C7" s="8"/>
      <c r="D7" s="8"/>
      <c r="E7" s="8"/>
    </row>
    <row r="8" spans="1:5" x14ac:dyDescent="0.25">
      <c r="A8" s="8"/>
      <c r="B8" s="8"/>
      <c r="C8" s="8"/>
      <c r="D8" s="8"/>
      <c r="E8" s="1"/>
    </row>
    <row r="9" spans="1:5" x14ac:dyDescent="0.25">
      <c r="A9" s="13" t="s">
        <v>4</v>
      </c>
      <c r="B9" s="13"/>
      <c r="C9" s="13"/>
      <c r="D9" s="1"/>
      <c r="E9" s="1"/>
    </row>
    <row r="10" spans="1:5" x14ac:dyDescent="0.25">
      <c r="A10" s="15" t="s">
        <v>7</v>
      </c>
      <c r="B10" s="15" t="s">
        <v>8</v>
      </c>
      <c r="C10" s="15"/>
      <c r="D10" s="17"/>
      <c r="E10" s="17"/>
    </row>
    <row r="11" spans="1:5" x14ac:dyDescent="0.25">
      <c r="A11" s="1"/>
      <c r="B11" s="1"/>
      <c r="C11" s="1"/>
      <c r="D11" s="1"/>
      <c r="E11" s="1"/>
    </row>
    <row r="12" spans="1:5" x14ac:dyDescent="0.25">
      <c r="A12" s="22">
        <f>ROW()</f>
        <v>12</v>
      </c>
      <c r="B12" s="28" t="s">
        <v>17</v>
      </c>
      <c r="C12" s="23"/>
      <c r="D12" s="23"/>
      <c r="E12" s="29">
        <v>6.4879999999999998E-3</v>
      </c>
    </row>
    <row r="13" spans="1:5" x14ac:dyDescent="0.25">
      <c r="A13" s="22">
        <f t="shared" ref="A13:A20" si="0">A12+1</f>
        <v>13</v>
      </c>
      <c r="B13" s="28" t="s">
        <v>20</v>
      </c>
      <c r="C13" s="23"/>
      <c r="D13" s="23"/>
      <c r="E13" s="1150">
        <v>5.0000000000000001E-3</v>
      </c>
    </row>
    <row r="14" spans="1:5" x14ac:dyDescent="0.25">
      <c r="A14" s="22">
        <f t="shared" si="0"/>
        <v>14</v>
      </c>
      <c r="B14" s="28" t="str">
        <f>"STATE UTILITY TAX ( "&amp;E14*100&amp;"% - ( LINE "&amp;A12&amp;" * "&amp;E14*100&amp;"% )  )"</f>
        <v>STATE UTILITY TAX ( 3.8483% - ( LINE 12 * 3.8483% )  )</v>
      </c>
      <c r="C14" s="1"/>
      <c r="D14" s="37">
        <v>3.8733999999999998E-2</v>
      </c>
      <c r="E14" s="38">
        <f>ROUND(D14-(D14*E12),6)</f>
        <v>3.8483000000000003E-2</v>
      </c>
    </row>
    <row r="15" spans="1:5" x14ac:dyDescent="0.25">
      <c r="A15" s="22">
        <f t="shared" si="0"/>
        <v>15</v>
      </c>
      <c r="B15" s="28"/>
      <c r="C15" s="23"/>
      <c r="D15" s="23"/>
      <c r="E15" s="41"/>
    </row>
    <row r="16" spans="1:5" x14ac:dyDescent="0.25">
      <c r="A16" s="22">
        <f t="shared" si="0"/>
        <v>16</v>
      </c>
      <c r="B16" s="28" t="s">
        <v>24</v>
      </c>
      <c r="C16" s="23"/>
      <c r="D16" s="23"/>
      <c r="E16" s="45">
        <f>ROUND(SUM(E12:E14),6)</f>
        <v>4.9971000000000002E-2</v>
      </c>
    </row>
    <row r="17" spans="1:5" x14ac:dyDescent="0.25">
      <c r="A17" s="22">
        <f t="shared" si="0"/>
        <v>17</v>
      </c>
      <c r="B17" s="23"/>
      <c r="C17" s="23"/>
      <c r="D17" s="23"/>
      <c r="E17" s="29"/>
    </row>
    <row r="18" spans="1:5" x14ac:dyDescent="0.25">
      <c r="A18" s="22">
        <f t="shared" si="0"/>
        <v>18</v>
      </c>
      <c r="B18" s="23" t="str">
        <f>"CONVERSION FACTOR EXCLUDING FEDERAL INCOME TAX ( 1 - LINE "&amp;$A$17&amp;" )"</f>
        <v>CONVERSION FACTOR EXCLUDING FEDERAL INCOME TAX ( 1 - LINE 17 )</v>
      </c>
      <c r="C18" s="23"/>
      <c r="D18" s="23"/>
      <c r="E18" s="45">
        <f>ROUND(1-E16,6)</f>
        <v>0.95002900000000001</v>
      </c>
    </row>
    <row r="19" spans="1:5" x14ac:dyDescent="0.25">
      <c r="A19" s="22">
        <f t="shared" si="0"/>
        <v>19</v>
      </c>
      <c r="B19" s="28" t="s">
        <v>836</v>
      </c>
      <c r="C19" s="23"/>
      <c r="D19" s="56">
        <v>0.21</v>
      </c>
      <c r="E19" s="45">
        <v>0.19950599999999999</v>
      </c>
    </row>
    <row r="20" spans="1:5" ht="15.75" thickBot="1" x14ac:dyDescent="0.3">
      <c r="A20" s="22">
        <f t="shared" si="0"/>
        <v>20</v>
      </c>
      <c r="B20" s="28" t="str">
        <f>"CONVERSION FACTOR INCL FEDERAL INCOME TAX ( LINE "&amp;A18&amp;" - LINE "&amp;A19&amp;" ) "</f>
        <v xml:space="preserve">CONVERSION FACTOR INCL FEDERAL INCOME TAX ( LINE 18 - LINE 19 ) </v>
      </c>
      <c r="C20" s="23"/>
      <c r="D20" s="23"/>
      <c r="E20" s="59">
        <f>ROUND(1-E19-E16,6)</f>
        <v>0.75052300000000005</v>
      </c>
    </row>
    <row r="21" spans="1:5" ht="15.75" thickTop="1" x14ac:dyDescent="0.25">
      <c r="A21" s="22"/>
    </row>
    <row r="22" spans="1:5" x14ac:dyDescent="0.25">
      <c r="A22" s="65" t="s">
        <v>30</v>
      </c>
      <c r="B22" s="1"/>
      <c r="C22" s="1"/>
      <c r="D22" s="1"/>
      <c r="E22" s="1"/>
    </row>
  </sheetData>
  <pageMargins left="0.7" right="0.7" top="0.75" bottom="0.75" header="0.3" footer="0.3"/>
  <pageSetup scale="90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P302"/>
  <sheetViews>
    <sheetView topLeftCell="UO1" zoomScale="85" zoomScaleNormal="85" workbookViewId="0">
      <pane ySplit="14" topLeftCell="A15" activePane="bottomLeft" state="frozen"/>
      <selection activeCell="H26" sqref="H26"/>
      <selection pane="bottomLeft" activeCell="UW3" sqref="UW3"/>
    </sheetView>
  </sheetViews>
  <sheetFormatPr defaultColWidth="9.42578125" defaultRowHeight="12.75" outlineLevelCol="2" x14ac:dyDescent="0.2"/>
  <cols>
    <col min="1" max="1" width="5.42578125" style="1" customWidth="1"/>
    <col min="2" max="2" width="79.140625" style="1" customWidth="1"/>
    <col min="3" max="3" width="9.28515625" style="1" bestFit="1" customWidth="1"/>
    <col min="4" max="4" width="16.7109375" style="1" bestFit="1" customWidth="1"/>
    <col min="5" max="5" width="15.5703125" style="1" customWidth="1"/>
    <col min="6" max="6" width="15.28515625" style="1" bestFit="1" customWidth="1"/>
    <col min="7" max="7" width="15.7109375" style="1" bestFit="1" customWidth="1"/>
    <col min="8" max="8" width="16.28515625" style="1" bestFit="1" customWidth="1"/>
    <col min="9" max="9" width="15.85546875" style="1" bestFit="1" customWidth="1"/>
    <col min="10" max="10" width="16.28515625" style="1" bestFit="1" customWidth="1"/>
    <col min="11" max="11" width="15.5703125" style="1" bestFit="1" customWidth="1"/>
    <col min="12" max="12" width="16.42578125" style="1" bestFit="1" customWidth="1"/>
    <col min="13" max="13" width="13.5703125" style="1" customWidth="1"/>
    <col min="14" max="14" width="16.5703125" style="1" customWidth="1"/>
    <col min="15" max="15" width="13.5703125" style="1" hidden="1" customWidth="1" outlineLevel="1"/>
    <col min="16" max="16" width="16.42578125" style="1" hidden="1" customWidth="1" outlineLevel="1"/>
    <col min="17" max="17" width="13.5703125" style="1" hidden="1" customWidth="1" outlineLevel="1"/>
    <col min="18" max="18" width="19.7109375" style="1" hidden="1" customWidth="1" outlineLevel="1"/>
    <col min="19" max="19" width="5.42578125" style="1" customWidth="1" collapsed="1"/>
    <col min="20" max="20" width="78.28515625" style="1" customWidth="1"/>
    <col min="21" max="21" width="13.140625" style="1" bestFit="1" customWidth="1"/>
    <col min="22" max="22" width="18" style="1" bestFit="1" customWidth="1"/>
    <col min="23" max="23" width="16.28515625" style="1" bestFit="1" customWidth="1"/>
    <col min="24" max="24" width="14.5703125" style="1" customWidth="1"/>
    <col min="25" max="25" width="14" style="1" customWidth="1"/>
    <col min="26" max="26" width="16.42578125" style="1" customWidth="1"/>
    <col min="27" max="36" width="13.5703125" style="1" hidden="1" customWidth="1" outlineLevel="1"/>
    <col min="37" max="37" width="5.42578125" style="1" customWidth="1" collapsed="1"/>
    <col min="38" max="38" width="55.42578125" style="1" customWidth="1"/>
    <col min="39" max="39" width="11.42578125" style="1" customWidth="1"/>
    <col min="40" max="40" width="16.42578125" style="1" customWidth="1"/>
    <col min="41" max="41" width="15.42578125" style="1" customWidth="1"/>
    <col min="42" max="42" width="21.42578125" style="1" customWidth="1"/>
    <col min="43" max="43" width="15.42578125" style="1" customWidth="1"/>
    <col min="44" max="44" width="17.42578125" style="1" bestFit="1" customWidth="1"/>
    <col min="45" max="45" width="15.42578125" style="1" customWidth="1"/>
    <col min="46" max="46" width="20.5703125" style="1" customWidth="1"/>
    <col min="47" max="47" width="15.42578125" style="1" customWidth="1"/>
    <col min="48" max="48" width="17.42578125" style="1" bestFit="1" customWidth="1"/>
    <col min="49" max="49" width="15.42578125" style="1" customWidth="1"/>
    <col min="50" max="50" width="21.5703125" style="1" bestFit="1" customWidth="1"/>
    <col min="51" max="51" width="15.42578125" style="1" hidden="1" customWidth="1" outlineLevel="1"/>
    <col min="52" max="52" width="21.42578125" style="1" hidden="1" customWidth="1" outlineLevel="1"/>
    <col min="53" max="53" width="5.42578125" style="1" customWidth="1" collapsed="1"/>
    <col min="54" max="54" width="39.5703125" style="1" customWidth="1"/>
    <col min="55" max="55" width="7.42578125" style="1" customWidth="1"/>
    <col min="56" max="58" width="17.5703125" style="1" customWidth="1"/>
    <col min="59" max="59" width="18.5703125" style="1" customWidth="1"/>
    <col min="60" max="66" width="16.42578125" style="1" customWidth="1"/>
    <col min="67" max="70" width="16.42578125" style="1" hidden="1" customWidth="1" outlineLevel="1"/>
    <col min="71" max="71" width="5.42578125" style="1" customWidth="1" collapsed="1"/>
    <col min="72" max="72" width="37.5703125" style="1" customWidth="1"/>
    <col min="73" max="73" width="4.5703125" style="1" customWidth="1"/>
    <col min="74" max="78" width="18.5703125" style="1" customWidth="1"/>
    <col min="79" max="79" width="15" style="102" customWidth="1"/>
    <col min="80" max="80" width="16.28515625" style="102" bestFit="1" customWidth="1"/>
    <col min="81" max="81" width="15.5703125" style="102" customWidth="1"/>
    <col min="82" max="82" width="16.28515625" style="102" bestFit="1" customWidth="1"/>
    <col min="83" max="83" width="15.5703125" style="102" customWidth="1"/>
    <col min="84" max="84" width="21.5703125" style="102" bestFit="1" customWidth="1"/>
    <col min="85" max="85" width="14.5703125" style="102" hidden="1" customWidth="1" outlineLevel="1"/>
    <col min="86" max="86" width="16.42578125" style="102" hidden="1" customWidth="1" outlineLevel="1"/>
    <col min="87" max="87" width="15.5703125" style="102" hidden="1" customWidth="1" outlineLevel="1"/>
    <col min="88" max="88" width="22.5703125" style="102" hidden="1" customWidth="1" outlineLevel="1"/>
    <col min="89" max="89" width="5.42578125" style="102" customWidth="1" collapsed="1"/>
    <col min="90" max="90" width="51.42578125" style="102" customWidth="1"/>
    <col min="91" max="91" width="8.42578125" style="102" customWidth="1"/>
    <col min="92" max="92" width="15.5703125" style="102" customWidth="1"/>
    <col min="93" max="93" width="14.5703125" style="102" customWidth="1"/>
    <col min="94" max="94" width="13.5703125" style="102" customWidth="1"/>
    <col min="95" max="95" width="14.5703125" style="102" hidden="1" customWidth="1" outlineLevel="1"/>
    <col min="96" max="96" width="13.5703125" style="102" hidden="1" customWidth="1" outlineLevel="1"/>
    <col min="97" max="97" width="15" style="102" hidden="1" customWidth="1" outlineLevel="1"/>
    <col min="98" max="98" width="14.42578125" style="102" hidden="1" customWidth="1" outlineLevel="1"/>
    <col min="99" max="99" width="15" style="102" hidden="1" customWidth="1" outlineLevel="1"/>
    <col min="100" max="100" width="14.42578125" style="102" hidden="1" customWidth="1" outlineLevel="1"/>
    <col min="101" max="101" width="15" style="102" hidden="1" customWidth="1" outlineLevel="1"/>
    <col min="102" max="102" width="21.5703125" style="102" hidden="1" customWidth="1" outlineLevel="1"/>
    <col min="103" max="104" width="12.5703125" style="102" hidden="1" customWidth="1" outlineLevel="1"/>
    <col min="105" max="105" width="15" style="102" hidden="1" customWidth="1" outlineLevel="1"/>
    <col min="106" max="106" width="13.5703125" style="102" hidden="1" customWidth="1" outlineLevel="1"/>
    <col min="107" max="107" width="5.42578125" style="102" customWidth="1" collapsed="1"/>
    <col min="108" max="108" width="53.5703125" style="102" customWidth="1"/>
    <col min="109" max="109" width="4.5703125" style="102" customWidth="1"/>
    <col min="110" max="110" width="16.7109375" style="102" bestFit="1" customWidth="1"/>
    <col min="111" max="112" width="12.5703125" style="102" customWidth="1"/>
    <col min="113" max="120" width="12.5703125" style="102" hidden="1" customWidth="1" outlineLevel="1"/>
    <col min="121" max="124" width="12.5703125" style="102" hidden="1" customWidth="1" outlineLevel="2"/>
    <col min="125" max="125" width="5.42578125" style="102" customWidth="1" collapsed="1"/>
    <col min="126" max="126" width="43.42578125" style="102" customWidth="1"/>
    <col min="127" max="127" width="4.5703125" style="102" customWidth="1"/>
    <col min="128" max="128" width="15.5703125" style="102" customWidth="1"/>
    <col min="129" max="129" width="12.5703125" style="102" customWidth="1"/>
    <col min="130" max="130" width="21.42578125" style="102" customWidth="1"/>
    <col min="131" max="131" width="14.5703125" style="102" hidden="1" customWidth="1" outlineLevel="1"/>
    <col min="132" max="132" width="13.5703125" style="102" hidden="1" customWidth="1" outlineLevel="1"/>
    <col min="133" max="133" width="15" style="102" hidden="1" customWidth="1" outlineLevel="1"/>
    <col min="134" max="134" width="13.42578125" style="102" hidden="1" customWidth="1" outlineLevel="1"/>
    <col min="135" max="135" width="15" style="102" hidden="1" customWidth="1" outlineLevel="1"/>
    <col min="136" max="136" width="13.42578125" style="102" hidden="1" customWidth="1" outlineLevel="1"/>
    <col min="137" max="137" width="15" style="102" hidden="1" customWidth="1" outlineLevel="1"/>
    <col min="138" max="138" width="13.42578125" style="102" hidden="1" customWidth="1" outlineLevel="1"/>
    <col min="139" max="140" width="13.42578125" style="102" hidden="1" customWidth="1" outlineLevel="2"/>
    <col min="141" max="141" width="15" style="102" hidden="1" customWidth="1" outlineLevel="2"/>
    <col min="142" max="142" width="15.5703125" style="102" hidden="1" customWidth="1" outlineLevel="2"/>
    <col min="143" max="143" width="7.42578125" style="102" customWidth="1" collapsed="1"/>
    <col min="144" max="144" width="31.42578125" style="102" customWidth="1"/>
    <col min="145" max="145" width="7.5703125" style="102" bestFit="1" customWidth="1"/>
    <col min="146" max="146" width="16.5703125" style="102" bestFit="1" customWidth="1"/>
    <col min="147" max="147" width="14.5703125" style="102" customWidth="1"/>
    <col min="148" max="148" width="14.5703125" style="102" bestFit="1" customWidth="1"/>
    <col min="149" max="149" width="12.5703125" style="102" customWidth="1"/>
    <col min="150" max="150" width="14.42578125" style="102" customWidth="1"/>
    <col min="151" max="151" width="12.5703125" style="102" hidden="1" customWidth="1" outlineLevel="1"/>
    <col min="152" max="152" width="13.5703125" style="102" hidden="1" customWidth="1" outlineLevel="1"/>
    <col min="153" max="153" width="12.5703125" style="102" hidden="1" customWidth="1" outlineLevel="1"/>
    <col min="154" max="154" width="13.5703125" style="102" hidden="1" customWidth="1" outlineLevel="1"/>
    <col min="155" max="155" width="12.5703125" style="102" hidden="1" customWidth="1" outlineLevel="1"/>
    <col min="156" max="156" width="13.5703125" style="102" hidden="1" customWidth="1" outlineLevel="1"/>
    <col min="157" max="157" width="12.5703125" style="102" hidden="1" customWidth="1" outlineLevel="1"/>
    <col min="158" max="158" width="13.5703125" style="102" hidden="1" customWidth="1" outlineLevel="1"/>
    <col min="159" max="159" width="12.5703125" style="102" hidden="1" customWidth="1" outlineLevel="1"/>
    <col min="160" max="160" width="21.5703125" style="102" hidden="1" customWidth="1" outlineLevel="1"/>
    <col min="161" max="161" width="5.42578125" style="102" customWidth="1" collapsed="1"/>
    <col min="162" max="162" width="55.42578125" style="102" customWidth="1"/>
    <col min="163" max="163" width="4.5703125" style="102" customWidth="1"/>
    <col min="164" max="164" width="15.5703125" style="102" customWidth="1"/>
    <col min="165" max="165" width="12.5703125" style="102" customWidth="1"/>
    <col min="166" max="166" width="13.42578125" style="102" customWidth="1"/>
    <col min="167" max="177" width="12.5703125" style="102" hidden="1" customWidth="1" outlineLevel="1"/>
    <col min="178" max="178" width="13.42578125" style="1" hidden="1" customWidth="1" outlineLevel="1"/>
    <col min="179" max="179" width="5.42578125" style="1" customWidth="1" collapsed="1"/>
    <col min="180" max="180" width="41.42578125" style="1" customWidth="1"/>
    <col min="181" max="181" width="4.42578125" style="1" customWidth="1"/>
    <col min="182" max="182" width="16.42578125" style="1" customWidth="1"/>
    <col min="183" max="183" width="16.5703125" style="1" customWidth="1"/>
    <col min="184" max="184" width="17.5703125" style="1" customWidth="1"/>
    <col min="185" max="185" width="17.42578125" style="1" customWidth="1"/>
    <col min="186" max="192" width="14.5703125" style="1" customWidth="1"/>
    <col min="193" max="196" width="14.5703125" style="1" hidden="1" customWidth="1" outlineLevel="1"/>
    <col min="197" max="197" width="5.42578125" style="1" customWidth="1" collapsed="1"/>
    <col min="198" max="198" width="50.42578125" style="1" customWidth="1"/>
    <col min="199" max="202" width="14.5703125" style="1" customWidth="1"/>
    <col min="203" max="214" width="14.5703125" style="1" hidden="1" customWidth="1" outlineLevel="1"/>
    <col min="215" max="215" width="5.42578125" style="1" customWidth="1" collapsed="1"/>
    <col min="216" max="220" width="14.5703125" style="1" customWidth="1"/>
    <col min="221" max="232" width="14.5703125" style="1" hidden="1" customWidth="1" outlineLevel="1"/>
    <col min="233" max="233" width="5.42578125" style="1" customWidth="1" collapsed="1"/>
    <col min="234" max="234" width="31.5703125" style="1" customWidth="1"/>
    <col min="235" max="235" width="4.5703125" style="1" customWidth="1"/>
    <col min="236" max="238" width="14.5703125" style="1" customWidth="1"/>
    <col min="239" max="250" width="14.5703125" style="1" hidden="1" customWidth="1" outlineLevel="1"/>
    <col min="251" max="251" width="9" style="1" customWidth="1" collapsed="1"/>
    <col min="252" max="252" width="60.5703125" style="1" customWidth="1"/>
    <col min="253" max="253" width="4.5703125" style="1" customWidth="1"/>
    <col min="254" max="256" width="14.5703125" style="1" customWidth="1"/>
    <col min="257" max="268" width="14.5703125" style="1" hidden="1" customWidth="1" outlineLevel="1"/>
    <col min="269" max="269" width="5.42578125" style="1" customWidth="1" collapsed="1"/>
    <col min="270" max="270" width="50.42578125" style="1" customWidth="1"/>
    <col min="271" max="271" width="6" style="1" customWidth="1"/>
    <col min="272" max="274" width="17.5703125" style="1" customWidth="1"/>
    <col min="275" max="286" width="17.5703125" style="1" hidden="1" customWidth="1" outlineLevel="1"/>
    <col min="287" max="287" width="5.42578125" style="1" customWidth="1" collapsed="1"/>
    <col min="288" max="288" width="46.42578125" style="1" customWidth="1"/>
    <col min="289" max="289" width="5.5703125" style="1" customWidth="1"/>
    <col min="290" max="292" width="14.5703125" style="1" customWidth="1"/>
    <col min="293" max="304" width="14.5703125" style="1" hidden="1" customWidth="1" outlineLevel="1"/>
    <col min="305" max="305" width="5" style="1" customWidth="1" collapsed="1"/>
    <col min="306" max="306" width="33.5703125" style="1" customWidth="1"/>
    <col min="307" max="307" width="9.5703125" style="1" customWidth="1"/>
    <col min="308" max="308" width="17.5703125" style="1" customWidth="1"/>
    <col min="309" max="309" width="18.5703125" style="1" customWidth="1"/>
    <col min="310" max="310" width="15.42578125" style="1" customWidth="1"/>
    <col min="311" max="311" width="14" style="1" hidden="1" customWidth="1" outlineLevel="1"/>
    <col min="312" max="322" width="18.42578125" style="1" hidden="1" customWidth="1" outlineLevel="1"/>
    <col min="323" max="323" width="5.5703125" style="1" customWidth="1" collapsed="1"/>
    <col min="324" max="324" width="41.5703125" style="1" customWidth="1"/>
    <col min="325" max="325" width="5" style="1" customWidth="1"/>
    <col min="326" max="328" width="19.42578125" style="1" customWidth="1"/>
    <col min="329" max="329" width="19.42578125" style="1" hidden="1" customWidth="1" outlineLevel="1"/>
    <col min="330" max="330" width="17.42578125" style="1" hidden="1" customWidth="1" outlineLevel="1"/>
    <col min="331" max="331" width="14.5703125" style="1" hidden="1" customWidth="1" outlineLevel="1"/>
    <col min="332" max="332" width="17.42578125" style="1" hidden="1" customWidth="1" outlineLevel="1"/>
    <col min="333" max="333" width="15.5703125" style="1" hidden="1" customWidth="1" outlineLevel="1"/>
    <col min="334" max="334" width="17.42578125" style="1" hidden="1" customWidth="1" outlineLevel="1"/>
    <col min="335" max="335" width="15.5703125" style="1" hidden="1" customWidth="1" outlineLevel="1"/>
    <col min="336" max="336" width="22.5703125" style="1" hidden="1" customWidth="1" outlineLevel="1"/>
    <col min="337" max="338" width="15.42578125" style="1" hidden="1" customWidth="1" outlineLevel="1"/>
    <col min="339" max="339" width="15.5703125" style="1" hidden="1" customWidth="1" outlineLevel="1"/>
    <col min="340" max="340" width="13.5703125" style="1" hidden="1" customWidth="1" outlineLevel="1"/>
    <col min="341" max="341" width="5.5703125" style="1" customWidth="1" collapsed="1"/>
    <col min="342" max="342" width="58.5703125" style="1" customWidth="1"/>
    <col min="343" max="343" width="6.5703125" style="1" customWidth="1"/>
    <col min="344" max="346" width="16.5703125" style="1" customWidth="1"/>
    <col min="347" max="347" width="16.5703125" style="1" hidden="1" customWidth="1" outlineLevel="1"/>
    <col min="348" max="348" width="15.42578125" style="1" hidden="1" customWidth="1" outlineLevel="1"/>
    <col min="349" max="349" width="13.42578125" style="1" hidden="1" customWidth="1" outlineLevel="1"/>
    <col min="350" max="350" width="15.42578125" style="1" hidden="1" customWidth="1" outlineLevel="1"/>
    <col min="351" max="351" width="15.7109375" style="1" hidden="1" customWidth="1" outlineLevel="1"/>
    <col min="352" max="352" width="15.42578125" style="1" hidden="1" customWidth="1" outlineLevel="1"/>
    <col min="353" max="353" width="13.42578125" style="1" hidden="1" customWidth="1" outlineLevel="1"/>
    <col min="354" max="354" width="22.5703125" style="1" hidden="1" customWidth="1" outlineLevel="1"/>
    <col min="355" max="358" width="13.42578125" style="1" hidden="1" customWidth="1" outlineLevel="1"/>
    <col min="359" max="359" width="5.42578125" style="1" customWidth="1" collapsed="1"/>
    <col min="360" max="360" width="45.85546875" style="1" customWidth="1"/>
    <col min="361" max="361" width="5.5703125" style="1" customWidth="1"/>
    <col min="362" max="364" width="13.42578125" style="1" customWidth="1"/>
    <col min="365" max="376" width="13.42578125" style="1" hidden="1" customWidth="1" outlineLevel="1"/>
    <col min="377" max="377" width="5.42578125" style="1" customWidth="1" collapsed="1"/>
    <col min="378" max="378" width="42.5703125" style="1" customWidth="1"/>
    <col min="379" max="379" width="4.5703125" style="1" customWidth="1"/>
    <col min="380" max="380" width="16.5703125" style="1" bestFit="1" customWidth="1"/>
    <col min="381" max="381" width="15.5703125" style="1" bestFit="1" customWidth="1"/>
    <col min="382" max="382" width="15.42578125" style="1" bestFit="1" customWidth="1"/>
    <col min="383" max="383" width="15.5703125" style="1" bestFit="1" customWidth="1"/>
    <col min="384" max="384" width="15.42578125" style="1" bestFit="1" customWidth="1"/>
    <col min="385" max="385" width="15.7109375" style="1" bestFit="1" customWidth="1"/>
    <col min="386" max="386" width="15.42578125" style="1" bestFit="1" customWidth="1"/>
    <col min="387" max="387" width="15.7109375" style="1" bestFit="1" customWidth="1"/>
    <col min="388" max="388" width="15.42578125" style="1" bestFit="1" customWidth="1"/>
    <col min="389" max="389" width="15.7109375" style="1" bestFit="1" customWidth="1"/>
    <col min="390" max="390" width="15.42578125" style="1" bestFit="1" customWidth="1"/>
    <col min="391" max="391" width="15.7109375" style="1" hidden="1" customWidth="1" outlineLevel="1"/>
    <col min="392" max="392" width="15.42578125" style="1" hidden="1" customWidth="1" outlineLevel="1"/>
    <col min="393" max="393" width="15.7109375" style="1" hidden="1" customWidth="1" outlineLevel="1"/>
    <col min="394" max="394" width="22.5703125" style="1" hidden="1" customWidth="1" outlineLevel="1"/>
    <col min="395" max="395" width="5.42578125" style="1" customWidth="1" collapsed="1"/>
    <col min="396" max="396" width="44.5703125" style="1" customWidth="1"/>
    <col min="397" max="397" width="13.42578125" style="1" customWidth="1"/>
    <col min="398" max="398" width="15.5703125" style="1" customWidth="1"/>
    <col min="399" max="399" width="13.42578125" style="1" customWidth="1"/>
    <col min="400" max="400" width="15.42578125" style="1" customWidth="1"/>
    <col min="401" max="401" width="13.42578125" style="1" customWidth="1"/>
    <col min="402" max="402" width="15.42578125" style="1" customWidth="1"/>
    <col min="403" max="403" width="13.42578125" style="1" hidden="1" customWidth="1" outlineLevel="1"/>
    <col min="404" max="404" width="15.42578125" style="1" hidden="1" customWidth="1" outlineLevel="1"/>
    <col min="405" max="405" width="16" style="1" hidden="1" customWidth="1" outlineLevel="1"/>
    <col min="406" max="406" width="15.42578125" style="1" hidden="1" customWidth="1" outlineLevel="1"/>
    <col min="407" max="407" width="16" style="1" hidden="1" customWidth="1" outlineLevel="1"/>
    <col min="408" max="410" width="15.42578125" style="1" hidden="1" customWidth="1" outlineLevel="1"/>
    <col min="411" max="411" width="15.5703125" style="1" hidden="1" customWidth="1" outlineLevel="1"/>
    <col min="412" max="412" width="15.42578125" style="1" hidden="1" customWidth="1" outlineLevel="1"/>
    <col min="413" max="413" width="6.5703125" style="1" bestFit="1" customWidth="1" collapsed="1"/>
    <col min="414" max="414" width="71.5703125" style="1" bestFit="1" customWidth="1"/>
    <col min="415" max="415" width="10" style="1" customWidth="1"/>
    <col min="416" max="416" width="16.42578125" style="1" bestFit="1" customWidth="1"/>
    <col min="417" max="417" width="15.5703125" style="1" bestFit="1" customWidth="1"/>
    <col min="418" max="419" width="15.28515625" style="1" bestFit="1" customWidth="1"/>
    <col min="420" max="420" width="15.7109375" style="1" bestFit="1" customWidth="1"/>
    <col min="421" max="421" width="13.42578125" style="1" customWidth="1"/>
    <col min="422" max="422" width="15.7109375" style="1" bestFit="1" customWidth="1"/>
    <col min="423" max="423" width="15.5703125" style="1" bestFit="1" customWidth="1"/>
    <col min="424" max="424" width="16.5703125" style="1" bestFit="1" customWidth="1"/>
    <col min="425" max="425" width="15.5703125" style="1" bestFit="1" customWidth="1"/>
    <col min="426" max="426" width="17.5703125" style="1" bestFit="1" customWidth="1"/>
    <col min="427" max="428" width="17.5703125" style="1" hidden="1" customWidth="1" outlineLevel="1"/>
    <col min="429" max="429" width="13.42578125" style="1" hidden="1" customWidth="1" outlineLevel="1"/>
    <col min="430" max="430" width="17.42578125" style="1" hidden="1" customWidth="1" outlineLevel="1"/>
    <col min="431" max="434" width="13.42578125" style="1" hidden="1" customWidth="1" outlineLevel="1"/>
    <col min="435" max="435" width="5.42578125" style="1" bestFit="1" customWidth="1" collapsed="1"/>
    <col min="436" max="436" width="87.42578125" style="1" customWidth="1"/>
    <col min="437" max="437" width="4.5703125" style="1" bestFit="1" customWidth="1"/>
    <col min="438" max="438" width="14.42578125" style="1" bestFit="1" customWidth="1"/>
    <col min="439" max="439" width="12.5703125" style="1" bestFit="1" customWidth="1"/>
    <col min="440" max="440" width="14.42578125" style="1" bestFit="1" customWidth="1"/>
    <col min="441" max="441" width="12.5703125" style="1" bestFit="1" customWidth="1"/>
    <col min="442" max="444" width="14.42578125" style="1" customWidth="1"/>
    <col min="445" max="445" width="15.5703125" style="1" bestFit="1" customWidth="1"/>
    <col min="446" max="448" width="14.42578125" style="1" customWidth="1"/>
    <col min="449" max="452" width="14.42578125" style="1" hidden="1" customWidth="1" outlineLevel="1"/>
    <col min="453" max="453" width="6" style="102" bestFit="1" customWidth="1" collapsed="1"/>
    <col min="454" max="454" width="38.5703125" style="102" bestFit="1" customWidth="1"/>
    <col min="455" max="455" width="4.5703125" style="102" bestFit="1" customWidth="1"/>
    <col min="456" max="456" width="17.5703125" style="102" bestFit="1" customWidth="1"/>
    <col min="457" max="457" width="16.42578125" style="102" bestFit="1" customWidth="1"/>
    <col min="458" max="458" width="14.5703125" style="102" bestFit="1" customWidth="1"/>
    <col min="459" max="459" width="16.42578125" style="102" bestFit="1" customWidth="1"/>
    <col min="460" max="460" width="16" style="102" bestFit="1" customWidth="1"/>
    <col min="461" max="465" width="17.42578125" style="102" bestFit="1" customWidth="1"/>
    <col min="466" max="466" width="17.42578125" style="102" customWidth="1"/>
    <col min="467" max="469" width="17.42578125" style="102" hidden="1" customWidth="1" outlineLevel="1"/>
    <col min="470" max="470" width="25.42578125" style="102" hidden="1" customWidth="1" outlineLevel="1"/>
    <col min="471" max="471" width="9.42578125" style="102" bestFit="1" customWidth="1" collapsed="1"/>
    <col min="472" max="472" width="66.42578125" style="102" bestFit="1" customWidth="1"/>
    <col min="473" max="473" width="5" style="102" bestFit="1" customWidth="1"/>
    <col min="474" max="474" width="17.5703125" style="102" bestFit="1" customWidth="1"/>
    <col min="475" max="475" width="16.42578125" style="102" bestFit="1" customWidth="1"/>
    <col min="476" max="476" width="17.42578125" style="102" bestFit="1" customWidth="1"/>
    <col min="477" max="477" width="16.5703125" style="102" bestFit="1" customWidth="1"/>
    <col min="478" max="478" width="17.42578125" style="102" bestFit="1" customWidth="1"/>
    <col min="479" max="479" width="16.5703125" style="102" bestFit="1" customWidth="1"/>
    <col min="480" max="480" width="17.42578125" style="102" bestFit="1" customWidth="1"/>
    <col min="481" max="481" width="16.5703125" style="102" bestFit="1" customWidth="1"/>
    <col min="482" max="482" width="18.42578125" style="102" bestFit="1" customWidth="1"/>
    <col min="483" max="483" width="16.5703125" style="102" bestFit="1" customWidth="1"/>
    <col min="484" max="484" width="18.42578125" style="102" bestFit="1" customWidth="1"/>
    <col min="485" max="486" width="18.42578125" style="102" hidden="1" customWidth="1" outlineLevel="1"/>
    <col min="487" max="487" width="16.5703125" style="102" hidden="1" customWidth="1" outlineLevel="1"/>
    <col min="488" max="488" width="18.42578125" style="102" hidden="1" customWidth="1" outlineLevel="1"/>
    <col min="489" max="489" width="6" style="102" bestFit="1" customWidth="1" collapsed="1"/>
    <col min="490" max="490" width="61.42578125" style="102" customWidth="1"/>
    <col min="491" max="491" width="4.5703125" style="102" bestFit="1" customWidth="1"/>
    <col min="492" max="492" width="17.5703125" style="102" bestFit="1" customWidth="1"/>
    <col min="493" max="493" width="16.42578125" style="102" bestFit="1" customWidth="1"/>
    <col min="494" max="494" width="14.5703125" style="1" bestFit="1" customWidth="1"/>
    <col min="495" max="495" width="16.42578125" style="1" bestFit="1" customWidth="1"/>
    <col min="496" max="496" width="14.5703125" style="1" bestFit="1" customWidth="1"/>
    <col min="497" max="497" width="16.42578125" style="1" bestFit="1" customWidth="1"/>
    <col min="498" max="498" width="14.5703125" style="1" bestFit="1" customWidth="1"/>
    <col min="499" max="499" width="16.42578125" style="1" bestFit="1" customWidth="1"/>
    <col min="500" max="500" width="16" style="1" bestFit="1" customWidth="1"/>
    <col min="501" max="501" width="16.42578125" style="1" bestFit="1" customWidth="1"/>
    <col min="502" max="502" width="16" style="1" bestFit="1" customWidth="1"/>
    <col min="503" max="504" width="16" style="1" hidden="1" customWidth="1" outlineLevel="1"/>
    <col min="505" max="505" width="16.42578125" style="1" hidden="1" customWidth="1" outlineLevel="1"/>
    <col min="506" max="506" width="14.5703125" style="1" hidden="1" customWidth="1" outlineLevel="1"/>
    <col min="507" max="507" width="6" style="102" bestFit="1" customWidth="1" collapsed="1"/>
    <col min="508" max="508" width="54.42578125" style="102" bestFit="1" customWidth="1"/>
    <col min="509" max="509" width="5" style="102" bestFit="1" customWidth="1"/>
    <col min="510" max="510" width="17.5703125" style="102" bestFit="1" customWidth="1"/>
    <col min="511" max="511" width="16.42578125" style="102" bestFit="1" customWidth="1"/>
    <col min="512" max="512" width="14.5703125" style="102" bestFit="1" customWidth="1"/>
    <col min="513" max="517" width="16.42578125" style="102" bestFit="1" customWidth="1"/>
    <col min="518" max="518" width="18" style="102" bestFit="1" customWidth="1"/>
    <col min="519" max="519" width="16.42578125" style="102" bestFit="1" customWidth="1"/>
    <col min="520" max="520" width="18" style="102" bestFit="1" customWidth="1"/>
    <col min="521" max="522" width="18" style="102" hidden="1" customWidth="1" outlineLevel="1"/>
    <col min="523" max="523" width="17.42578125" style="102" hidden="1" customWidth="1" outlineLevel="1"/>
    <col min="524" max="524" width="18" style="102" hidden="1" customWidth="1" outlineLevel="1"/>
    <col min="525" max="525" width="9.42578125" style="1" collapsed="1"/>
    <col min="526" max="526" width="6" style="102" bestFit="1" customWidth="1" collapsed="1"/>
    <col min="527" max="527" width="54.42578125" style="102" bestFit="1" customWidth="1"/>
    <col min="528" max="528" width="9.7109375" style="102" bestFit="1" customWidth="1"/>
    <col min="529" max="529" width="17.5703125" style="102" bestFit="1" customWidth="1"/>
    <col min="530" max="530" width="16.42578125" style="102" bestFit="1" customWidth="1"/>
    <col min="531" max="531" width="14.5703125" style="102" bestFit="1" customWidth="1"/>
    <col min="532" max="536" width="16.42578125" style="102" hidden="1" customWidth="1" outlineLevel="1"/>
    <col min="537" max="537" width="18" style="102" hidden="1" customWidth="1" outlineLevel="1"/>
    <col min="538" max="538" width="16.42578125" style="102" hidden="1" customWidth="1" outlineLevel="1"/>
    <col min="539" max="539" width="18" style="102" hidden="1" customWidth="1" outlineLevel="1"/>
    <col min="540" max="540" width="5" style="1" customWidth="1" collapsed="1"/>
    <col min="541" max="541" width="9.42578125" style="1"/>
    <col min="542" max="542" width="49.5703125" style="1" customWidth="1"/>
    <col min="543" max="543" width="4.7109375" style="1" bestFit="1" customWidth="1"/>
    <col min="544" max="544" width="16.7109375" style="1" bestFit="1" customWidth="1"/>
    <col min="545" max="545" width="15.7109375" style="1" bestFit="1" customWidth="1"/>
    <col min="546" max="546" width="14.5703125" style="1" bestFit="1" customWidth="1"/>
    <col min="547" max="547" width="15.7109375" style="1" bestFit="1" customWidth="1"/>
    <col min="548" max="548" width="14.5703125" style="1" bestFit="1" customWidth="1"/>
    <col min="549" max="549" width="15.7109375" style="1" bestFit="1" customWidth="1"/>
    <col min="550" max="550" width="13.7109375" style="1" bestFit="1" customWidth="1"/>
    <col min="551" max="551" width="15.7109375" style="1" bestFit="1" customWidth="1"/>
    <col min="552" max="552" width="13.7109375" style="1" bestFit="1" customWidth="1"/>
    <col min="553" max="553" width="15.7109375" style="1" bestFit="1" customWidth="1"/>
    <col min="554" max="554" width="21.140625" style="1" customWidth="1"/>
    <col min="555" max="555" width="9.42578125" style="1"/>
    <col min="556" max="556" width="6" style="102" bestFit="1" customWidth="1" collapsed="1"/>
    <col min="557" max="557" width="27.7109375" style="102" bestFit="1" customWidth="1"/>
    <col min="558" max="558" width="9.7109375" style="102" bestFit="1" customWidth="1"/>
    <col min="559" max="559" width="17.5703125" style="102" bestFit="1" customWidth="1"/>
    <col min="560" max="560" width="16.42578125" style="102" bestFit="1" customWidth="1"/>
    <col min="561" max="561" width="14.5703125" style="102" bestFit="1" customWidth="1"/>
    <col min="562" max="566" width="16.42578125" style="102" bestFit="1" customWidth="1"/>
    <col min="567" max="567" width="18" style="102" bestFit="1" customWidth="1"/>
    <col min="568" max="568" width="16.42578125" style="102" bestFit="1" customWidth="1"/>
    <col min="569" max="569" width="18" style="102" bestFit="1" customWidth="1"/>
    <col min="570" max="570" width="3.42578125" style="1" customWidth="1"/>
    <col min="571" max="571" width="6" style="1" bestFit="1" customWidth="1"/>
    <col min="572" max="572" width="49.5703125" style="1" bestFit="1" customWidth="1"/>
    <col min="573" max="573" width="9.7109375" style="1" bestFit="1" customWidth="1"/>
    <col min="574" max="574" width="17.5703125" style="1" bestFit="1" customWidth="1"/>
    <col min="575" max="575" width="16.42578125" style="1" bestFit="1" customWidth="1"/>
    <col min="576" max="576" width="14.5703125" style="1" bestFit="1" customWidth="1"/>
    <col min="577" max="581" width="16.42578125" style="1" bestFit="1" customWidth="1"/>
    <col min="582" max="582" width="18" style="1" bestFit="1" customWidth="1"/>
    <col min="583" max="583" width="16.42578125" style="1" bestFit="1" customWidth="1"/>
    <col min="584" max="584" width="18" style="1" bestFit="1" customWidth="1"/>
    <col min="585" max="585" width="3.42578125" style="1" customWidth="1"/>
    <col min="586" max="586" width="6" style="1" bestFit="1" customWidth="1"/>
    <col min="587" max="587" width="42.85546875" style="1" customWidth="1"/>
    <col min="588" max="588" width="4.7109375" style="1" bestFit="1" customWidth="1"/>
    <col min="589" max="589" width="17.5703125" style="1" bestFit="1" customWidth="1"/>
    <col min="590" max="590" width="16.42578125" style="1" bestFit="1" customWidth="1"/>
    <col min="591" max="591" width="14.5703125" style="1" bestFit="1" customWidth="1"/>
    <col min="592" max="596" width="16.42578125" style="1" bestFit="1" customWidth="1"/>
    <col min="597" max="597" width="18" style="1" bestFit="1" customWidth="1"/>
    <col min="598" max="598" width="16.42578125" style="1" bestFit="1" customWidth="1"/>
    <col min="599" max="599" width="18" style="1" bestFit="1" customWidth="1"/>
    <col min="600" max="600" width="9.42578125" style="1"/>
    <col min="601" max="601" width="6" style="1" bestFit="1" customWidth="1"/>
    <col min="602" max="602" width="42.85546875" style="1" customWidth="1"/>
    <col min="603" max="603" width="4.7109375" style="1" bestFit="1" customWidth="1"/>
    <col min="604" max="604" width="17.5703125" style="1" bestFit="1" customWidth="1"/>
    <col min="605" max="605" width="16.42578125" style="1" bestFit="1" customWidth="1"/>
    <col min="606" max="606" width="14.5703125" style="1" bestFit="1" customWidth="1"/>
    <col min="607" max="611" width="16.42578125" style="1" bestFit="1" customWidth="1"/>
    <col min="612" max="612" width="18" style="1" bestFit="1" customWidth="1"/>
    <col min="613" max="613" width="16.42578125" style="1" bestFit="1" customWidth="1"/>
    <col min="614" max="614" width="18" style="1" bestFit="1" customWidth="1"/>
    <col min="615" max="16384" width="9.42578125" style="1"/>
  </cols>
  <sheetData>
    <row r="1" spans="1:614" ht="13.5" thickBot="1" x14ac:dyDescent="0.25">
      <c r="V1" s="466">
        <f>V66+V77</f>
        <v>0</v>
      </c>
      <c r="W1" s="466">
        <f>W66+W77+W78</f>
        <v>0</v>
      </c>
      <c r="X1" s="466">
        <f>X66+X77+X78</f>
        <v>0</v>
      </c>
      <c r="AN1" s="102"/>
      <c r="AO1" s="102"/>
      <c r="AP1" s="102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RZ1" s="102"/>
      <c r="SA1" s="102"/>
      <c r="SB1" s="102"/>
      <c r="SC1" s="102"/>
      <c r="SD1" s="102"/>
      <c r="SE1" s="102"/>
      <c r="SF1" s="102"/>
      <c r="SG1" s="102"/>
      <c r="SH1" s="102"/>
      <c r="SI1" s="102"/>
      <c r="SJ1" s="102"/>
      <c r="SK1" s="102"/>
      <c r="SL1" s="102"/>
      <c r="TU1" s="102"/>
      <c r="TV1" s="102"/>
      <c r="TW1" s="102"/>
      <c r="TX1" s="102"/>
      <c r="TY1" s="102"/>
      <c r="TZ1" s="102"/>
      <c r="UA1" s="102"/>
      <c r="UB1" s="102"/>
      <c r="UC1" s="102"/>
      <c r="UD1" s="102"/>
      <c r="UE1" s="102"/>
      <c r="UF1" s="102"/>
      <c r="UG1" s="102"/>
      <c r="UH1" s="102"/>
      <c r="UY1" s="102"/>
      <c r="UZ1" s="102"/>
      <c r="VA1" s="102"/>
      <c r="VB1" s="102"/>
      <c r="VC1" s="102"/>
      <c r="VD1" s="102"/>
      <c r="VE1" s="102"/>
      <c r="VF1" s="102"/>
      <c r="VG1" s="102"/>
      <c r="VH1" s="102"/>
      <c r="VI1" s="102"/>
      <c r="VJ1" s="102"/>
      <c r="VK1" s="102"/>
      <c r="VL1" s="102"/>
      <c r="VN1" s="102"/>
      <c r="VO1" s="102"/>
      <c r="VP1" s="102"/>
      <c r="VQ1" s="102"/>
      <c r="VR1" s="102"/>
      <c r="VS1" s="102"/>
      <c r="VT1" s="102"/>
      <c r="VU1" s="102"/>
      <c r="VV1" s="102"/>
      <c r="VW1" s="102"/>
      <c r="VX1" s="102"/>
      <c r="VY1" s="102"/>
      <c r="VZ1" s="102"/>
      <c r="WA1" s="102"/>
      <c r="WC1" s="102"/>
      <c r="WD1" s="102"/>
      <c r="WE1" s="102"/>
      <c r="WF1" s="102"/>
      <c r="WG1" s="102"/>
      <c r="WH1" s="102"/>
      <c r="WI1" s="102"/>
      <c r="WJ1" s="102"/>
      <c r="WK1" s="102"/>
      <c r="WL1" s="102"/>
      <c r="WM1" s="102"/>
      <c r="WN1" s="102"/>
      <c r="WO1" s="102"/>
      <c r="WP1" s="102"/>
    </row>
    <row r="2" spans="1:614" s="102" customFormat="1" x14ac:dyDescent="0.2">
      <c r="A2" s="1"/>
      <c r="B2" s="1"/>
      <c r="C2" s="1"/>
      <c r="D2" s="1"/>
      <c r="E2" s="1"/>
      <c r="F2" s="1"/>
      <c r="G2" s="1"/>
      <c r="H2" s="1"/>
      <c r="I2" s="467"/>
      <c r="J2" s="467"/>
      <c r="K2" s="467"/>
      <c r="L2" s="1"/>
      <c r="M2" s="468"/>
      <c r="N2" s="469" t="s">
        <v>174</v>
      </c>
      <c r="O2" s="467"/>
      <c r="P2" s="467"/>
      <c r="Q2" s="1"/>
      <c r="R2" s="1"/>
      <c r="S2" s="1"/>
      <c r="T2" s="1"/>
      <c r="U2" s="1"/>
      <c r="Y2" s="468"/>
      <c r="Z2" s="469" t="s">
        <v>174</v>
      </c>
      <c r="AI2" s="1"/>
      <c r="AJ2" s="1"/>
      <c r="AQ2" s="1"/>
      <c r="AR2" s="1"/>
      <c r="AW2" s="468"/>
      <c r="AX2" s="469" t="s">
        <v>174</v>
      </c>
      <c r="AY2" s="1"/>
      <c r="AZ2" s="1"/>
      <c r="BM2" s="468"/>
      <c r="BN2" s="469" t="s">
        <v>174</v>
      </c>
      <c r="BQ2" s="1"/>
      <c r="BR2" s="1"/>
      <c r="CE2" s="468"/>
      <c r="CF2" s="469" t="s">
        <v>174</v>
      </c>
      <c r="CO2" s="468"/>
      <c r="CP2" s="469" t="s">
        <v>174</v>
      </c>
      <c r="DG2" s="468"/>
      <c r="DH2" s="469" t="s">
        <v>174</v>
      </c>
      <c r="DY2" s="468"/>
      <c r="DZ2" s="469" t="s">
        <v>174</v>
      </c>
      <c r="ES2" s="468"/>
      <c r="ET2" s="469" t="s">
        <v>174</v>
      </c>
      <c r="FI2" s="468"/>
      <c r="FJ2" s="469" t="s">
        <v>174</v>
      </c>
      <c r="FV2" s="1"/>
      <c r="GI2" s="468"/>
      <c r="GJ2" s="469" t="s">
        <v>174</v>
      </c>
      <c r="GM2" s="1"/>
      <c r="GN2" s="1"/>
      <c r="GS2" s="468"/>
      <c r="GT2" s="469" t="s">
        <v>174</v>
      </c>
      <c r="HE2" s="1"/>
      <c r="HF2" s="1"/>
      <c r="HK2" s="468"/>
      <c r="HL2" s="469" t="s">
        <v>174</v>
      </c>
      <c r="HW2" s="1"/>
      <c r="HX2" s="1"/>
      <c r="IC2" s="468"/>
      <c r="ID2" s="469" t="s">
        <v>174</v>
      </c>
      <c r="IO2" s="1"/>
      <c r="IP2" s="1"/>
      <c r="IU2" s="468"/>
      <c r="IV2" s="469" t="s">
        <v>174</v>
      </c>
      <c r="JG2" s="1"/>
      <c r="JH2" s="1"/>
      <c r="JM2" s="468"/>
      <c r="JN2" s="469" t="s">
        <v>174</v>
      </c>
      <c r="JY2" s="1"/>
      <c r="JZ2" s="1"/>
      <c r="KE2" s="468"/>
      <c r="KF2" s="469" t="s">
        <v>174</v>
      </c>
      <c r="KQ2" s="1"/>
      <c r="KR2" s="1"/>
      <c r="KW2" s="468"/>
      <c r="KX2" s="469" t="s">
        <v>174</v>
      </c>
      <c r="LI2" s="1"/>
      <c r="LJ2" s="1"/>
      <c r="LO2" s="468"/>
      <c r="LP2" s="469" t="s">
        <v>174</v>
      </c>
      <c r="MA2" s="1"/>
      <c r="MB2" s="1"/>
      <c r="MG2" s="468"/>
      <c r="MH2" s="469" t="s">
        <v>174</v>
      </c>
      <c r="MS2" s="1"/>
      <c r="MT2" s="1"/>
      <c r="MY2" s="468"/>
      <c r="MZ2" s="469" t="s">
        <v>174</v>
      </c>
      <c r="NK2" s="1"/>
      <c r="NL2" s="1"/>
      <c r="NY2" s="468"/>
      <c r="NZ2" s="469" t="s">
        <v>174</v>
      </c>
      <c r="OC2" s="1"/>
      <c r="OD2" s="1"/>
      <c r="OK2" s="468"/>
      <c r="OL2" s="469" t="s">
        <v>174</v>
      </c>
      <c r="OU2" s="1"/>
      <c r="OV2" s="1"/>
      <c r="PI2" s="468"/>
      <c r="PJ2" s="469" t="s">
        <v>174</v>
      </c>
      <c r="PM2" s="1"/>
      <c r="PN2" s="1"/>
      <c r="PQ2" s="1"/>
      <c r="PR2" s="1"/>
      <c r="QE2" s="468"/>
      <c r="QF2" s="469" t="s">
        <v>174</v>
      </c>
      <c r="QI2" s="1"/>
      <c r="QJ2" s="1"/>
      <c r="QW2" s="468"/>
      <c r="QX2" s="469" t="s">
        <v>174</v>
      </c>
      <c r="RO2" s="468"/>
      <c r="RP2" s="469" t="s">
        <v>174</v>
      </c>
      <c r="SG2" s="468"/>
      <c r="SH2" s="469" t="s">
        <v>174</v>
      </c>
      <c r="SI2" s="1"/>
      <c r="SJ2" s="1"/>
      <c r="SK2" s="1"/>
      <c r="SL2" s="1"/>
      <c r="SY2" s="468"/>
      <c r="SZ2" s="469" t="s">
        <v>174</v>
      </c>
      <c r="TJ2" s="468"/>
      <c r="TK2" s="469" t="s">
        <v>174</v>
      </c>
      <c r="UG2" s="468"/>
      <c r="UH2" s="469" t="s">
        <v>174</v>
      </c>
      <c r="UV2" s="468"/>
      <c r="UW2" s="469" t="s">
        <v>174</v>
      </c>
      <c r="VK2" s="468"/>
      <c r="VL2" s="469" t="s">
        <v>174</v>
      </c>
      <c r="VZ2" s="468"/>
      <c r="WA2" s="469" t="s">
        <v>174</v>
      </c>
      <c r="WO2" s="468"/>
      <c r="WP2" s="469" t="s">
        <v>174</v>
      </c>
    </row>
    <row r="3" spans="1:614" s="102" customFormat="1" ht="13.5" thickBot="1" x14ac:dyDescent="0.25">
      <c r="A3" s="1"/>
      <c r="B3" s="1"/>
      <c r="C3" s="1"/>
      <c r="D3" s="1"/>
      <c r="E3" s="1"/>
      <c r="F3" s="1"/>
      <c r="H3" s="1"/>
      <c r="I3" s="470"/>
      <c r="J3" s="470"/>
      <c r="K3" s="470"/>
      <c r="L3" s="1"/>
      <c r="M3" s="471"/>
      <c r="N3" s="472" t="s">
        <v>1053</v>
      </c>
      <c r="O3" s="470"/>
      <c r="P3" s="470"/>
      <c r="Q3" s="1"/>
      <c r="R3" s="1"/>
      <c r="S3" s="1"/>
      <c r="T3" s="1"/>
      <c r="U3" s="1"/>
      <c r="Y3" s="471"/>
      <c r="Z3" s="472" t="s">
        <v>1054</v>
      </c>
      <c r="AI3" s="1"/>
      <c r="AJ3" s="1"/>
      <c r="AQ3" s="1"/>
      <c r="AR3" s="1"/>
      <c r="AW3" s="471"/>
      <c r="AX3" s="472" t="s">
        <v>1055</v>
      </c>
      <c r="AY3" s="1"/>
      <c r="AZ3" s="1"/>
      <c r="BM3" s="471"/>
      <c r="BN3" s="472" t="s">
        <v>1056</v>
      </c>
      <c r="BQ3" s="1"/>
      <c r="BR3" s="1"/>
      <c r="CE3" s="471"/>
      <c r="CF3" s="472" t="s">
        <v>1057</v>
      </c>
      <c r="CO3" s="471"/>
      <c r="CP3" s="472" t="s">
        <v>1058</v>
      </c>
      <c r="DG3" s="471"/>
      <c r="DH3" s="472" t="s">
        <v>1059</v>
      </c>
      <c r="DY3" s="471"/>
      <c r="DZ3" s="472" t="s">
        <v>1060</v>
      </c>
      <c r="ES3" s="471"/>
      <c r="ET3" s="472" t="s">
        <v>1061</v>
      </c>
      <c r="FI3" s="471"/>
      <c r="FJ3" s="472" t="s">
        <v>1062</v>
      </c>
      <c r="FV3" s="1"/>
      <c r="GI3" s="471"/>
      <c r="GJ3" s="472" t="s">
        <v>1063</v>
      </c>
      <c r="GM3" s="1"/>
      <c r="GN3" s="1"/>
      <c r="GS3" s="471"/>
      <c r="GT3" s="472" t="s">
        <v>1064</v>
      </c>
      <c r="HE3" s="1"/>
      <c r="HF3" s="1"/>
      <c r="HK3" s="471"/>
      <c r="HL3" s="472" t="s">
        <v>1065</v>
      </c>
      <c r="HW3" s="1"/>
      <c r="HX3" s="1"/>
      <c r="IC3" s="471"/>
      <c r="ID3" s="472" t="s">
        <v>1066</v>
      </c>
      <c r="IO3" s="1"/>
      <c r="IP3" s="1"/>
      <c r="IU3" s="471"/>
      <c r="IV3" s="472" t="s">
        <v>1067</v>
      </c>
      <c r="JG3" s="1"/>
      <c r="JH3" s="1"/>
      <c r="JM3" s="471"/>
      <c r="JN3" s="472" t="s">
        <v>1068</v>
      </c>
      <c r="JY3" s="1"/>
      <c r="JZ3" s="1"/>
      <c r="KE3" s="471"/>
      <c r="KF3" s="472" t="s">
        <v>1069</v>
      </c>
      <c r="KQ3" s="1"/>
      <c r="KR3" s="1"/>
      <c r="KW3" s="471"/>
      <c r="KX3" s="472" t="s">
        <v>1070</v>
      </c>
      <c r="LI3" s="1"/>
      <c r="LJ3" s="1"/>
      <c r="LO3" s="471"/>
      <c r="LP3" s="472" t="s">
        <v>1071</v>
      </c>
      <c r="MA3" s="1"/>
      <c r="MB3" s="1"/>
      <c r="MG3" s="471"/>
      <c r="MH3" s="472" t="s">
        <v>1072</v>
      </c>
      <c r="MS3" s="1"/>
      <c r="MT3" s="1"/>
      <c r="MY3" s="471"/>
      <c r="MZ3" s="472" t="s">
        <v>1073</v>
      </c>
      <c r="NK3" s="1"/>
      <c r="NL3" s="1"/>
      <c r="NY3" s="471"/>
      <c r="NZ3" s="472" t="s">
        <v>1074</v>
      </c>
      <c r="OC3" s="1"/>
      <c r="OD3" s="1"/>
      <c r="OK3" s="471"/>
      <c r="OL3" s="472" t="s">
        <v>1075</v>
      </c>
      <c r="OU3" s="1"/>
      <c r="OV3" s="1"/>
      <c r="PI3" s="471"/>
      <c r="PJ3" s="472" t="s">
        <v>1076</v>
      </c>
      <c r="PM3" s="1"/>
      <c r="PN3" s="1"/>
      <c r="PQ3" s="1"/>
      <c r="PR3" s="1"/>
      <c r="QE3" s="471"/>
      <c r="QF3" s="472" t="s">
        <v>1077</v>
      </c>
      <c r="QI3" s="1"/>
      <c r="QJ3" s="1"/>
      <c r="QW3" s="471"/>
      <c r="QX3" s="472" t="s">
        <v>1078</v>
      </c>
      <c r="RO3" s="471"/>
      <c r="RP3" s="472" t="s">
        <v>1079</v>
      </c>
      <c r="SG3" s="471"/>
      <c r="SH3" s="472" t="s">
        <v>1080</v>
      </c>
      <c r="SI3" s="1"/>
      <c r="SJ3" s="1"/>
      <c r="SK3" s="1"/>
      <c r="SL3" s="1"/>
      <c r="SY3" s="471"/>
      <c r="SZ3" s="472" t="s">
        <v>1081</v>
      </c>
      <c r="TJ3" s="471"/>
      <c r="TK3" s="472" t="s">
        <v>1082</v>
      </c>
      <c r="UG3" s="471"/>
      <c r="UH3" s="472" t="s">
        <v>1083</v>
      </c>
      <c r="UV3" s="471"/>
      <c r="UW3" s="472" t="s">
        <v>1084</v>
      </c>
      <c r="VK3" s="471"/>
      <c r="VL3" s="472" t="s">
        <v>1085</v>
      </c>
      <c r="VZ3" s="471"/>
      <c r="WA3" s="472" t="s">
        <v>1086</v>
      </c>
      <c r="WO3" s="471"/>
      <c r="WP3" s="472" t="s">
        <v>1052</v>
      </c>
    </row>
    <row r="4" spans="1:614" s="102" customFormat="1" ht="13.5" thickBot="1" x14ac:dyDescent="0.25">
      <c r="A4" s="467"/>
      <c r="B4" s="467"/>
      <c r="C4" s="467"/>
      <c r="D4" s="467"/>
      <c r="E4" s="467"/>
      <c r="F4" s="467"/>
      <c r="H4" s="1"/>
      <c r="I4" s="1"/>
      <c r="J4" s="1"/>
      <c r="K4" s="1"/>
      <c r="L4" s="1"/>
      <c r="M4" s="1228" t="s">
        <v>175</v>
      </c>
      <c r="N4" s="1229">
        <v>32.01</v>
      </c>
      <c r="O4" s="1"/>
      <c r="P4" s="1"/>
      <c r="Q4" s="1"/>
      <c r="R4" s="1"/>
      <c r="S4" s="1"/>
      <c r="T4" s="1"/>
      <c r="U4" s="1"/>
      <c r="Y4" s="1228" t="s">
        <v>175</v>
      </c>
      <c r="Z4" s="1229">
        <v>32.019999999999996</v>
      </c>
      <c r="AI4" s="1"/>
      <c r="AJ4" s="1"/>
      <c r="AQ4" s="1"/>
      <c r="AR4" s="1"/>
      <c r="AW4" s="1228" t="s">
        <v>175</v>
      </c>
      <c r="AX4" s="1229">
        <v>32.029999999999994</v>
      </c>
      <c r="AY4" s="1"/>
      <c r="AZ4" s="1"/>
      <c r="BM4" s="1228" t="s">
        <v>175</v>
      </c>
      <c r="BN4" s="1229">
        <v>32.039999999999992</v>
      </c>
      <c r="BQ4" s="1"/>
      <c r="BR4" s="1"/>
      <c r="CE4" s="1228" t="s">
        <v>175</v>
      </c>
      <c r="CF4" s="1229">
        <v>32.04999999999999</v>
      </c>
      <c r="CO4" s="1228" t="s">
        <v>175</v>
      </c>
      <c r="CP4" s="1229">
        <v>32.059999999999988</v>
      </c>
      <c r="DG4" s="1228" t="s">
        <v>175</v>
      </c>
      <c r="DH4" s="1229">
        <v>32.069999999999986</v>
      </c>
      <c r="DY4" s="1228" t="s">
        <v>175</v>
      </c>
      <c r="DZ4" s="1229">
        <v>32.079999999999984</v>
      </c>
      <c r="ES4" s="1228" t="s">
        <v>175</v>
      </c>
      <c r="ET4" s="1229">
        <v>32.089999999999982</v>
      </c>
      <c r="FI4" s="1228" t="s">
        <v>175</v>
      </c>
      <c r="FJ4" s="1229">
        <v>32.09999999999998</v>
      </c>
      <c r="FV4" s="1"/>
      <c r="GI4" s="1228" t="s">
        <v>175</v>
      </c>
      <c r="GJ4" s="1229">
        <v>32.109999999999978</v>
      </c>
      <c r="GM4" s="1"/>
      <c r="GN4" s="1"/>
      <c r="GS4" s="1228" t="s">
        <v>175</v>
      </c>
      <c r="GT4" s="1229">
        <v>32.119999999999976</v>
      </c>
      <c r="HE4" s="1"/>
      <c r="HF4" s="1"/>
      <c r="HK4" s="1228" t="s">
        <v>175</v>
      </c>
      <c r="HL4" s="1229">
        <v>32.129999999999974</v>
      </c>
      <c r="HW4" s="1"/>
      <c r="HX4" s="1"/>
      <c r="IC4" s="1228" t="s">
        <v>175</v>
      </c>
      <c r="ID4" s="1229">
        <v>32.139999999999972</v>
      </c>
      <c r="IO4" s="1"/>
      <c r="IP4" s="1"/>
      <c r="IU4" s="1228" t="s">
        <v>175</v>
      </c>
      <c r="IV4" s="1229">
        <v>32.14999999999997</v>
      </c>
      <c r="JG4" s="1"/>
      <c r="JH4" s="1"/>
      <c r="JM4" s="1228" t="s">
        <v>175</v>
      </c>
      <c r="JN4" s="1229">
        <v>32.159999999999968</v>
      </c>
      <c r="JY4" s="1"/>
      <c r="JZ4" s="1"/>
      <c r="KE4" s="1228" t="s">
        <v>175</v>
      </c>
      <c r="KF4" s="1229">
        <v>32.169999999999966</v>
      </c>
      <c r="KQ4" s="1"/>
      <c r="KR4" s="1"/>
      <c r="KW4" s="1228" t="s">
        <v>175</v>
      </c>
      <c r="KX4" s="1229">
        <v>32.179999999999964</v>
      </c>
      <c r="LI4" s="1"/>
      <c r="LJ4" s="1"/>
      <c r="LO4" s="1228" t="s">
        <v>175</v>
      </c>
      <c r="LP4" s="1229">
        <v>32.189999999999962</v>
      </c>
      <c r="MA4" s="1"/>
      <c r="MB4" s="1"/>
      <c r="MG4" s="1228" t="s">
        <v>175</v>
      </c>
      <c r="MH4" s="1229">
        <v>32.19999999999996</v>
      </c>
      <c r="MS4" s="1"/>
      <c r="MT4" s="1"/>
      <c r="MY4" s="1228" t="s">
        <v>175</v>
      </c>
      <c r="MZ4" s="1229">
        <v>32.209999999999958</v>
      </c>
      <c r="NK4" s="1"/>
      <c r="NL4" s="1"/>
      <c r="NY4" s="1228" t="s">
        <v>175</v>
      </c>
      <c r="NZ4" s="1229">
        <v>32.219999999999956</v>
      </c>
      <c r="OC4" s="1"/>
      <c r="OD4" s="1"/>
      <c r="OK4" s="1228" t="s">
        <v>175</v>
      </c>
      <c r="OL4" s="1229">
        <v>32.229999999999954</v>
      </c>
      <c r="OU4" s="1"/>
      <c r="OV4" s="1"/>
      <c r="PI4" s="1228" t="s">
        <v>175</v>
      </c>
      <c r="PJ4" s="1229">
        <v>32.239999999999952</v>
      </c>
      <c r="PM4" s="1"/>
      <c r="PN4" s="1"/>
      <c r="PQ4" s="1"/>
      <c r="PR4" s="1"/>
      <c r="QE4" s="1228" t="s">
        <v>175</v>
      </c>
      <c r="QF4" s="1229">
        <v>32.24999999999995</v>
      </c>
      <c r="QI4" s="1"/>
      <c r="QJ4" s="1"/>
      <c r="QW4" s="1228" t="s">
        <v>176</v>
      </c>
      <c r="QX4" s="1229">
        <v>32.259999999999948</v>
      </c>
      <c r="RO4" s="1228" t="s">
        <v>175</v>
      </c>
      <c r="RP4" s="1229">
        <v>32.269999999999946</v>
      </c>
      <c r="SG4" s="1228" t="s">
        <v>176</v>
      </c>
      <c r="SH4" s="1229">
        <v>32.279999999999944</v>
      </c>
      <c r="SI4" s="1"/>
      <c r="SJ4" s="1"/>
      <c r="SK4" s="1"/>
      <c r="SL4" s="1"/>
      <c r="SY4" s="1228" t="s">
        <v>175</v>
      </c>
      <c r="SZ4" s="1230" t="s">
        <v>177</v>
      </c>
      <c r="TJ4" s="1228" t="s">
        <v>175</v>
      </c>
      <c r="TK4" s="1229">
        <v>32.329999999999934</v>
      </c>
      <c r="UG4" s="473" t="s">
        <v>175</v>
      </c>
      <c r="UH4" s="474">
        <v>32.339999999999932</v>
      </c>
      <c r="UV4" s="473" t="s">
        <v>175</v>
      </c>
      <c r="UW4" s="474">
        <v>32.34999999999993</v>
      </c>
      <c r="VK4" s="473" t="s">
        <v>175</v>
      </c>
      <c r="VL4" s="474">
        <v>32.359999999999928</v>
      </c>
      <c r="VZ4" s="473" t="s">
        <v>175</v>
      </c>
      <c r="WA4" s="474">
        <v>32.369999999999926</v>
      </c>
      <c r="WO4" s="473" t="s">
        <v>175</v>
      </c>
      <c r="WP4" s="474">
        <v>32.49</v>
      </c>
    </row>
    <row r="5" spans="1:614" s="477" customFormat="1" x14ac:dyDescent="0.2">
      <c r="A5" s="6" t="s">
        <v>779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 t="s">
        <v>779</v>
      </c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/>
      <c r="AH5" s="7"/>
      <c r="AI5" s="7"/>
      <c r="AJ5" s="7"/>
      <c r="AK5" s="6" t="s">
        <v>779</v>
      </c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 t="s">
        <v>779</v>
      </c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7"/>
      <c r="BP5" s="7"/>
      <c r="BQ5" s="7"/>
      <c r="BR5" s="7"/>
      <c r="BS5" s="6" t="s">
        <v>779</v>
      </c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7"/>
      <c r="CH5" s="7"/>
      <c r="CI5" s="7"/>
      <c r="CJ5" s="7"/>
      <c r="CK5" s="6" t="s">
        <v>779</v>
      </c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7"/>
      <c r="CZ5" s="7"/>
      <c r="DA5" s="7"/>
      <c r="DB5" s="7"/>
      <c r="DC5" s="6" t="s">
        <v>779</v>
      </c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7"/>
      <c r="DR5" s="7"/>
      <c r="DS5" s="7"/>
      <c r="DT5" s="7"/>
      <c r="DU5" s="6" t="s">
        <v>779</v>
      </c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7"/>
      <c r="EJ5" s="7"/>
      <c r="EK5" s="7"/>
      <c r="EL5" s="7"/>
      <c r="EM5" s="6" t="s">
        <v>779</v>
      </c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7"/>
      <c r="FB5" s="7"/>
      <c r="FC5" s="7"/>
      <c r="FD5" s="7"/>
      <c r="FE5" s="6" t="s">
        <v>779</v>
      </c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7"/>
      <c r="FT5" s="7"/>
      <c r="FU5" s="7"/>
      <c r="FV5" s="7"/>
      <c r="FW5" s="6" t="s">
        <v>779</v>
      </c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7"/>
      <c r="GL5" s="7"/>
      <c r="GM5" s="7"/>
      <c r="GN5" s="7"/>
      <c r="GO5" s="6" t="s">
        <v>779</v>
      </c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7"/>
      <c r="HD5" s="7"/>
      <c r="HE5" s="7"/>
      <c r="HF5" s="7"/>
      <c r="HG5" s="6" t="s">
        <v>779</v>
      </c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7"/>
      <c r="HV5" s="7"/>
      <c r="HW5" s="7"/>
      <c r="HX5" s="7"/>
      <c r="HY5" s="6" t="s">
        <v>779</v>
      </c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7"/>
      <c r="IN5" s="7"/>
      <c r="IO5" s="7"/>
      <c r="IP5" s="7"/>
      <c r="IQ5" s="6" t="s">
        <v>779</v>
      </c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7"/>
      <c r="JF5" s="7"/>
      <c r="JG5" s="7"/>
      <c r="JH5" s="7"/>
      <c r="JI5" s="6" t="s">
        <v>779</v>
      </c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7"/>
      <c r="JX5" s="7"/>
      <c r="JY5" s="7"/>
      <c r="JZ5" s="7"/>
      <c r="KA5" s="6" t="s">
        <v>779</v>
      </c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7"/>
      <c r="KP5" s="7"/>
      <c r="KQ5" s="7"/>
      <c r="KR5" s="7"/>
      <c r="KS5" s="6" t="s">
        <v>779</v>
      </c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7"/>
      <c r="LH5" s="7"/>
      <c r="LI5" s="7"/>
      <c r="LJ5" s="7"/>
      <c r="LK5" s="6" t="s">
        <v>779</v>
      </c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7"/>
      <c r="LZ5" s="7"/>
      <c r="MA5" s="7"/>
      <c r="MB5" s="7"/>
      <c r="MC5" s="6" t="s">
        <v>779</v>
      </c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7"/>
      <c r="MR5" s="7"/>
      <c r="MS5" s="7"/>
      <c r="MT5" s="7"/>
      <c r="MU5" s="6" t="s">
        <v>779</v>
      </c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7"/>
      <c r="NJ5" s="7"/>
      <c r="NK5" s="7"/>
      <c r="NL5" s="7"/>
      <c r="NM5" s="6" t="s">
        <v>779</v>
      </c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7"/>
      <c r="OB5" s="7"/>
      <c r="OC5" s="7"/>
      <c r="OD5" s="7"/>
      <c r="OE5" s="6" t="s">
        <v>779</v>
      </c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7"/>
      <c r="OT5" s="7"/>
      <c r="OU5" s="7"/>
      <c r="OV5" s="7"/>
      <c r="OW5" s="6" t="s">
        <v>779</v>
      </c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7"/>
      <c r="PL5" s="7"/>
      <c r="PM5" s="7"/>
      <c r="PN5" s="7"/>
      <c r="PO5" s="7"/>
      <c r="PP5" s="7"/>
      <c r="PQ5" s="7"/>
      <c r="PR5" s="7"/>
      <c r="PS5" s="6" t="s">
        <v>779</v>
      </c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7"/>
      <c r="QH5" s="7"/>
      <c r="QI5" s="7"/>
      <c r="QJ5" s="7"/>
      <c r="QK5" s="6" t="s">
        <v>779</v>
      </c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7"/>
      <c r="QZ5" s="7"/>
      <c r="RA5" s="7"/>
      <c r="RB5" s="7"/>
      <c r="RC5" s="6" t="s">
        <v>779</v>
      </c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7"/>
      <c r="RR5" s="7"/>
      <c r="RS5" s="7"/>
      <c r="RT5" s="7"/>
      <c r="RU5" s="6" t="s">
        <v>779</v>
      </c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7"/>
      <c r="SJ5" s="7"/>
      <c r="SK5" s="7"/>
      <c r="SL5" s="7"/>
      <c r="SM5" s="6" t="s">
        <v>779</v>
      </c>
      <c r="SN5" s="475"/>
      <c r="SO5" s="475"/>
      <c r="SP5" s="475"/>
      <c r="SQ5" s="475"/>
      <c r="SR5" s="475"/>
      <c r="SS5" s="475"/>
      <c r="ST5" s="475"/>
      <c r="SU5" s="475"/>
      <c r="SV5" s="475"/>
      <c r="SW5" s="475"/>
      <c r="SX5" s="475"/>
      <c r="SY5" s="475"/>
      <c r="SZ5" s="475"/>
      <c r="TA5" s="476"/>
      <c r="TB5" s="476"/>
      <c r="TC5" s="476"/>
      <c r="TD5" s="476"/>
      <c r="TF5" s="6" t="s">
        <v>779</v>
      </c>
      <c r="TG5" s="475"/>
      <c r="TH5" s="475"/>
      <c r="TI5" s="475"/>
      <c r="TJ5" s="475"/>
      <c r="TK5" s="475"/>
      <c r="TL5" s="475"/>
      <c r="TM5" s="475"/>
      <c r="TN5" s="475"/>
      <c r="TO5" s="475"/>
      <c r="TP5" s="475"/>
      <c r="TQ5" s="475"/>
      <c r="TR5" s="475"/>
      <c r="TS5" s="475"/>
      <c r="TU5" s="6" t="s">
        <v>779</v>
      </c>
      <c r="TV5" s="475"/>
      <c r="TW5" s="475"/>
      <c r="TX5" s="475"/>
      <c r="TY5" s="475"/>
      <c r="TZ5" s="475"/>
      <c r="UA5" s="475"/>
      <c r="UB5" s="475"/>
      <c r="UC5" s="475"/>
      <c r="UD5" s="475"/>
      <c r="UE5" s="475"/>
      <c r="UF5" s="475"/>
      <c r="UG5" s="475"/>
      <c r="UH5" s="475"/>
      <c r="UJ5" s="6" t="s">
        <v>779</v>
      </c>
      <c r="UK5" s="475"/>
      <c r="UL5" s="475"/>
      <c r="UM5" s="475"/>
      <c r="UN5" s="475"/>
      <c r="UO5" s="475"/>
      <c r="UP5" s="475"/>
      <c r="UQ5" s="475"/>
      <c r="UR5" s="475"/>
      <c r="US5" s="475"/>
      <c r="UT5" s="475"/>
      <c r="UU5" s="475"/>
      <c r="UV5" s="475"/>
      <c r="UW5" s="475"/>
      <c r="UY5" s="6" t="s">
        <v>779</v>
      </c>
      <c r="UZ5" s="475"/>
      <c r="VA5" s="475"/>
      <c r="VB5" s="475"/>
      <c r="VC5" s="475"/>
      <c r="VD5" s="475"/>
      <c r="VE5" s="475"/>
      <c r="VF5" s="475"/>
      <c r="VG5" s="475"/>
      <c r="VH5" s="475"/>
      <c r="VI5" s="475"/>
      <c r="VJ5" s="475"/>
      <c r="VK5" s="475"/>
      <c r="VL5" s="475"/>
      <c r="VN5" s="6" t="s">
        <v>779</v>
      </c>
      <c r="VO5" s="475"/>
      <c r="VP5" s="475"/>
      <c r="VQ5" s="475"/>
      <c r="VR5" s="475"/>
      <c r="VS5" s="475"/>
      <c r="VT5" s="475"/>
      <c r="VU5" s="475"/>
      <c r="VV5" s="475"/>
      <c r="VW5" s="475"/>
      <c r="VX5" s="475"/>
      <c r="VY5" s="475"/>
      <c r="VZ5" s="475"/>
      <c r="WA5" s="475"/>
      <c r="WC5" s="6" t="s">
        <v>779</v>
      </c>
      <c r="WD5" s="475"/>
      <c r="WE5" s="475"/>
      <c r="WF5" s="475"/>
      <c r="WG5" s="475"/>
      <c r="WH5" s="475"/>
      <c r="WI5" s="475"/>
      <c r="WJ5" s="475"/>
      <c r="WK5" s="475"/>
      <c r="WL5" s="475"/>
      <c r="WM5" s="475"/>
      <c r="WN5" s="475"/>
      <c r="WO5" s="475"/>
      <c r="WP5" s="475"/>
    </row>
    <row r="6" spans="1:614" s="11" customFormat="1" ht="15" customHeight="1" x14ac:dyDescent="0.2">
      <c r="A6" s="9" t="s">
        <v>778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 t="s">
        <v>777</v>
      </c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0"/>
      <c r="AH6" s="10"/>
      <c r="AI6" s="10"/>
      <c r="AJ6" s="10"/>
      <c r="AK6" s="9" t="s">
        <v>776</v>
      </c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 t="s">
        <v>775</v>
      </c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10"/>
      <c r="BP6" s="10"/>
      <c r="BQ6" s="10"/>
      <c r="BR6" s="10"/>
      <c r="BS6" s="9" t="s">
        <v>774</v>
      </c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10"/>
      <c r="CH6" s="10"/>
      <c r="CI6" s="10"/>
      <c r="CJ6" s="10"/>
      <c r="CK6" s="9" t="s">
        <v>773</v>
      </c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10"/>
      <c r="CZ6" s="10"/>
      <c r="DA6" s="10"/>
      <c r="DB6" s="10"/>
      <c r="DC6" s="9" t="s">
        <v>772</v>
      </c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10"/>
      <c r="DR6" s="10"/>
      <c r="DS6" s="10"/>
      <c r="DT6" s="10"/>
      <c r="DU6" s="9" t="s">
        <v>771</v>
      </c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10"/>
      <c r="EJ6" s="10"/>
      <c r="EK6" s="10"/>
      <c r="EL6" s="10"/>
      <c r="EM6" s="9" t="s">
        <v>770</v>
      </c>
      <c r="EN6" s="9"/>
      <c r="EO6" s="9"/>
      <c r="EP6" s="9"/>
      <c r="EQ6" s="9"/>
      <c r="ER6" s="9"/>
      <c r="ES6" s="478"/>
      <c r="ET6" s="9"/>
      <c r="EU6" s="9"/>
      <c r="EV6" s="9"/>
      <c r="EW6" s="9"/>
      <c r="EX6" s="9"/>
      <c r="EY6" s="9"/>
      <c r="EZ6" s="9"/>
      <c r="FA6" s="10"/>
      <c r="FB6" s="10"/>
      <c r="FC6" s="10"/>
      <c r="FD6" s="10"/>
      <c r="FE6" s="9" t="s">
        <v>769</v>
      </c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10"/>
      <c r="FT6" s="10"/>
      <c r="FU6" s="10"/>
      <c r="FV6" s="10"/>
      <c r="FW6" s="9" t="s">
        <v>768</v>
      </c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10"/>
      <c r="GL6" s="10"/>
      <c r="GM6" s="10"/>
      <c r="GN6" s="10"/>
      <c r="GO6" s="9" t="s">
        <v>767</v>
      </c>
      <c r="GP6" s="9"/>
      <c r="GQ6" s="9"/>
      <c r="GR6" s="9"/>
      <c r="GS6" s="9"/>
      <c r="GT6" s="9"/>
      <c r="GU6" s="478"/>
      <c r="GV6" s="9"/>
      <c r="GW6" s="9"/>
      <c r="GX6" s="9"/>
      <c r="GY6" s="9"/>
      <c r="GZ6" s="9"/>
      <c r="HA6" s="9"/>
      <c r="HB6" s="9"/>
      <c r="HC6" s="10"/>
      <c r="HD6" s="10"/>
      <c r="HE6" s="10"/>
      <c r="HF6" s="10"/>
      <c r="HG6" s="9" t="s">
        <v>766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10"/>
      <c r="HV6" s="10"/>
      <c r="HW6" s="10"/>
      <c r="HX6" s="10"/>
      <c r="HY6" s="9" t="s">
        <v>765</v>
      </c>
      <c r="HZ6" s="9"/>
      <c r="IA6" s="9"/>
      <c r="IB6" s="9"/>
      <c r="IC6" s="9"/>
      <c r="ID6" s="9"/>
      <c r="IE6" s="478"/>
      <c r="IF6" s="9"/>
      <c r="IG6" s="9"/>
      <c r="IH6" s="9"/>
      <c r="II6" s="9"/>
      <c r="IJ6" s="9"/>
      <c r="IK6" s="9"/>
      <c r="IL6" s="9"/>
      <c r="IM6" s="10"/>
      <c r="IN6" s="10"/>
      <c r="IO6" s="10"/>
      <c r="IP6" s="10"/>
      <c r="IQ6" s="9" t="s">
        <v>764</v>
      </c>
      <c r="IR6" s="478"/>
      <c r="IS6" s="478"/>
      <c r="IT6" s="478"/>
      <c r="IU6" s="478"/>
      <c r="IV6" s="9"/>
      <c r="IW6" s="9"/>
      <c r="IX6" s="478"/>
      <c r="IY6" s="9"/>
      <c r="IZ6" s="9"/>
      <c r="JA6" s="9"/>
      <c r="JB6" s="9"/>
      <c r="JC6" s="9"/>
      <c r="JD6" s="9"/>
      <c r="JE6" s="10"/>
      <c r="JF6" s="10"/>
      <c r="JG6" s="10"/>
      <c r="JH6" s="10"/>
      <c r="JI6" s="9" t="s">
        <v>763</v>
      </c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10"/>
      <c r="JX6" s="10"/>
      <c r="JY6" s="10"/>
      <c r="JZ6" s="10"/>
      <c r="KA6" s="9" t="s">
        <v>762</v>
      </c>
      <c r="KB6" s="9"/>
      <c r="KC6" s="9"/>
      <c r="KD6" s="9"/>
      <c r="KE6" s="9"/>
      <c r="KF6" s="9"/>
      <c r="KG6" s="478"/>
      <c r="KH6" s="9"/>
      <c r="KI6" s="9"/>
      <c r="KJ6" s="9"/>
      <c r="KK6" s="9"/>
      <c r="KL6" s="9"/>
      <c r="KM6" s="9"/>
      <c r="KN6" s="9"/>
      <c r="KO6" s="10"/>
      <c r="KP6" s="10"/>
      <c r="KQ6" s="10"/>
      <c r="KR6" s="10"/>
      <c r="KS6" s="9" t="s">
        <v>761</v>
      </c>
      <c r="KT6" s="9"/>
      <c r="KU6" s="9"/>
      <c r="KV6" s="9"/>
      <c r="KW6" s="9"/>
      <c r="KX6" s="9"/>
      <c r="KY6" s="478"/>
      <c r="KZ6" s="9"/>
      <c r="LA6" s="9"/>
      <c r="LB6" s="9"/>
      <c r="LC6" s="9"/>
      <c r="LD6" s="9"/>
      <c r="LE6" s="9"/>
      <c r="LF6" s="9"/>
      <c r="LG6" s="10"/>
      <c r="LH6" s="10"/>
      <c r="LI6" s="10"/>
      <c r="LJ6" s="10"/>
      <c r="LK6" s="9" t="s">
        <v>760</v>
      </c>
      <c r="LL6" s="478"/>
      <c r="LM6" s="478"/>
      <c r="LN6" s="478"/>
      <c r="LO6" s="478"/>
      <c r="LP6" s="9"/>
      <c r="LQ6" s="9"/>
      <c r="LR6" s="478"/>
      <c r="LS6" s="478"/>
      <c r="LT6" s="478"/>
      <c r="LU6" s="478"/>
      <c r="LV6" s="478"/>
      <c r="LW6" s="478"/>
      <c r="LX6" s="478"/>
      <c r="LY6" s="479"/>
      <c r="LZ6" s="479"/>
      <c r="MA6" s="479"/>
      <c r="MB6" s="479"/>
      <c r="MC6" s="9" t="s">
        <v>759</v>
      </c>
      <c r="MD6" s="478"/>
      <c r="ME6" s="478"/>
      <c r="MF6" s="478"/>
      <c r="MG6" s="478"/>
      <c r="MH6" s="478"/>
      <c r="MI6" s="478"/>
      <c r="MJ6" s="478"/>
      <c r="MK6" s="478"/>
      <c r="ML6" s="478"/>
      <c r="MM6" s="478"/>
      <c r="MN6" s="478"/>
      <c r="MO6" s="478"/>
      <c r="MP6" s="478"/>
      <c r="MQ6" s="479"/>
      <c r="MR6" s="479"/>
      <c r="MS6" s="479"/>
      <c r="MT6" s="479"/>
      <c r="MU6" s="9" t="s">
        <v>202</v>
      </c>
      <c r="MV6" s="478"/>
      <c r="MW6" s="478"/>
      <c r="MX6" s="478"/>
      <c r="MY6" s="478"/>
      <c r="MZ6" s="478"/>
      <c r="NA6" s="478"/>
      <c r="NB6" s="478"/>
      <c r="NC6" s="478"/>
      <c r="ND6" s="478"/>
      <c r="NE6" s="478"/>
      <c r="NF6" s="478"/>
      <c r="NG6" s="478"/>
      <c r="NH6" s="478"/>
      <c r="NI6" s="479"/>
      <c r="NJ6" s="479"/>
      <c r="NK6" s="479"/>
      <c r="NL6" s="479"/>
      <c r="NM6" s="9" t="s">
        <v>758</v>
      </c>
      <c r="NN6" s="478"/>
      <c r="NO6" s="478"/>
      <c r="NP6" s="478"/>
      <c r="NQ6" s="478"/>
      <c r="NR6" s="478"/>
      <c r="NS6" s="478"/>
      <c r="NT6" s="478"/>
      <c r="NU6" s="478"/>
      <c r="NV6" s="478"/>
      <c r="NW6" s="478"/>
      <c r="NX6" s="478"/>
      <c r="NY6" s="478"/>
      <c r="NZ6" s="478"/>
      <c r="OA6" s="479"/>
      <c r="OB6" s="479"/>
      <c r="OC6" s="479"/>
      <c r="OD6" s="479"/>
      <c r="OE6" s="478" t="s">
        <v>757</v>
      </c>
      <c r="OF6" s="478"/>
      <c r="OG6" s="478"/>
      <c r="OH6" s="478"/>
      <c r="OI6" s="478"/>
      <c r="OJ6" s="478"/>
      <c r="OK6" s="478"/>
      <c r="OL6" s="478"/>
      <c r="OM6" s="478"/>
      <c r="ON6" s="478"/>
      <c r="OO6" s="478"/>
      <c r="OP6" s="478"/>
      <c r="OQ6" s="478"/>
      <c r="OR6" s="478"/>
      <c r="OS6" s="479"/>
      <c r="OT6" s="479"/>
      <c r="OU6" s="479"/>
      <c r="OV6" s="479"/>
      <c r="OW6" s="478" t="s">
        <v>756</v>
      </c>
      <c r="OX6" s="478"/>
      <c r="OY6" s="478"/>
      <c r="OZ6" s="478"/>
      <c r="PA6" s="478"/>
      <c r="PB6" s="478"/>
      <c r="PC6" s="478"/>
      <c r="PD6" s="478"/>
      <c r="PE6" s="478"/>
      <c r="PF6" s="478"/>
      <c r="PG6" s="478"/>
      <c r="PH6" s="478"/>
      <c r="PI6" s="478"/>
      <c r="PJ6" s="478"/>
      <c r="PK6" s="479"/>
      <c r="PL6" s="479"/>
      <c r="PM6" s="479"/>
      <c r="PN6" s="479"/>
      <c r="PO6" s="479"/>
      <c r="PP6" s="479"/>
      <c r="PQ6" s="479"/>
      <c r="PR6" s="479"/>
      <c r="PS6" s="478" t="s">
        <v>755</v>
      </c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10"/>
      <c r="QH6" s="10"/>
      <c r="QI6" s="10"/>
      <c r="QJ6" s="10"/>
      <c r="QK6" s="478" t="s">
        <v>754</v>
      </c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10"/>
      <c r="QZ6" s="10"/>
      <c r="RA6" s="10"/>
      <c r="RB6" s="10"/>
      <c r="RC6" s="478" t="s">
        <v>753</v>
      </c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10"/>
      <c r="RR6" s="10"/>
      <c r="RS6" s="10"/>
      <c r="RT6" s="10"/>
      <c r="RU6" s="478" t="s">
        <v>752</v>
      </c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10"/>
      <c r="SJ6" s="10"/>
      <c r="SK6" s="10"/>
      <c r="SL6" s="10"/>
      <c r="SM6" s="478" t="s">
        <v>178</v>
      </c>
      <c r="SN6" s="475"/>
      <c r="SO6" s="475"/>
      <c r="SP6" s="475"/>
      <c r="SQ6" s="475"/>
      <c r="SR6" s="475"/>
      <c r="SS6" s="475"/>
      <c r="ST6" s="475"/>
      <c r="SU6" s="475"/>
      <c r="SV6" s="475"/>
      <c r="SW6" s="475"/>
      <c r="SX6" s="475"/>
      <c r="SY6" s="475"/>
      <c r="SZ6" s="475"/>
      <c r="TA6" s="476"/>
      <c r="TB6" s="476"/>
      <c r="TC6" s="476"/>
      <c r="TD6" s="476"/>
      <c r="TF6" s="478" t="s">
        <v>747</v>
      </c>
      <c r="TG6" s="475"/>
      <c r="TH6" s="475"/>
      <c r="TI6" s="475"/>
      <c r="TJ6" s="475"/>
      <c r="TK6" s="475"/>
      <c r="TL6" s="475"/>
      <c r="TM6" s="475"/>
      <c r="TN6" s="475"/>
      <c r="TO6" s="475"/>
      <c r="TP6" s="475"/>
      <c r="TQ6" s="475"/>
      <c r="TR6" s="475"/>
      <c r="TS6" s="475"/>
      <c r="TU6" s="478" t="s">
        <v>746</v>
      </c>
      <c r="TV6" s="475"/>
      <c r="TW6" s="475"/>
      <c r="TX6" s="475"/>
      <c r="TY6" s="475"/>
      <c r="TZ6" s="475"/>
      <c r="UA6" s="475"/>
      <c r="UB6" s="475"/>
      <c r="UC6" s="475"/>
      <c r="UD6" s="475"/>
      <c r="UE6" s="475"/>
      <c r="UF6" s="475"/>
      <c r="UG6" s="475"/>
      <c r="UH6" s="475"/>
      <c r="UJ6" s="478" t="s">
        <v>745</v>
      </c>
      <c r="UK6" s="475"/>
      <c r="UL6" s="475"/>
      <c r="UM6" s="475"/>
      <c r="UN6" s="475"/>
      <c r="UO6" s="475"/>
      <c r="UP6" s="475"/>
      <c r="UQ6" s="475"/>
      <c r="UR6" s="475"/>
      <c r="US6" s="475"/>
      <c r="UT6" s="475"/>
      <c r="UU6" s="475"/>
      <c r="UV6" s="475"/>
      <c r="UW6" s="475"/>
      <c r="UY6" s="478" t="s">
        <v>744</v>
      </c>
      <c r="UZ6" s="475"/>
      <c r="VA6" s="475"/>
      <c r="VB6" s="475"/>
      <c r="VC6" s="475"/>
      <c r="VD6" s="475"/>
      <c r="VE6" s="475"/>
      <c r="VF6" s="475"/>
      <c r="VG6" s="475"/>
      <c r="VH6" s="475"/>
      <c r="VI6" s="475"/>
      <c r="VJ6" s="475"/>
      <c r="VK6" s="475"/>
      <c r="VL6" s="475"/>
      <c r="VN6" s="478" t="s">
        <v>134</v>
      </c>
      <c r="VO6" s="475"/>
      <c r="VP6" s="475"/>
      <c r="VQ6" s="475"/>
      <c r="VR6" s="475"/>
      <c r="VS6" s="475"/>
      <c r="VT6" s="475"/>
      <c r="VU6" s="475"/>
      <c r="VV6" s="475"/>
      <c r="VW6" s="475"/>
      <c r="VX6" s="475"/>
      <c r="VY6" s="475"/>
      <c r="VZ6" s="475"/>
      <c r="WA6" s="475"/>
      <c r="WC6" s="478" t="s">
        <v>135</v>
      </c>
      <c r="WD6" s="475"/>
      <c r="WE6" s="475"/>
      <c r="WF6" s="475"/>
      <c r="WG6" s="475"/>
      <c r="WH6" s="475"/>
      <c r="WI6" s="475"/>
      <c r="WJ6" s="475"/>
      <c r="WK6" s="475"/>
      <c r="WL6" s="475"/>
      <c r="WM6" s="475"/>
      <c r="WN6" s="475"/>
      <c r="WO6" s="475"/>
      <c r="WP6" s="475"/>
    </row>
    <row r="7" spans="1:614" s="477" customFormat="1" x14ac:dyDescent="0.2">
      <c r="A7" s="6" t="s">
        <v>52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 t="s">
        <v>52</v>
      </c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7"/>
      <c r="AH7" s="7"/>
      <c r="AI7" s="7"/>
      <c r="AJ7" s="7"/>
      <c r="AK7" s="6" t="s">
        <v>52</v>
      </c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 t="s">
        <v>52</v>
      </c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7"/>
      <c r="BP7" s="7"/>
      <c r="BQ7" s="7"/>
      <c r="BR7" s="7"/>
      <c r="BS7" s="6" t="s">
        <v>52</v>
      </c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7"/>
      <c r="CH7" s="7"/>
      <c r="CI7" s="7"/>
      <c r="CJ7" s="7"/>
      <c r="CK7" s="6" t="s">
        <v>52</v>
      </c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7"/>
      <c r="CZ7" s="7"/>
      <c r="DA7" s="7"/>
      <c r="DB7" s="7"/>
      <c r="DC7" s="6" t="s">
        <v>52</v>
      </c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7"/>
      <c r="DR7" s="7"/>
      <c r="DS7" s="7"/>
      <c r="DT7" s="7"/>
      <c r="DU7" s="6" t="s">
        <v>52</v>
      </c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7"/>
      <c r="EJ7" s="7"/>
      <c r="EK7" s="7"/>
      <c r="EL7" s="7"/>
      <c r="EM7" s="6" t="s">
        <v>52</v>
      </c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7"/>
      <c r="FB7" s="7"/>
      <c r="FC7" s="7"/>
      <c r="FD7" s="7"/>
      <c r="FE7" s="6" t="s">
        <v>52</v>
      </c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7"/>
      <c r="FT7" s="7"/>
      <c r="FU7" s="7"/>
      <c r="FV7" s="7"/>
      <c r="FW7" s="6" t="s">
        <v>52</v>
      </c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7"/>
      <c r="GL7" s="7"/>
      <c r="GM7" s="7"/>
      <c r="GN7" s="7"/>
      <c r="GO7" s="6" t="s">
        <v>52</v>
      </c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7"/>
      <c r="HD7" s="7"/>
      <c r="HE7" s="7"/>
      <c r="HF7" s="7"/>
      <c r="HG7" s="6" t="s">
        <v>52</v>
      </c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7"/>
      <c r="HV7" s="7"/>
      <c r="HW7" s="7"/>
      <c r="HX7" s="7"/>
      <c r="HY7" s="6" t="s">
        <v>52</v>
      </c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7"/>
      <c r="IN7" s="7"/>
      <c r="IO7" s="7"/>
      <c r="IP7" s="7"/>
      <c r="IQ7" s="6" t="s">
        <v>52</v>
      </c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7"/>
      <c r="JF7" s="7"/>
      <c r="JG7" s="7"/>
      <c r="JH7" s="7"/>
      <c r="JI7" s="6" t="s">
        <v>52</v>
      </c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7"/>
      <c r="JX7" s="7"/>
      <c r="JY7" s="7"/>
      <c r="JZ7" s="7"/>
      <c r="KA7" s="6" t="s">
        <v>52</v>
      </c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7"/>
      <c r="KP7" s="7"/>
      <c r="KQ7" s="7"/>
      <c r="KR7" s="7"/>
      <c r="KS7" s="6" t="s">
        <v>52</v>
      </c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7"/>
      <c r="LH7" s="7"/>
      <c r="LI7" s="7"/>
      <c r="LJ7" s="7"/>
      <c r="LK7" s="6" t="s">
        <v>52</v>
      </c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7"/>
      <c r="LZ7" s="7"/>
      <c r="MA7" s="7"/>
      <c r="MB7" s="7"/>
      <c r="MC7" s="6" t="s">
        <v>52</v>
      </c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7"/>
      <c r="MR7" s="7"/>
      <c r="MS7" s="7"/>
      <c r="MT7" s="7"/>
      <c r="MU7" s="6" t="s">
        <v>52</v>
      </c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7"/>
      <c r="NJ7" s="7"/>
      <c r="NK7" s="7"/>
      <c r="NL7" s="7"/>
      <c r="NM7" s="6" t="s">
        <v>52</v>
      </c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7"/>
      <c r="OB7" s="7"/>
      <c r="OC7" s="7"/>
      <c r="OD7" s="7"/>
      <c r="OE7" s="6" t="s">
        <v>52</v>
      </c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7"/>
      <c r="OT7" s="7"/>
      <c r="OU7" s="7"/>
      <c r="OV7" s="7"/>
      <c r="OW7" s="6" t="s">
        <v>52</v>
      </c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7"/>
      <c r="PL7" s="7"/>
      <c r="PM7" s="7"/>
      <c r="PN7" s="7"/>
      <c r="PO7" s="7"/>
      <c r="PP7" s="7"/>
      <c r="PQ7" s="7"/>
      <c r="PR7" s="7"/>
      <c r="PS7" s="6" t="s">
        <v>52</v>
      </c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7"/>
      <c r="QH7" s="7"/>
      <c r="QI7" s="7"/>
      <c r="QJ7" s="7"/>
      <c r="QK7" s="6" t="s">
        <v>52</v>
      </c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7"/>
      <c r="QZ7" s="7"/>
      <c r="RA7" s="7"/>
      <c r="RB7" s="7"/>
      <c r="RC7" s="6" t="s">
        <v>52</v>
      </c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7"/>
      <c r="RR7" s="7"/>
      <c r="RS7" s="7"/>
      <c r="RT7" s="7"/>
      <c r="RU7" s="6" t="s">
        <v>52</v>
      </c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7"/>
      <c r="SJ7" s="7"/>
      <c r="SK7" s="7"/>
      <c r="SL7" s="7"/>
      <c r="SM7" s="6" t="s">
        <v>52</v>
      </c>
      <c r="SN7" s="475"/>
      <c r="SO7" s="475"/>
      <c r="SP7" s="475"/>
      <c r="SQ7" s="475"/>
      <c r="SR7" s="475"/>
      <c r="SS7" s="475"/>
      <c r="ST7" s="475"/>
      <c r="SU7" s="475"/>
      <c r="SV7" s="475"/>
      <c r="SW7" s="475"/>
      <c r="SX7" s="475"/>
      <c r="SY7" s="475"/>
      <c r="SZ7" s="475"/>
      <c r="TA7" s="476"/>
      <c r="TB7" s="476"/>
      <c r="TC7" s="476"/>
      <c r="TD7" s="476"/>
      <c r="TF7" s="6" t="s">
        <v>52</v>
      </c>
      <c r="TG7" s="475"/>
      <c r="TH7" s="475"/>
      <c r="TI7" s="475"/>
      <c r="TJ7" s="475"/>
      <c r="TK7" s="475"/>
      <c r="TL7" s="475"/>
      <c r="TM7" s="475"/>
      <c r="TN7" s="475"/>
      <c r="TO7" s="475"/>
      <c r="TP7" s="475"/>
      <c r="TQ7" s="475"/>
      <c r="TR7" s="475"/>
      <c r="TS7" s="475"/>
      <c r="TU7" s="6" t="s">
        <v>52</v>
      </c>
      <c r="TV7" s="475"/>
      <c r="TW7" s="475"/>
      <c r="TX7" s="475"/>
      <c r="TY7" s="475"/>
      <c r="TZ7" s="475"/>
      <c r="UA7" s="475"/>
      <c r="UB7" s="475"/>
      <c r="UC7" s="475"/>
      <c r="UD7" s="475"/>
      <c r="UE7" s="475"/>
      <c r="UF7" s="475"/>
      <c r="UG7" s="475"/>
      <c r="UH7" s="475"/>
      <c r="UJ7" s="6" t="s">
        <v>52</v>
      </c>
      <c r="UK7" s="475"/>
      <c r="UL7" s="475"/>
      <c r="UM7" s="475"/>
      <c r="UN7" s="475"/>
      <c r="UO7" s="475"/>
      <c r="UP7" s="475"/>
      <c r="UQ7" s="475"/>
      <c r="UR7" s="475"/>
      <c r="US7" s="475"/>
      <c r="UT7" s="475"/>
      <c r="UU7" s="475"/>
      <c r="UV7" s="475"/>
      <c r="UW7" s="475"/>
      <c r="UY7" s="6" t="s">
        <v>52</v>
      </c>
      <c r="UZ7" s="475"/>
      <c r="VA7" s="475"/>
      <c r="VB7" s="475"/>
      <c r="VC7" s="475"/>
      <c r="VD7" s="475"/>
      <c r="VE7" s="475"/>
      <c r="VF7" s="475"/>
      <c r="VG7" s="475"/>
      <c r="VH7" s="475"/>
      <c r="VI7" s="475"/>
      <c r="VJ7" s="475"/>
      <c r="VK7" s="475"/>
      <c r="VL7" s="475"/>
      <c r="VN7" s="6" t="s">
        <v>52</v>
      </c>
      <c r="VO7" s="475"/>
      <c r="VP7" s="475"/>
      <c r="VQ7" s="475"/>
      <c r="VR7" s="475"/>
      <c r="VS7" s="475"/>
      <c r="VT7" s="475"/>
      <c r="VU7" s="475"/>
      <c r="VV7" s="475"/>
      <c r="VW7" s="475"/>
      <c r="VX7" s="475"/>
      <c r="VY7" s="475"/>
      <c r="VZ7" s="475"/>
      <c r="WA7" s="475"/>
      <c r="WC7" s="6" t="s">
        <v>52</v>
      </c>
      <c r="WD7" s="475"/>
      <c r="WE7" s="475"/>
      <c r="WF7" s="475"/>
      <c r="WG7" s="475"/>
      <c r="WH7" s="475"/>
      <c r="WI7" s="475"/>
      <c r="WJ7" s="475"/>
      <c r="WK7" s="475"/>
      <c r="WL7" s="475"/>
      <c r="WM7" s="475"/>
      <c r="WN7" s="475"/>
      <c r="WO7" s="475"/>
      <c r="WP7" s="475"/>
    </row>
    <row r="8" spans="1:614" s="477" customFormat="1" x14ac:dyDescent="0.2">
      <c r="A8" s="6" t="s">
        <v>51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 t="s">
        <v>51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7"/>
      <c r="AH8" s="7"/>
      <c r="AI8" s="7"/>
      <c r="AJ8" s="7"/>
      <c r="AK8" s="6" t="s">
        <v>51</v>
      </c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 t="s">
        <v>51</v>
      </c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7"/>
      <c r="BP8" s="7"/>
      <c r="BQ8" s="7"/>
      <c r="BR8" s="7"/>
      <c r="BS8" s="6" t="s">
        <v>51</v>
      </c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7"/>
      <c r="CH8" s="7"/>
      <c r="CI8" s="7"/>
      <c r="CJ8" s="7"/>
      <c r="CK8" s="6" t="s">
        <v>51</v>
      </c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7"/>
      <c r="CZ8" s="7"/>
      <c r="DA8" s="7"/>
      <c r="DB8" s="7"/>
      <c r="DC8" s="6" t="s">
        <v>51</v>
      </c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7"/>
      <c r="DR8" s="7"/>
      <c r="DS8" s="7"/>
      <c r="DT8" s="7"/>
      <c r="DU8" s="6" t="s">
        <v>51</v>
      </c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7"/>
      <c r="EJ8" s="7"/>
      <c r="EK8" s="7"/>
      <c r="EL8" s="7"/>
      <c r="EM8" s="6" t="s">
        <v>51</v>
      </c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7"/>
      <c r="FB8" s="7"/>
      <c r="FC8" s="7"/>
      <c r="FD8" s="7"/>
      <c r="FE8" s="6" t="s">
        <v>51</v>
      </c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7"/>
      <c r="FT8" s="7"/>
      <c r="FU8" s="7"/>
      <c r="FV8" s="7"/>
      <c r="FW8" s="6" t="s">
        <v>51</v>
      </c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7"/>
      <c r="GL8" s="7"/>
      <c r="GM8" s="7"/>
      <c r="GN8" s="7"/>
      <c r="GO8" s="6" t="s">
        <v>51</v>
      </c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7"/>
      <c r="HD8" s="7"/>
      <c r="HE8" s="7"/>
      <c r="HF8" s="7"/>
      <c r="HG8" s="6" t="s">
        <v>51</v>
      </c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7"/>
      <c r="HV8" s="7"/>
      <c r="HW8" s="7"/>
      <c r="HX8" s="7"/>
      <c r="HY8" s="6" t="s">
        <v>51</v>
      </c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7"/>
      <c r="IN8" s="7"/>
      <c r="IO8" s="7"/>
      <c r="IP8" s="7"/>
      <c r="IQ8" s="6" t="s">
        <v>51</v>
      </c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7"/>
      <c r="JF8" s="7"/>
      <c r="JG8" s="7"/>
      <c r="JH8" s="7"/>
      <c r="JI8" s="6" t="s">
        <v>51</v>
      </c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7"/>
      <c r="JX8" s="7"/>
      <c r="JY8" s="7"/>
      <c r="JZ8" s="7"/>
      <c r="KA8" s="6" t="s">
        <v>51</v>
      </c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7"/>
      <c r="KP8" s="7"/>
      <c r="KQ8" s="7"/>
      <c r="KR8" s="7"/>
      <c r="KS8" s="6" t="s">
        <v>51</v>
      </c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7"/>
      <c r="LH8" s="7"/>
      <c r="LI8" s="7"/>
      <c r="LJ8" s="7"/>
      <c r="LK8" s="6" t="s">
        <v>51</v>
      </c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7"/>
      <c r="LZ8" s="7"/>
      <c r="MA8" s="7"/>
      <c r="MB8" s="7"/>
      <c r="MC8" s="6" t="s">
        <v>51</v>
      </c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7"/>
      <c r="MR8" s="7"/>
      <c r="MS8" s="7"/>
      <c r="MT8" s="7"/>
      <c r="MU8" s="6" t="s">
        <v>51</v>
      </c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7"/>
      <c r="NJ8" s="7"/>
      <c r="NK8" s="7"/>
      <c r="NL8" s="7"/>
      <c r="NM8" s="6" t="s">
        <v>51</v>
      </c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7"/>
      <c r="OB8" s="7"/>
      <c r="OC8" s="7"/>
      <c r="OD8" s="7"/>
      <c r="OE8" s="6" t="s">
        <v>51</v>
      </c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7"/>
      <c r="OT8" s="7"/>
      <c r="OU8" s="7"/>
      <c r="OV8" s="7"/>
      <c r="OW8" s="6" t="s">
        <v>51</v>
      </c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7"/>
      <c r="PL8" s="7"/>
      <c r="PM8" s="7"/>
      <c r="PN8" s="7"/>
      <c r="PO8" s="7"/>
      <c r="PP8" s="7"/>
      <c r="PQ8" s="7"/>
      <c r="PR8" s="7"/>
      <c r="PS8" s="6" t="s">
        <v>51</v>
      </c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7"/>
      <c r="QH8" s="7"/>
      <c r="QI8" s="7"/>
      <c r="QJ8" s="7"/>
      <c r="QK8" s="6" t="s">
        <v>51</v>
      </c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7"/>
      <c r="QZ8" s="7"/>
      <c r="RA8" s="7"/>
      <c r="RB8" s="7"/>
      <c r="RC8" s="6" t="s">
        <v>51</v>
      </c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7"/>
      <c r="RR8" s="7"/>
      <c r="RS8" s="7"/>
      <c r="RT8" s="7"/>
      <c r="RU8" s="6" t="s">
        <v>51</v>
      </c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7"/>
      <c r="SJ8" s="7"/>
      <c r="SK8" s="7"/>
      <c r="SL8" s="7"/>
      <c r="SM8" s="6" t="s">
        <v>51</v>
      </c>
      <c r="SN8" s="475"/>
      <c r="SO8" s="475"/>
      <c r="SP8" s="475"/>
      <c r="SQ8" s="475"/>
      <c r="SR8" s="475"/>
      <c r="SS8" s="475"/>
      <c r="ST8" s="475"/>
      <c r="SU8" s="475"/>
      <c r="SV8" s="475"/>
      <c r="SW8" s="475"/>
      <c r="SX8" s="475"/>
      <c r="SY8" s="475"/>
      <c r="SZ8" s="475"/>
      <c r="TA8" s="476"/>
      <c r="TB8" s="476"/>
      <c r="TC8" s="476"/>
      <c r="TD8" s="476"/>
      <c r="TF8" s="6" t="s">
        <v>51</v>
      </c>
      <c r="TG8" s="475"/>
      <c r="TH8" s="475"/>
      <c r="TI8" s="475"/>
      <c r="TJ8" s="475"/>
      <c r="TK8" s="475"/>
      <c r="TL8" s="475"/>
      <c r="TM8" s="475"/>
      <c r="TN8" s="475"/>
      <c r="TO8" s="475"/>
      <c r="TP8" s="475"/>
      <c r="TQ8" s="475"/>
      <c r="TR8" s="475"/>
      <c r="TS8" s="475"/>
      <c r="TU8" s="6" t="s">
        <v>51</v>
      </c>
      <c r="TV8" s="475"/>
      <c r="TW8" s="475"/>
      <c r="TX8" s="475"/>
      <c r="TY8" s="475"/>
      <c r="TZ8" s="475"/>
      <c r="UA8" s="475"/>
      <c r="UB8" s="475"/>
      <c r="UC8" s="475"/>
      <c r="UD8" s="475"/>
      <c r="UE8" s="475"/>
      <c r="UF8" s="475"/>
      <c r="UG8" s="475"/>
      <c r="UH8" s="475"/>
      <c r="UJ8" s="6" t="s">
        <v>51</v>
      </c>
      <c r="UK8" s="475"/>
      <c r="UL8" s="475"/>
      <c r="UM8" s="475"/>
      <c r="UN8" s="475"/>
      <c r="UO8" s="475"/>
      <c r="UP8" s="475"/>
      <c r="UQ8" s="475"/>
      <c r="UR8" s="475"/>
      <c r="US8" s="475"/>
      <c r="UT8" s="475"/>
      <c r="UU8" s="475"/>
      <c r="UV8" s="475"/>
      <c r="UW8" s="475"/>
      <c r="UY8" s="6" t="s">
        <v>51</v>
      </c>
      <c r="UZ8" s="475"/>
      <c r="VA8" s="475"/>
      <c r="VB8" s="475"/>
      <c r="VC8" s="475"/>
      <c r="VD8" s="475"/>
      <c r="VE8" s="475"/>
      <c r="VF8" s="475"/>
      <c r="VG8" s="475"/>
      <c r="VH8" s="475"/>
      <c r="VI8" s="475"/>
      <c r="VJ8" s="475"/>
      <c r="VK8" s="475"/>
      <c r="VL8" s="475"/>
      <c r="VN8" s="6" t="s">
        <v>51</v>
      </c>
      <c r="VO8" s="475"/>
      <c r="VP8" s="475"/>
      <c r="VQ8" s="475"/>
      <c r="VR8" s="475"/>
      <c r="VS8" s="475"/>
      <c r="VT8" s="475"/>
      <c r="VU8" s="475"/>
      <c r="VV8" s="475"/>
      <c r="VW8" s="475"/>
      <c r="VX8" s="475"/>
      <c r="VY8" s="475"/>
      <c r="VZ8" s="475"/>
      <c r="WA8" s="475"/>
      <c r="WC8" s="6" t="s">
        <v>51</v>
      </c>
      <c r="WD8" s="475"/>
      <c r="WE8" s="475"/>
      <c r="WF8" s="475"/>
      <c r="WG8" s="475"/>
      <c r="WH8" s="475"/>
      <c r="WI8" s="475"/>
      <c r="WJ8" s="475"/>
      <c r="WK8" s="475"/>
      <c r="WL8" s="475"/>
      <c r="WM8" s="475"/>
      <c r="WN8" s="475"/>
      <c r="WO8" s="475"/>
      <c r="WP8" s="475"/>
    </row>
    <row r="9" spans="1:614" s="477" customFormat="1" ht="24.75" customHeight="1" x14ac:dyDescent="0.2">
      <c r="A9" s="6"/>
      <c r="B9" s="480"/>
      <c r="C9" s="6"/>
      <c r="D9" s="481" t="s">
        <v>179</v>
      </c>
      <c r="E9" s="1"/>
      <c r="F9" s="482" t="s">
        <v>180</v>
      </c>
      <c r="G9" s="1"/>
      <c r="H9" s="481" t="s">
        <v>180</v>
      </c>
      <c r="I9" s="102"/>
      <c r="J9" s="481" t="s">
        <v>180</v>
      </c>
      <c r="K9" s="102"/>
      <c r="L9" s="481" t="s">
        <v>179</v>
      </c>
      <c r="M9" s="102"/>
      <c r="N9" s="481" t="s">
        <v>179</v>
      </c>
      <c r="O9" s="481"/>
      <c r="P9" s="481" t="s">
        <v>179</v>
      </c>
      <c r="Q9" s="102"/>
      <c r="R9" s="481" t="s">
        <v>179</v>
      </c>
      <c r="S9" s="6"/>
      <c r="T9" s="6"/>
      <c r="U9" s="6"/>
      <c r="V9" s="481" t="s">
        <v>179</v>
      </c>
      <c r="W9" s="1"/>
      <c r="X9" s="482" t="s">
        <v>180</v>
      </c>
      <c r="Y9" s="1"/>
      <c r="Z9" s="481" t="s">
        <v>180</v>
      </c>
      <c r="AA9" s="102"/>
      <c r="AB9" s="481" t="s">
        <v>180</v>
      </c>
      <c r="AC9" s="102"/>
      <c r="AD9" s="481" t="s">
        <v>179</v>
      </c>
      <c r="AE9" s="102"/>
      <c r="AF9" s="481" t="s">
        <v>179</v>
      </c>
      <c r="AG9" s="481"/>
      <c r="AH9" s="481" t="s">
        <v>179</v>
      </c>
      <c r="AI9" s="102"/>
      <c r="AJ9" s="481" t="s">
        <v>179</v>
      </c>
      <c r="AK9" s="6"/>
      <c r="AL9" s="6"/>
      <c r="AM9" s="6"/>
      <c r="AN9" s="481" t="s">
        <v>179</v>
      </c>
      <c r="AO9" s="102"/>
      <c r="AP9" s="481" t="s">
        <v>180</v>
      </c>
      <c r="AQ9" s="102"/>
      <c r="AR9" s="481" t="s">
        <v>180</v>
      </c>
      <c r="AS9" s="102"/>
      <c r="AT9" s="481" t="s">
        <v>180</v>
      </c>
      <c r="AU9" s="102"/>
      <c r="AV9" s="481" t="s">
        <v>179</v>
      </c>
      <c r="AW9" s="102"/>
      <c r="AX9" s="481" t="s">
        <v>179</v>
      </c>
      <c r="AY9" s="102"/>
      <c r="AZ9" s="481" t="s">
        <v>179</v>
      </c>
      <c r="BA9" s="6"/>
      <c r="BB9" s="6"/>
      <c r="BC9" s="6"/>
      <c r="BD9" s="481" t="s">
        <v>179</v>
      </c>
      <c r="BE9" s="1"/>
      <c r="BF9" s="482" t="s">
        <v>180</v>
      </c>
      <c r="BG9" s="1"/>
      <c r="BH9" s="481" t="s">
        <v>180</v>
      </c>
      <c r="BI9" s="102"/>
      <c r="BJ9" s="481" t="s">
        <v>180</v>
      </c>
      <c r="BK9" s="102"/>
      <c r="BL9" s="481" t="s">
        <v>179</v>
      </c>
      <c r="BM9" s="102"/>
      <c r="BN9" s="481" t="s">
        <v>179</v>
      </c>
      <c r="BO9" s="481"/>
      <c r="BP9" s="481" t="s">
        <v>179</v>
      </c>
      <c r="BQ9" s="102"/>
      <c r="BR9" s="481" t="s">
        <v>179</v>
      </c>
      <c r="BS9" s="6"/>
      <c r="BT9" s="6"/>
      <c r="BU9" s="6"/>
      <c r="BV9" s="481" t="s">
        <v>179</v>
      </c>
      <c r="BW9" s="1"/>
      <c r="BX9" s="482" t="s">
        <v>180</v>
      </c>
      <c r="BY9" s="1"/>
      <c r="BZ9" s="481" t="s">
        <v>180</v>
      </c>
      <c r="CA9" s="102"/>
      <c r="CB9" s="481" t="s">
        <v>180</v>
      </c>
      <c r="CC9" s="102"/>
      <c r="CD9" s="481" t="s">
        <v>179</v>
      </c>
      <c r="CE9" s="102"/>
      <c r="CF9" s="481" t="s">
        <v>179</v>
      </c>
      <c r="CG9" s="481"/>
      <c r="CH9" s="481" t="s">
        <v>179</v>
      </c>
      <c r="CI9" s="102"/>
      <c r="CJ9" s="481" t="s">
        <v>179</v>
      </c>
      <c r="CK9" s="6"/>
      <c r="CL9" s="6"/>
      <c r="CM9" s="6"/>
      <c r="CN9" s="481" t="s">
        <v>179</v>
      </c>
      <c r="CO9" s="1"/>
      <c r="CP9" s="482" t="s">
        <v>180</v>
      </c>
      <c r="CQ9" s="1"/>
      <c r="CR9" s="481" t="s">
        <v>180</v>
      </c>
      <c r="CS9" s="102"/>
      <c r="CT9" s="481" t="s">
        <v>180</v>
      </c>
      <c r="CU9" s="102"/>
      <c r="CV9" s="481" t="s">
        <v>179</v>
      </c>
      <c r="CW9" s="102"/>
      <c r="CX9" s="481" t="s">
        <v>179</v>
      </c>
      <c r="CY9" s="481"/>
      <c r="CZ9" s="481" t="s">
        <v>179</v>
      </c>
      <c r="DA9" s="102"/>
      <c r="DB9" s="481" t="s">
        <v>179</v>
      </c>
      <c r="DC9" s="6"/>
      <c r="DD9" s="6"/>
      <c r="DE9" s="6"/>
      <c r="DF9" s="481" t="s">
        <v>179</v>
      </c>
      <c r="DG9" s="1"/>
      <c r="DH9" s="482" t="s">
        <v>180</v>
      </c>
      <c r="DI9" s="1"/>
      <c r="DJ9" s="481" t="s">
        <v>180</v>
      </c>
      <c r="DK9" s="102"/>
      <c r="DL9" s="481" t="s">
        <v>180</v>
      </c>
      <c r="DM9" s="102"/>
      <c r="DN9" s="481" t="s">
        <v>179</v>
      </c>
      <c r="DO9" s="102"/>
      <c r="DP9" s="481" t="s">
        <v>179</v>
      </c>
      <c r="DQ9" s="481"/>
      <c r="DR9" s="481" t="s">
        <v>179</v>
      </c>
      <c r="DS9" s="102"/>
      <c r="DT9" s="481" t="s">
        <v>179</v>
      </c>
      <c r="DU9" s="6"/>
      <c r="DV9" s="6"/>
      <c r="DW9" s="6"/>
      <c r="DX9" s="481" t="s">
        <v>179</v>
      </c>
      <c r="DY9" s="1"/>
      <c r="DZ9" s="482" t="s">
        <v>180</v>
      </c>
      <c r="EA9" s="1"/>
      <c r="EB9" s="481" t="s">
        <v>180</v>
      </c>
      <c r="EC9" s="102"/>
      <c r="ED9" s="481" t="s">
        <v>180</v>
      </c>
      <c r="EE9" s="102"/>
      <c r="EF9" s="481" t="s">
        <v>179</v>
      </c>
      <c r="EG9" s="102"/>
      <c r="EH9" s="481" t="s">
        <v>179</v>
      </c>
      <c r="EI9" s="481"/>
      <c r="EJ9" s="481" t="s">
        <v>179</v>
      </c>
      <c r="EK9" s="102"/>
      <c r="EL9" s="481" t="s">
        <v>179</v>
      </c>
      <c r="EM9" s="6"/>
      <c r="EN9" s="6"/>
      <c r="EO9" s="6"/>
      <c r="EP9" s="481" t="s">
        <v>179</v>
      </c>
      <c r="EQ9" s="1"/>
      <c r="ER9" s="482" t="s">
        <v>180</v>
      </c>
      <c r="ES9" s="1"/>
      <c r="ET9" s="481" t="s">
        <v>180</v>
      </c>
      <c r="EU9" s="102"/>
      <c r="EV9" s="481" t="s">
        <v>180</v>
      </c>
      <c r="EW9" s="102"/>
      <c r="EX9" s="481" t="s">
        <v>179</v>
      </c>
      <c r="EY9" s="102"/>
      <c r="EZ9" s="481" t="s">
        <v>179</v>
      </c>
      <c r="FA9" s="481"/>
      <c r="FB9" s="481" t="s">
        <v>179</v>
      </c>
      <c r="FC9" s="102"/>
      <c r="FD9" s="481" t="s">
        <v>179</v>
      </c>
      <c r="FE9" s="6"/>
      <c r="FF9" s="6"/>
      <c r="FG9" s="6"/>
      <c r="FH9" s="481" t="s">
        <v>179</v>
      </c>
      <c r="FI9" s="1"/>
      <c r="FJ9" s="482" t="s">
        <v>180</v>
      </c>
      <c r="FK9" s="1"/>
      <c r="FL9" s="481" t="s">
        <v>180</v>
      </c>
      <c r="FM9" s="102"/>
      <c r="FN9" s="481" t="s">
        <v>180</v>
      </c>
      <c r="FO9" s="102"/>
      <c r="FP9" s="481" t="s">
        <v>179</v>
      </c>
      <c r="FQ9" s="102"/>
      <c r="FR9" s="481" t="s">
        <v>179</v>
      </c>
      <c r="FS9" s="481"/>
      <c r="FT9" s="481" t="s">
        <v>179</v>
      </c>
      <c r="FU9" s="102"/>
      <c r="FV9" s="481" t="s">
        <v>179</v>
      </c>
      <c r="FW9" s="6"/>
      <c r="FX9" s="6"/>
      <c r="FY9" s="6"/>
      <c r="FZ9" s="481" t="s">
        <v>179</v>
      </c>
      <c r="GA9" s="1"/>
      <c r="GB9" s="482" t="s">
        <v>180</v>
      </c>
      <c r="GC9" s="1"/>
      <c r="GD9" s="481" t="s">
        <v>180</v>
      </c>
      <c r="GE9" s="102"/>
      <c r="GF9" s="481" t="s">
        <v>180</v>
      </c>
      <c r="GG9" s="102"/>
      <c r="GH9" s="481" t="s">
        <v>179</v>
      </c>
      <c r="GI9" s="102"/>
      <c r="GJ9" s="481" t="s">
        <v>179</v>
      </c>
      <c r="GK9" s="481"/>
      <c r="GL9" s="481" t="s">
        <v>179</v>
      </c>
      <c r="GM9" s="102"/>
      <c r="GN9" s="481" t="s">
        <v>179</v>
      </c>
      <c r="GO9" s="6"/>
      <c r="GP9" s="6"/>
      <c r="GQ9" s="6"/>
      <c r="GR9" s="481" t="s">
        <v>179</v>
      </c>
      <c r="GS9" s="1"/>
      <c r="GT9" s="482" t="s">
        <v>180</v>
      </c>
      <c r="GU9" s="1"/>
      <c r="GV9" s="481" t="s">
        <v>180</v>
      </c>
      <c r="GW9" s="102"/>
      <c r="GX9" s="481" t="s">
        <v>180</v>
      </c>
      <c r="GY9" s="102"/>
      <c r="GZ9" s="481" t="s">
        <v>179</v>
      </c>
      <c r="HA9" s="102"/>
      <c r="HB9" s="481" t="s">
        <v>179</v>
      </c>
      <c r="HC9" s="481"/>
      <c r="HD9" s="481" t="s">
        <v>179</v>
      </c>
      <c r="HE9" s="102"/>
      <c r="HF9" s="481" t="s">
        <v>179</v>
      </c>
      <c r="HG9" s="6"/>
      <c r="HH9" s="6"/>
      <c r="HI9" s="6"/>
      <c r="HJ9" s="481" t="s">
        <v>179</v>
      </c>
      <c r="HK9" s="1"/>
      <c r="HL9" s="482" t="s">
        <v>180</v>
      </c>
      <c r="HM9" s="1"/>
      <c r="HN9" s="481" t="s">
        <v>180</v>
      </c>
      <c r="HO9" s="102"/>
      <c r="HP9" s="481" t="s">
        <v>180</v>
      </c>
      <c r="HQ9" s="102"/>
      <c r="HR9" s="481" t="s">
        <v>179</v>
      </c>
      <c r="HS9" s="102"/>
      <c r="HT9" s="481" t="s">
        <v>179</v>
      </c>
      <c r="HU9" s="481"/>
      <c r="HV9" s="481" t="s">
        <v>179</v>
      </c>
      <c r="HW9" s="102"/>
      <c r="HX9" s="481" t="s">
        <v>179</v>
      </c>
      <c r="HY9" s="6"/>
      <c r="HZ9" s="6"/>
      <c r="IA9" s="6"/>
      <c r="IB9" s="481" t="s">
        <v>179</v>
      </c>
      <c r="IC9" s="1"/>
      <c r="ID9" s="482" t="s">
        <v>180</v>
      </c>
      <c r="IE9" s="1"/>
      <c r="IF9" s="481" t="s">
        <v>180</v>
      </c>
      <c r="IG9" s="102"/>
      <c r="IH9" s="481" t="s">
        <v>180</v>
      </c>
      <c r="II9" s="102"/>
      <c r="IJ9" s="481" t="s">
        <v>179</v>
      </c>
      <c r="IK9" s="102"/>
      <c r="IL9" s="481" t="s">
        <v>179</v>
      </c>
      <c r="IM9" s="481"/>
      <c r="IN9" s="481" t="s">
        <v>179</v>
      </c>
      <c r="IO9" s="102"/>
      <c r="IP9" s="481" t="s">
        <v>179</v>
      </c>
      <c r="IQ9" s="6"/>
      <c r="IR9" s="6"/>
      <c r="IS9" s="6"/>
      <c r="IT9" s="481" t="s">
        <v>179</v>
      </c>
      <c r="IU9" s="1"/>
      <c r="IV9" s="482" t="s">
        <v>180</v>
      </c>
      <c r="IW9" s="1"/>
      <c r="IX9" s="481" t="s">
        <v>180</v>
      </c>
      <c r="IY9" s="102"/>
      <c r="IZ9" s="481" t="s">
        <v>180</v>
      </c>
      <c r="JA9" s="102"/>
      <c r="JB9" s="481" t="s">
        <v>179</v>
      </c>
      <c r="JC9" s="102"/>
      <c r="JD9" s="481" t="s">
        <v>179</v>
      </c>
      <c r="JE9" s="481"/>
      <c r="JF9" s="481" t="s">
        <v>179</v>
      </c>
      <c r="JG9" s="102"/>
      <c r="JH9" s="481" t="s">
        <v>179</v>
      </c>
      <c r="JI9" s="6"/>
      <c r="JJ9" s="6"/>
      <c r="JK9" s="6"/>
      <c r="JL9" s="481" t="s">
        <v>179</v>
      </c>
      <c r="JM9" s="1"/>
      <c r="JN9" s="482" t="s">
        <v>180</v>
      </c>
      <c r="JO9" s="1"/>
      <c r="JP9" s="481" t="s">
        <v>180</v>
      </c>
      <c r="JQ9" s="102"/>
      <c r="JR9" s="481" t="s">
        <v>180</v>
      </c>
      <c r="JS9" s="102"/>
      <c r="JT9" s="481" t="s">
        <v>179</v>
      </c>
      <c r="JU9" s="102"/>
      <c r="JV9" s="481" t="s">
        <v>179</v>
      </c>
      <c r="JW9" s="481"/>
      <c r="JX9" s="481" t="s">
        <v>179</v>
      </c>
      <c r="JY9" s="102"/>
      <c r="JZ9" s="481" t="s">
        <v>179</v>
      </c>
      <c r="KA9" s="6"/>
      <c r="KB9" s="6"/>
      <c r="KC9" s="6"/>
      <c r="KD9" s="481" t="s">
        <v>179</v>
      </c>
      <c r="KE9" s="1"/>
      <c r="KF9" s="482" t="s">
        <v>180</v>
      </c>
      <c r="KG9" s="1"/>
      <c r="KH9" s="481" t="s">
        <v>180</v>
      </c>
      <c r="KI9" s="102"/>
      <c r="KJ9" s="481" t="s">
        <v>180</v>
      </c>
      <c r="KK9" s="102"/>
      <c r="KL9" s="481" t="s">
        <v>179</v>
      </c>
      <c r="KM9" s="102"/>
      <c r="KN9" s="481" t="s">
        <v>179</v>
      </c>
      <c r="KO9" s="481"/>
      <c r="KP9" s="481" t="s">
        <v>179</v>
      </c>
      <c r="KQ9" s="102"/>
      <c r="KR9" s="481" t="s">
        <v>179</v>
      </c>
      <c r="KS9" s="6"/>
      <c r="KT9" s="6"/>
      <c r="KU9" s="6"/>
      <c r="KV9" s="481" t="s">
        <v>179</v>
      </c>
      <c r="KW9" s="1"/>
      <c r="KX9" s="482" t="s">
        <v>180</v>
      </c>
      <c r="KY9" s="1"/>
      <c r="KZ9" s="481" t="s">
        <v>180</v>
      </c>
      <c r="LA9" s="102"/>
      <c r="LB9" s="481" t="s">
        <v>180</v>
      </c>
      <c r="LC9" s="102"/>
      <c r="LD9" s="481" t="s">
        <v>179</v>
      </c>
      <c r="LE9" s="102"/>
      <c r="LF9" s="481" t="s">
        <v>179</v>
      </c>
      <c r="LG9" s="481"/>
      <c r="LH9" s="481" t="s">
        <v>179</v>
      </c>
      <c r="LI9" s="102"/>
      <c r="LJ9" s="481" t="s">
        <v>179</v>
      </c>
      <c r="LK9" s="6"/>
      <c r="LL9" s="6"/>
      <c r="LM9" s="6"/>
      <c r="LN9" s="481" t="s">
        <v>179</v>
      </c>
      <c r="LO9" s="1"/>
      <c r="LP9" s="482" t="s">
        <v>180</v>
      </c>
      <c r="LQ9" s="1"/>
      <c r="LR9" s="481" t="s">
        <v>180</v>
      </c>
      <c r="LS9" s="102"/>
      <c r="LT9" s="481" t="s">
        <v>180</v>
      </c>
      <c r="LU9" s="102"/>
      <c r="LV9" s="481" t="s">
        <v>179</v>
      </c>
      <c r="LW9" s="102"/>
      <c r="LX9" s="481" t="s">
        <v>179</v>
      </c>
      <c r="LY9" s="481"/>
      <c r="LZ9" s="481" t="s">
        <v>179</v>
      </c>
      <c r="MA9" s="102"/>
      <c r="MB9" s="481" t="s">
        <v>179</v>
      </c>
      <c r="MC9" s="6"/>
      <c r="MD9" s="6"/>
      <c r="ME9" s="6"/>
      <c r="MF9" s="481" t="s">
        <v>179</v>
      </c>
      <c r="MG9" s="1"/>
      <c r="MH9" s="482" t="s">
        <v>180</v>
      </c>
      <c r="MI9" s="1"/>
      <c r="MJ9" s="481" t="s">
        <v>180</v>
      </c>
      <c r="MK9" s="102"/>
      <c r="ML9" s="481" t="s">
        <v>180</v>
      </c>
      <c r="MM9" s="102"/>
      <c r="MN9" s="481" t="s">
        <v>179</v>
      </c>
      <c r="MO9" s="102"/>
      <c r="MP9" s="481" t="s">
        <v>179</v>
      </c>
      <c r="MQ9" s="481"/>
      <c r="MR9" s="481" t="s">
        <v>179</v>
      </c>
      <c r="MS9" s="102"/>
      <c r="MT9" s="481" t="s">
        <v>179</v>
      </c>
      <c r="MU9" s="6"/>
      <c r="MV9" s="6"/>
      <c r="MW9" s="6"/>
      <c r="MX9" s="481" t="s">
        <v>179</v>
      </c>
      <c r="MY9" s="1"/>
      <c r="MZ9" s="482" t="s">
        <v>180</v>
      </c>
      <c r="NA9" s="1"/>
      <c r="NB9" s="481" t="s">
        <v>180</v>
      </c>
      <c r="NC9" s="102"/>
      <c r="ND9" s="481" t="s">
        <v>180</v>
      </c>
      <c r="NE9" s="102"/>
      <c r="NF9" s="481" t="s">
        <v>179</v>
      </c>
      <c r="NG9" s="102"/>
      <c r="NH9" s="481" t="s">
        <v>179</v>
      </c>
      <c r="NI9" s="481"/>
      <c r="NJ9" s="481" t="s">
        <v>179</v>
      </c>
      <c r="NK9" s="102"/>
      <c r="NL9" s="481" t="s">
        <v>179</v>
      </c>
      <c r="NM9" s="6"/>
      <c r="NN9" s="6"/>
      <c r="NO9" s="6"/>
      <c r="NP9" s="481" t="s">
        <v>179</v>
      </c>
      <c r="NQ9" s="1"/>
      <c r="NR9" s="482" t="s">
        <v>180</v>
      </c>
      <c r="NS9" s="1"/>
      <c r="NT9" s="481" t="s">
        <v>180</v>
      </c>
      <c r="NU9" s="102"/>
      <c r="NV9" s="481" t="s">
        <v>180</v>
      </c>
      <c r="NW9" s="102"/>
      <c r="NX9" s="481" t="s">
        <v>179</v>
      </c>
      <c r="NY9" s="102"/>
      <c r="NZ9" s="481" t="s">
        <v>179</v>
      </c>
      <c r="OA9" s="481"/>
      <c r="OB9" s="481" t="s">
        <v>179</v>
      </c>
      <c r="OC9" s="102"/>
      <c r="OD9" s="481" t="s">
        <v>179</v>
      </c>
      <c r="OE9" s="6"/>
      <c r="OF9" s="6"/>
      <c r="OG9" s="6"/>
      <c r="OH9" s="481" t="s">
        <v>179</v>
      </c>
      <c r="OI9" s="1"/>
      <c r="OJ9" s="482" t="s">
        <v>180</v>
      </c>
      <c r="OK9" s="1"/>
      <c r="OL9" s="481" t="s">
        <v>180</v>
      </c>
      <c r="OM9" s="102"/>
      <c r="ON9" s="481" t="s">
        <v>180</v>
      </c>
      <c r="OO9" s="102"/>
      <c r="OP9" s="481" t="s">
        <v>179</v>
      </c>
      <c r="OQ9" s="102"/>
      <c r="OR9" s="481" t="s">
        <v>179</v>
      </c>
      <c r="OS9" s="481"/>
      <c r="OT9" s="481" t="s">
        <v>179</v>
      </c>
      <c r="OU9" s="102"/>
      <c r="OV9" s="481" t="s">
        <v>179</v>
      </c>
      <c r="OW9" s="6"/>
      <c r="OX9" s="6"/>
      <c r="OY9" s="6"/>
      <c r="OZ9" s="481" t="s">
        <v>179</v>
      </c>
      <c r="PA9" s="1"/>
      <c r="PB9" s="482" t="s">
        <v>180</v>
      </c>
      <c r="PC9" s="1"/>
      <c r="PD9" s="481" t="s">
        <v>180</v>
      </c>
      <c r="PE9" s="102"/>
      <c r="PF9" s="481" t="s">
        <v>180</v>
      </c>
      <c r="PG9" s="102"/>
      <c r="PH9" s="481" t="s">
        <v>179</v>
      </c>
      <c r="PI9" s="102"/>
      <c r="PJ9" s="481" t="s">
        <v>179</v>
      </c>
      <c r="PK9" s="481"/>
      <c r="PL9" s="481" t="s">
        <v>179</v>
      </c>
      <c r="PM9" s="102"/>
      <c r="PN9" s="481" t="s">
        <v>179</v>
      </c>
      <c r="PO9" s="7"/>
      <c r="PP9" s="7"/>
      <c r="PQ9" s="7"/>
      <c r="PR9" s="7"/>
      <c r="PS9" s="6"/>
      <c r="PT9" s="6"/>
      <c r="PU9" s="6"/>
      <c r="PV9" s="481" t="s">
        <v>179</v>
      </c>
      <c r="PW9" s="1"/>
      <c r="PX9" s="482" t="s">
        <v>180</v>
      </c>
      <c r="PY9" s="1"/>
      <c r="PZ9" s="481" t="s">
        <v>180</v>
      </c>
      <c r="QA9" s="102"/>
      <c r="QB9" s="481" t="s">
        <v>180</v>
      </c>
      <c r="QC9" s="102"/>
      <c r="QD9" s="481" t="s">
        <v>179</v>
      </c>
      <c r="QE9" s="102"/>
      <c r="QF9" s="481" t="s">
        <v>179</v>
      </c>
      <c r="QG9" s="481"/>
      <c r="QH9" s="481" t="s">
        <v>179</v>
      </c>
      <c r="QI9" s="102"/>
      <c r="QJ9" s="481" t="s">
        <v>179</v>
      </c>
      <c r="QK9" s="6"/>
      <c r="QL9" s="6"/>
      <c r="QM9" s="6"/>
      <c r="QN9" s="481" t="s">
        <v>179</v>
      </c>
      <c r="QO9" s="1"/>
      <c r="QP9" s="482" t="s">
        <v>180</v>
      </c>
      <c r="QQ9" s="1"/>
      <c r="QR9" s="481" t="s">
        <v>180</v>
      </c>
      <c r="QS9" s="102"/>
      <c r="QT9" s="481" t="s">
        <v>180</v>
      </c>
      <c r="QU9" s="102"/>
      <c r="QV9" s="481" t="s">
        <v>179</v>
      </c>
      <c r="QW9" s="102"/>
      <c r="QX9" s="481" t="s">
        <v>179</v>
      </c>
      <c r="QY9" s="481"/>
      <c r="QZ9" s="481" t="s">
        <v>179</v>
      </c>
      <c r="RA9" s="102"/>
      <c r="RB9" s="481" t="s">
        <v>179</v>
      </c>
      <c r="RC9" s="6"/>
      <c r="RD9" s="6"/>
      <c r="RE9" s="6"/>
      <c r="RF9" s="481" t="s">
        <v>179</v>
      </c>
      <c r="RG9" s="1"/>
      <c r="RH9" s="482" t="s">
        <v>180</v>
      </c>
      <c r="RI9" s="1"/>
      <c r="RJ9" s="481" t="s">
        <v>180</v>
      </c>
      <c r="RK9" s="102"/>
      <c r="RL9" s="481" t="s">
        <v>180</v>
      </c>
      <c r="RM9" s="102"/>
      <c r="RN9" s="481" t="s">
        <v>179</v>
      </c>
      <c r="RO9" s="102"/>
      <c r="RP9" s="481" t="s">
        <v>179</v>
      </c>
      <c r="RQ9" s="481"/>
      <c r="RR9" s="481" t="s">
        <v>179</v>
      </c>
      <c r="RS9" s="102"/>
      <c r="RT9" s="481" t="s">
        <v>179</v>
      </c>
      <c r="RU9" s="6"/>
      <c r="RV9" s="6"/>
      <c r="RW9" s="6"/>
      <c r="RX9" s="481" t="s">
        <v>179</v>
      </c>
      <c r="RY9" s="1"/>
      <c r="RZ9" s="482" t="s">
        <v>180</v>
      </c>
      <c r="SA9" s="1"/>
      <c r="SB9" s="481" t="s">
        <v>180</v>
      </c>
      <c r="SC9" s="102"/>
      <c r="SD9" s="481" t="s">
        <v>180</v>
      </c>
      <c r="SE9" s="102"/>
      <c r="SF9" s="481" t="s">
        <v>179</v>
      </c>
      <c r="SG9" s="102"/>
      <c r="SH9" s="481" t="s">
        <v>179</v>
      </c>
      <c r="SI9" s="481"/>
      <c r="SJ9" s="481" t="s">
        <v>179</v>
      </c>
      <c r="SK9" s="102"/>
      <c r="SL9" s="481" t="s">
        <v>179</v>
      </c>
      <c r="SM9" s="6"/>
      <c r="SN9" s="6"/>
      <c r="SO9" s="6"/>
      <c r="SP9" s="481" t="s">
        <v>179</v>
      </c>
      <c r="SQ9" s="1"/>
      <c r="SR9" s="482" t="s">
        <v>180</v>
      </c>
      <c r="SS9" s="1"/>
      <c r="ST9" s="481" t="s">
        <v>180</v>
      </c>
      <c r="SU9" s="102"/>
      <c r="SV9" s="481" t="s">
        <v>180</v>
      </c>
      <c r="SW9" s="102"/>
      <c r="SX9" s="481" t="s">
        <v>179</v>
      </c>
      <c r="SY9" s="102"/>
      <c r="SZ9" s="481" t="s">
        <v>179</v>
      </c>
      <c r="TA9" s="481"/>
      <c r="TB9" s="481" t="s">
        <v>179</v>
      </c>
      <c r="TC9" s="102"/>
      <c r="TD9" s="481" t="s">
        <v>179</v>
      </c>
      <c r="TF9" s="6"/>
      <c r="TG9" s="6"/>
      <c r="TH9" s="6"/>
      <c r="TI9" s="482" t="s">
        <v>180</v>
      </c>
      <c r="TJ9" s="1"/>
      <c r="TK9" s="482" t="s">
        <v>180</v>
      </c>
      <c r="TL9" s="1"/>
      <c r="TM9" s="481" t="s">
        <v>180</v>
      </c>
      <c r="TN9" s="102"/>
      <c r="TO9" s="481" t="s">
        <v>180</v>
      </c>
      <c r="TP9" s="102"/>
      <c r="TQ9" s="481" t="s">
        <v>179</v>
      </c>
      <c r="TR9" s="102"/>
      <c r="TS9" s="481" t="s">
        <v>179</v>
      </c>
      <c r="TU9" s="6"/>
      <c r="TV9" s="6"/>
      <c r="TW9" s="6"/>
      <c r="TX9" s="482" t="s">
        <v>180</v>
      </c>
      <c r="TY9" s="1"/>
      <c r="TZ9" s="482" t="s">
        <v>180</v>
      </c>
      <c r="UA9" s="1"/>
      <c r="UB9" s="481" t="s">
        <v>180</v>
      </c>
      <c r="UC9" s="102"/>
      <c r="UD9" s="481" t="s">
        <v>180</v>
      </c>
      <c r="UE9" s="102"/>
      <c r="UF9" s="481" t="s">
        <v>179</v>
      </c>
      <c r="UG9" s="102"/>
      <c r="UH9" s="481" t="s">
        <v>179</v>
      </c>
      <c r="UJ9" s="6"/>
      <c r="UK9" s="6"/>
      <c r="UL9" s="6"/>
      <c r="UM9" s="482" t="s">
        <v>180</v>
      </c>
      <c r="UN9" s="1"/>
      <c r="UO9" s="482" t="s">
        <v>180</v>
      </c>
      <c r="UP9" s="1"/>
      <c r="UQ9" s="481" t="s">
        <v>180</v>
      </c>
      <c r="UR9" s="102"/>
      <c r="US9" s="481" t="s">
        <v>180</v>
      </c>
      <c r="UT9" s="102"/>
      <c r="UU9" s="481" t="s">
        <v>179</v>
      </c>
      <c r="UV9" s="102"/>
      <c r="UW9" s="481" t="s">
        <v>179</v>
      </c>
      <c r="UY9" s="6"/>
      <c r="UZ9" s="6"/>
      <c r="VA9" s="6"/>
      <c r="VB9" s="22" t="s">
        <v>181</v>
      </c>
      <c r="VC9" s="22"/>
      <c r="VD9" s="22" t="s">
        <v>180</v>
      </c>
      <c r="VE9" s="22"/>
      <c r="VF9" s="22" t="s">
        <v>180</v>
      </c>
      <c r="VG9" s="22"/>
      <c r="VH9" s="22" t="s">
        <v>180</v>
      </c>
      <c r="VI9" s="22"/>
      <c r="VJ9" s="22" t="s">
        <v>181</v>
      </c>
      <c r="VK9" s="22"/>
      <c r="VL9" s="22" t="s">
        <v>179</v>
      </c>
      <c r="VN9" s="6"/>
      <c r="VO9" s="6"/>
      <c r="VP9" s="6"/>
      <c r="VQ9" s="22" t="s">
        <v>181</v>
      </c>
      <c r="VR9" s="22"/>
      <c r="VS9" s="22" t="s">
        <v>180</v>
      </c>
      <c r="VT9" s="22"/>
      <c r="VU9" s="22" t="s">
        <v>180</v>
      </c>
      <c r="VV9" s="22"/>
      <c r="VW9" s="22" t="s">
        <v>180</v>
      </c>
      <c r="VX9" s="22"/>
      <c r="VY9" s="22" t="s">
        <v>181</v>
      </c>
      <c r="VZ9" s="22"/>
      <c r="WA9" s="22" t="s">
        <v>179</v>
      </c>
      <c r="WC9" s="6"/>
      <c r="WD9" s="6"/>
      <c r="WE9" s="6"/>
      <c r="WF9" s="22" t="s">
        <v>181</v>
      </c>
      <c r="WG9" s="22"/>
      <c r="WH9" s="22" t="s">
        <v>180</v>
      </c>
      <c r="WI9" s="22"/>
      <c r="WJ9" s="22" t="s">
        <v>180</v>
      </c>
      <c r="WK9" s="22"/>
      <c r="WL9" s="22" t="s">
        <v>180</v>
      </c>
      <c r="WM9" s="22"/>
      <c r="WN9" s="22" t="s">
        <v>181</v>
      </c>
      <c r="WO9" s="22"/>
      <c r="WP9" s="22" t="s">
        <v>179</v>
      </c>
    </row>
    <row r="10" spans="1:614" x14ac:dyDescent="0.2">
      <c r="A10" s="8"/>
      <c r="B10" s="480"/>
      <c r="C10" s="8"/>
      <c r="D10" s="483"/>
      <c r="E10" s="484"/>
      <c r="F10" s="484"/>
      <c r="G10" s="484"/>
      <c r="H10" s="484"/>
      <c r="I10" s="484"/>
      <c r="J10" s="109"/>
      <c r="K10" s="109"/>
      <c r="L10" s="109"/>
      <c r="M10" s="109"/>
      <c r="N10" s="110"/>
      <c r="O10" s="109"/>
      <c r="P10" s="109"/>
      <c r="Q10" s="109"/>
      <c r="R10" s="110"/>
      <c r="S10" s="8"/>
      <c r="T10" s="8"/>
      <c r="U10" s="8"/>
      <c r="V10" s="483"/>
      <c r="W10" s="484"/>
      <c r="X10" s="484"/>
      <c r="Y10" s="484"/>
      <c r="Z10" s="484"/>
      <c r="AA10" s="484"/>
      <c r="AB10" s="109"/>
      <c r="AC10" s="109"/>
      <c r="AD10" s="109"/>
      <c r="AE10" s="109"/>
      <c r="AF10" s="110"/>
      <c r="AG10" s="109"/>
      <c r="AH10" s="109"/>
      <c r="AI10" s="109"/>
      <c r="AJ10" s="110"/>
      <c r="AK10" s="8"/>
      <c r="AL10" s="8"/>
      <c r="AM10" s="8"/>
      <c r="AN10" s="483"/>
      <c r="AO10" s="484"/>
      <c r="AP10" s="484"/>
      <c r="AQ10" s="484"/>
      <c r="AR10" s="484"/>
      <c r="AS10" s="484"/>
      <c r="AT10" s="109"/>
      <c r="AU10" s="109"/>
      <c r="AV10" s="109"/>
      <c r="AW10" s="109"/>
      <c r="AX10" s="110"/>
      <c r="AY10" s="109"/>
      <c r="AZ10" s="109"/>
      <c r="BA10" s="8"/>
      <c r="BB10" s="8"/>
      <c r="BC10" s="8"/>
      <c r="BD10" s="483"/>
      <c r="BE10" s="484"/>
      <c r="BF10" s="484"/>
      <c r="BG10" s="484"/>
      <c r="BH10" s="484"/>
      <c r="BI10" s="484"/>
      <c r="BJ10" s="109"/>
      <c r="BK10" s="109"/>
      <c r="BL10" s="109"/>
      <c r="BM10" s="109"/>
      <c r="BN10" s="110"/>
      <c r="BO10" s="109"/>
      <c r="BP10" s="109"/>
      <c r="BQ10" s="109"/>
      <c r="BR10" s="110"/>
      <c r="BS10" s="8"/>
      <c r="BT10" s="8"/>
      <c r="BU10" s="8"/>
      <c r="BV10" s="483"/>
      <c r="BW10" s="484"/>
      <c r="BX10" s="484"/>
      <c r="BY10" s="484"/>
      <c r="BZ10" s="484"/>
      <c r="CA10" s="484"/>
      <c r="CB10" s="109"/>
      <c r="CC10" s="109"/>
      <c r="CD10" s="109"/>
      <c r="CE10" s="109"/>
      <c r="CF10" s="110"/>
      <c r="CG10" s="109"/>
      <c r="CH10" s="109"/>
      <c r="CI10" s="109"/>
      <c r="CJ10" s="110"/>
      <c r="CK10" s="8"/>
      <c r="CL10" s="8"/>
      <c r="CM10" s="8"/>
      <c r="CN10" s="483"/>
      <c r="CO10" s="484"/>
      <c r="CP10" s="484"/>
      <c r="CQ10" s="484"/>
      <c r="CR10" s="484"/>
      <c r="CS10" s="484"/>
      <c r="CT10" s="109"/>
      <c r="CU10" s="109"/>
      <c r="CV10" s="109"/>
      <c r="CW10" s="109"/>
      <c r="CX10" s="110"/>
      <c r="CY10" s="109"/>
      <c r="CZ10" s="109"/>
      <c r="DA10" s="109"/>
      <c r="DB10" s="110"/>
      <c r="DC10" s="8"/>
      <c r="DD10" s="8"/>
      <c r="DE10" s="8"/>
      <c r="DF10" s="483"/>
      <c r="DG10" s="484"/>
      <c r="DH10" s="484"/>
      <c r="DI10" s="484"/>
      <c r="DJ10" s="484"/>
      <c r="DK10" s="484"/>
      <c r="DL10" s="109"/>
      <c r="DM10" s="109"/>
      <c r="DN10" s="109"/>
      <c r="DO10" s="109"/>
      <c r="DP10" s="110"/>
      <c r="DQ10" s="109"/>
      <c r="DR10" s="109"/>
      <c r="DS10" s="109"/>
      <c r="DT10" s="110"/>
      <c r="DU10" s="8"/>
      <c r="DV10" s="8"/>
      <c r="DW10" s="8"/>
      <c r="DX10" s="483"/>
      <c r="DY10" s="484"/>
      <c r="DZ10" s="484"/>
      <c r="EA10" s="484"/>
      <c r="EB10" s="484"/>
      <c r="EC10" s="484"/>
      <c r="ED10" s="109"/>
      <c r="EE10" s="109"/>
      <c r="EF10" s="109"/>
      <c r="EG10" s="109"/>
      <c r="EH10" s="110"/>
      <c r="EI10" s="109"/>
      <c r="EJ10" s="109"/>
      <c r="EK10" s="109"/>
      <c r="EL10" s="110"/>
      <c r="EM10" s="8"/>
      <c r="EN10" s="8"/>
      <c r="EO10" s="8"/>
      <c r="EP10" s="483"/>
      <c r="EQ10" s="484"/>
      <c r="ER10" s="484"/>
      <c r="ES10" s="484"/>
      <c r="ET10" s="484"/>
      <c r="EU10" s="484"/>
      <c r="EV10" s="109"/>
      <c r="EW10" s="109"/>
      <c r="EX10" s="109"/>
      <c r="EY10" s="109"/>
      <c r="EZ10" s="110"/>
      <c r="FA10" s="109"/>
      <c r="FB10" s="109"/>
      <c r="FC10" s="109"/>
      <c r="FD10" s="110"/>
      <c r="FE10" s="8"/>
      <c r="FF10" s="8"/>
      <c r="FG10" s="8"/>
      <c r="FH10" s="483"/>
      <c r="FI10" s="484"/>
      <c r="FJ10" s="484"/>
      <c r="FK10" s="484"/>
      <c r="FL10" s="484"/>
      <c r="FM10" s="484"/>
      <c r="FN10" s="109"/>
      <c r="FO10" s="109"/>
      <c r="FP10" s="109"/>
      <c r="FQ10" s="109"/>
      <c r="FR10" s="110"/>
      <c r="FS10" s="109"/>
      <c r="FT10" s="109"/>
      <c r="FU10" s="109"/>
      <c r="FV10" s="110"/>
      <c r="FW10" s="8"/>
      <c r="FX10" s="8"/>
      <c r="FY10" s="8"/>
      <c r="FZ10" s="483"/>
      <c r="GA10" s="484"/>
      <c r="GB10" s="484"/>
      <c r="GC10" s="484"/>
      <c r="GD10" s="484"/>
      <c r="GE10" s="484"/>
      <c r="GF10" s="109"/>
      <c r="GG10" s="109"/>
      <c r="GH10" s="109"/>
      <c r="GI10" s="109"/>
      <c r="GJ10" s="110"/>
      <c r="GK10" s="109"/>
      <c r="GL10" s="109"/>
      <c r="GM10" s="109"/>
      <c r="GN10" s="110"/>
      <c r="GO10" s="8"/>
      <c r="GP10" s="8"/>
      <c r="GQ10" s="8"/>
      <c r="GR10" s="483"/>
      <c r="GS10" s="484"/>
      <c r="GT10" s="484"/>
      <c r="GU10" s="484"/>
      <c r="GV10" s="484"/>
      <c r="GW10" s="484"/>
      <c r="GX10" s="109"/>
      <c r="GY10" s="109"/>
      <c r="GZ10" s="109"/>
      <c r="HA10" s="109"/>
      <c r="HB10" s="110"/>
      <c r="HC10" s="109"/>
      <c r="HD10" s="109"/>
      <c r="HE10" s="109"/>
      <c r="HF10" s="110"/>
      <c r="HG10" s="8"/>
      <c r="HH10" s="8"/>
      <c r="HI10" s="8"/>
      <c r="HJ10" s="483"/>
      <c r="HK10" s="484"/>
      <c r="HL10" s="484"/>
      <c r="HM10" s="484"/>
      <c r="HN10" s="484"/>
      <c r="HO10" s="484"/>
      <c r="HP10" s="109"/>
      <c r="HQ10" s="109"/>
      <c r="HR10" s="109"/>
      <c r="HS10" s="109"/>
      <c r="HT10" s="110"/>
      <c r="HU10" s="109"/>
      <c r="HV10" s="109"/>
      <c r="HW10" s="109"/>
      <c r="HX10" s="110"/>
      <c r="HY10" s="8"/>
      <c r="HZ10" s="8"/>
      <c r="IA10" s="8"/>
      <c r="IB10" s="483"/>
      <c r="IC10" s="484"/>
      <c r="ID10" s="484"/>
      <c r="IE10" s="484"/>
      <c r="IF10" s="484"/>
      <c r="IG10" s="484"/>
      <c r="IH10" s="109"/>
      <c r="II10" s="109"/>
      <c r="IJ10" s="109"/>
      <c r="IK10" s="109"/>
      <c r="IL10" s="110"/>
      <c r="IM10" s="109"/>
      <c r="IN10" s="109"/>
      <c r="IO10" s="109"/>
      <c r="IP10" s="110"/>
      <c r="IQ10" s="8"/>
      <c r="IR10" s="8"/>
      <c r="IS10" s="8"/>
      <c r="IT10" s="483"/>
      <c r="IU10" s="484"/>
      <c r="IV10" s="484"/>
      <c r="IW10" s="484"/>
      <c r="IX10" s="484"/>
      <c r="IY10" s="484"/>
      <c r="IZ10" s="109"/>
      <c r="JA10" s="109"/>
      <c r="JB10" s="109"/>
      <c r="JC10" s="109"/>
      <c r="JD10" s="110"/>
      <c r="JE10" s="109"/>
      <c r="JF10" s="109"/>
      <c r="JG10" s="109"/>
      <c r="JH10" s="110"/>
      <c r="JI10" s="8"/>
      <c r="JJ10" s="8"/>
      <c r="JK10" s="8"/>
      <c r="JL10" s="483"/>
      <c r="JM10" s="484"/>
      <c r="JN10" s="484"/>
      <c r="JO10" s="484"/>
      <c r="JP10" s="484"/>
      <c r="JQ10" s="484"/>
      <c r="JR10" s="109"/>
      <c r="JS10" s="109"/>
      <c r="JT10" s="109"/>
      <c r="JU10" s="109"/>
      <c r="JV10" s="110"/>
      <c r="JW10" s="109"/>
      <c r="JX10" s="109"/>
      <c r="JY10" s="109"/>
      <c r="JZ10" s="110"/>
      <c r="KA10" s="8"/>
      <c r="KB10" s="8"/>
      <c r="KC10" s="8"/>
      <c r="KD10" s="483"/>
      <c r="KE10" s="484"/>
      <c r="KF10" s="484"/>
      <c r="KG10" s="484"/>
      <c r="KH10" s="484"/>
      <c r="KI10" s="484"/>
      <c r="KJ10" s="109"/>
      <c r="KK10" s="109"/>
      <c r="KL10" s="109"/>
      <c r="KM10" s="109"/>
      <c r="KN10" s="110"/>
      <c r="KO10" s="109"/>
      <c r="KP10" s="109"/>
      <c r="KQ10" s="109"/>
      <c r="KR10" s="110"/>
      <c r="KS10" s="8"/>
      <c r="KT10" s="8"/>
      <c r="KU10" s="8"/>
      <c r="KV10" s="483"/>
      <c r="KW10" s="484"/>
      <c r="KX10" s="484"/>
      <c r="KY10" s="484"/>
      <c r="KZ10" s="484"/>
      <c r="LA10" s="484"/>
      <c r="LB10" s="109"/>
      <c r="LC10" s="109"/>
      <c r="LD10" s="109"/>
      <c r="LE10" s="109"/>
      <c r="LF10" s="110"/>
      <c r="LG10" s="109"/>
      <c r="LH10" s="109"/>
      <c r="LI10" s="109"/>
      <c r="LJ10" s="110"/>
      <c r="LN10" s="483"/>
      <c r="LO10" s="484"/>
      <c r="LP10" s="484"/>
      <c r="LQ10" s="484"/>
      <c r="LR10" s="484"/>
      <c r="LS10" s="484"/>
      <c r="LT10" s="109"/>
      <c r="LU10" s="109"/>
      <c r="LV10" s="109"/>
      <c r="LW10" s="109"/>
      <c r="LX10" s="110"/>
      <c r="LY10" s="109"/>
      <c r="LZ10" s="109"/>
      <c r="MA10" s="109"/>
      <c r="MB10" s="110"/>
      <c r="MF10" s="483"/>
      <c r="MG10" s="484"/>
      <c r="MH10" s="484"/>
      <c r="MI10" s="484"/>
      <c r="MJ10" s="484"/>
      <c r="MK10" s="484"/>
      <c r="ML10" s="109"/>
      <c r="MM10" s="109"/>
      <c r="MN10" s="109"/>
      <c r="MO10" s="109"/>
      <c r="MP10" s="110"/>
      <c r="MQ10" s="109"/>
      <c r="MR10" s="109"/>
      <c r="MS10" s="109"/>
      <c r="MT10" s="110"/>
      <c r="MX10" s="483"/>
      <c r="MY10" s="484"/>
      <c r="MZ10" s="484"/>
      <c r="NA10" s="484"/>
      <c r="NB10" s="484"/>
      <c r="NC10" s="484"/>
      <c r="ND10" s="109"/>
      <c r="NE10" s="109"/>
      <c r="NF10" s="109"/>
      <c r="NG10" s="109"/>
      <c r="NH10" s="110"/>
      <c r="NI10" s="109"/>
      <c r="NJ10" s="109"/>
      <c r="NK10" s="109"/>
      <c r="NL10" s="110"/>
      <c r="NP10" s="483"/>
      <c r="NQ10" s="484"/>
      <c r="NR10" s="484"/>
      <c r="NS10" s="484"/>
      <c r="NT10" s="484"/>
      <c r="NU10" s="484"/>
      <c r="NV10" s="109"/>
      <c r="NW10" s="109"/>
      <c r="NX10" s="109"/>
      <c r="NY10" s="109"/>
      <c r="NZ10" s="110"/>
      <c r="OA10" s="109"/>
      <c r="OB10" s="109"/>
      <c r="OC10" s="109"/>
      <c r="OD10" s="110"/>
      <c r="OH10" s="483"/>
      <c r="OI10" s="484"/>
      <c r="OJ10" s="484"/>
      <c r="OK10" s="484"/>
      <c r="OL10" s="484"/>
      <c r="OM10" s="484"/>
      <c r="ON10" s="109"/>
      <c r="OO10" s="109"/>
      <c r="OP10" s="109"/>
      <c r="OQ10" s="109"/>
      <c r="OR10" s="110"/>
      <c r="OS10" s="109"/>
      <c r="OT10" s="109"/>
      <c r="OU10" s="109"/>
      <c r="OV10" s="110"/>
      <c r="OZ10" s="483"/>
      <c r="PA10" s="484"/>
      <c r="PB10" s="484"/>
      <c r="PC10" s="484"/>
      <c r="PD10" s="484"/>
      <c r="PE10" s="484"/>
      <c r="PF10" s="109"/>
      <c r="PG10" s="109"/>
      <c r="PH10" s="109"/>
      <c r="PI10" s="109"/>
      <c r="PJ10" s="110"/>
      <c r="PK10" s="109"/>
      <c r="PL10" s="109"/>
      <c r="PM10" s="109"/>
      <c r="PN10" s="110"/>
      <c r="PO10" s="7"/>
      <c r="PP10" s="7"/>
      <c r="PQ10" s="7"/>
      <c r="PR10" s="7"/>
      <c r="PS10" s="8"/>
      <c r="PT10" s="8"/>
      <c r="PU10" s="8"/>
      <c r="PV10" s="483"/>
      <c r="PW10" s="484"/>
      <c r="PX10" s="484"/>
      <c r="PY10" s="484"/>
      <c r="PZ10" s="484"/>
      <c r="QA10" s="484"/>
      <c r="QB10" s="109"/>
      <c r="QC10" s="109"/>
      <c r="QD10" s="109"/>
      <c r="QE10" s="109"/>
      <c r="QF10" s="110"/>
      <c r="QG10" s="109"/>
      <c r="QH10" s="109"/>
      <c r="QI10" s="109"/>
      <c r="QJ10" s="110"/>
      <c r="QK10" s="8"/>
      <c r="QL10" s="8"/>
      <c r="QM10" s="8"/>
      <c r="QN10" s="483"/>
      <c r="QO10" s="484"/>
      <c r="QP10" s="484"/>
      <c r="QQ10" s="484"/>
      <c r="QR10" s="484"/>
      <c r="QS10" s="484"/>
      <c r="QT10" s="109"/>
      <c r="QU10" s="109"/>
      <c r="QV10" s="109"/>
      <c r="QW10" s="109"/>
      <c r="QX10" s="110"/>
      <c r="QY10" s="109"/>
      <c r="QZ10" s="109"/>
      <c r="RA10" s="109"/>
      <c r="RB10" s="110"/>
      <c r="RC10" s="8"/>
      <c r="RD10" s="8"/>
      <c r="RE10" s="8"/>
      <c r="RF10" s="483"/>
      <c r="RG10" s="484"/>
      <c r="RH10" s="484"/>
      <c r="RI10" s="484"/>
      <c r="RJ10" s="484"/>
      <c r="RK10" s="484"/>
      <c r="RL10" s="109"/>
      <c r="RM10" s="109"/>
      <c r="RN10" s="109"/>
      <c r="RO10" s="109"/>
      <c r="RP10" s="110"/>
      <c r="RQ10" s="109"/>
      <c r="RR10" s="109"/>
      <c r="RS10" s="109"/>
      <c r="RT10" s="110"/>
      <c r="RU10" s="8"/>
      <c r="RV10" s="8"/>
      <c r="RW10" s="8"/>
      <c r="RX10" s="483"/>
      <c r="RY10" s="484"/>
      <c r="RZ10" s="484"/>
      <c r="SA10" s="484"/>
      <c r="SB10" s="484"/>
      <c r="SC10" s="484"/>
      <c r="SD10" s="109"/>
      <c r="SE10" s="109"/>
      <c r="SF10" s="109"/>
      <c r="SG10" s="109"/>
      <c r="SH10" s="110"/>
      <c r="SI10" s="109"/>
      <c r="SJ10" s="109"/>
      <c r="SK10" s="109"/>
      <c r="SL10" s="110"/>
      <c r="SM10" s="8"/>
      <c r="SN10" s="8"/>
      <c r="SO10" s="8"/>
      <c r="SP10" s="483"/>
      <c r="SQ10" s="484"/>
      <c r="SR10" s="484"/>
      <c r="SS10" s="484"/>
      <c r="ST10" s="484"/>
      <c r="SU10" s="484"/>
      <c r="SV10" s="109"/>
      <c r="SW10" s="109"/>
      <c r="SX10" s="109"/>
      <c r="SY10" s="109"/>
      <c r="SZ10" s="110"/>
      <c r="TA10" s="109"/>
      <c r="TB10" s="109"/>
      <c r="TC10" s="109"/>
      <c r="TD10" s="110"/>
      <c r="TF10" s="8"/>
      <c r="TG10" s="8"/>
      <c r="TH10" s="8"/>
      <c r="TI10" s="483"/>
      <c r="TJ10" s="484"/>
      <c r="TK10" s="484"/>
      <c r="TL10" s="484"/>
      <c r="TM10" s="484"/>
      <c r="TN10" s="484"/>
      <c r="TO10" s="109"/>
      <c r="TP10" s="109"/>
      <c r="TQ10" s="109"/>
      <c r="TR10" s="109"/>
      <c r="TS10" s="110"/>
      <c r="TU10" s="8"/>
      <c r="TV10" s="8"/>
      <c r="TW10" s="8"/>
      <c r="TX10" s="483"/>
      <c r="TY10" s="484"/>
      <c r="TZ10" s="484"/>
      <c r="UA10" s="484"/>
      <c r="UB10" s="484"/>
      <c r="UC10" s="484"/>
      <c r="UD10" s="109"/>
      <c r="UE10" s="109"/>
      <c r="UF10" s="109"/>
      <c r="UG10" s="109"/>
      <c r="UH10" s="110"/>
      <c r="UJ10" s="8"/>
      <c r="UK10" s="8"/>
      <c r="UL10" s="8"/>
      <c r="UM10" s="483"/>
      <c r="UN10" s="484"/>
      <c r="UO10" s="484"/>
      <c r="UP10" s="484"/>
      <c r="UQ10" s="484"/>
      <c r="UR10" s="484"/>
      <c r="US10" s="109"/>
      <c r="UT10" s="109"/>
      <c r="UU10" s="109"/>
      <c r="UV10" s="109"/>
      <c r="UW10" s="110"/>
      <c r="UY10" s="8"/>
      <c r="UZ10" s="8"/>
      <c r="VA10" s="8"/>
      <c r="VB10" s="483"/>
      <c r="VC10" s="484"/>
      <c r="VD10" s="484"/>
      <c r="VE10" s="484"/>
      <c r="VF10" s="484"/>
      <c r="VG10" s="484"/>
      <c r="VH10" s="109"/>
      <c r="VI10" s="109"/>
      <c r="VJ10" s="109"/>
      <c r="VK10" s="109"/>
      <c r="VL10" s="110"/>
      <c r="VN10" s="8"/>
      <c r="VO10" s="8"/>
      <c r="VP10" s="8"/>
      <c r="VQ10" s="483"/>
      <c r="VR10" s="484"/>
      <c r="VS10" s="484"/>
      <c r="VT10" s="484"/>
      <c r="VU10" s="484"/>
      <c r="VV10" s="484"/>
      <c r="VW10" s="109"/>
      <c r="VX10" s="109"/>
      <c r="VY10" s="109"/>
      <c r="VZ10" s="109"/>
      <c r="WA10" s="110"/>
      <c r="WC10" s="8"/>
      <c r="WD10" s="8"/>
      <c r="WE10" s="8"/>
      <c r="WF10" s="483"/>
      <c r="WG10" s="484"/>
      <c r="WH10" s="484"/>
      <c r="WI10" s="484"/>
      <c r="WJ10" s="484"/>
      <c r="WK10" s="484"/>
      <c r="WL10" s="109"/>
      <c r="WM10" s="109"/>
      <c r="WN10" s="109"/>
      <c r="WO10" s="109"/>
      <c r="WP10" s="110"/>
    </row>
    <row r="11" spans="1:614" x14ac:dyDescent="0.2">
      <c r="A11" s="8"/>
      <c r="B11" s="480"/>
      <c r="C11" s="8"/>
      <c r="D11" s="117"/>
      <c r="E11" s="118"/>
      <c r="F11" s="259"/>
      <c r="G11" s="485"/>
      <c r="H11" s="121" t="s">
        <v>61</v>
      </c>
      <c r="I11" s="122">
        <v>2024</v>
      </c>
      <c r="J11" s="123" t="s">
        <v>62</v>
      </c>
      <c r="K11" s="486">
        <v>2025</v>
      </c>
      <c r="L11" s="123" t="s">
        <v>62</v>
      </c>
      <c r="M11" s="486">
        <v>2026</v>
      </c>
      <c r="N11" s="124" t="s">
        <v>62</v>
      </c>
      <c r="O11" s="125"/>
      <c r="P11" s="123" t="s">
        <v>62</v>
      </c>
      <c r="Q11" s="486"/>
      <c r="R11" s="136" t="s">
        <v>62</v>
      </c>
      <c r="S11" s="8"/>
      <c r="T11" s="8"/>
      <c r="U11" s="8"/>
      <c r="V11" s="117"/>
      <c r="W11" s="118"/>
      <c r="X11" s="259"/>
      <c r="Y11" s="485"/>
      <c r="Z11" s="121" t="s">
        <v>61</v>
      </c>
      <c r="AA11" s="122">
        <v>2024</v>
      </c>
      <c r="AB11" s="123" t="s">
        <v>62</v>
      </c>
      <c r="AC11" s="486">
        <v>2025</v>
      </c>
      <c r="AD11" s="123" t="s">
        <v>62</v>
      </c>
      <c r="AE11" s="486">
        <v>2026</v>
      </c>
      <c r="AF11" s="124" t="s">
        <v>62</v>
      </c>
      <c r="AG11" s="125"/>
      <c r="AH11" s="123" t="s">
        <v>62</v>
      </c>
      <c r="AI11" s="486"/>
      <c r="AJ11" s="136" t="s">
        <v>62</v>
      </c>
      <c r="AK11" s="8"/>
      <c r="AL11" s="8"/>
      <c r="AM11" s="8"/>
      <c r="AN11" s="117"/>
      <c r="AO11" s="118"/>
      <c r="AP11" s="259"/>
      <c r="AQ11" s="485"/>
      <c r="AR11" s="121" t="s">
        <v>61</v>
      </c>
      <c r="AS11" s="122">
        <v>2024</v>
      </c>
      <c r="AT11" s="123" t="s">
        <v>62</v>
      </c>
      <c r="AU11" s="486">
        <v>2025</v>
      </c>
      <c r="AV11" s="123" t="s">
        <v>62</v>
      </c>
      <c r="AW11" s="486">
        <v>2026</v>
      </c>
      <c r="AX11" s="124" t="s">
        <v>62</v>
      </c>
      <c r="AY11" s="125"/>
      <c r="AZ11" s="123" t="s">
        <v>62</v>
      </c>
      <c r="BA11" s="8"/>
      <c r="BB11" s="8"/>
      <c r="BC11" s="8"/>
      <c r="BD11" s="117"/>
      <c r="BE11" s="118"/>
      <c r="BF11" s="259"/>
      <c r="BG11" s="485"/>
      <c r="BH11" s="121" t="s">
        <v>61</v>
      </c>
      <c r="BI11" s="122">
        <v>2024</v>
      </c>
      <c r="BJ11" s="123" t="s">
        <v>62</v>
      </c>
      <c r="BK11" s="486">
        <v>2025</v>
      </c>
      <c r="BL11" s="123" t="s">
        <v>62</v>
      </c>
      <c r="BM11" s="486">
        <v>2026</v>
      </c>
      <c r="BN11" s="124" t="s">
        <v>62</v>
      </c>
      <c r="BO11" s="125"/>
      <c r="BP11" s="123" t="s">
        <v>62</v>
      </c>
      <c r="BQ11" s="486"/>
      <c r="BR11" s="136" t="s">
        <v>62</v>
      </c>
      <c r="BS11" s="8"/>
      <c r="BT11" s="8"/>
      <c r="BU11" s="8"/>
      <c r="BV11" s="117"/>
      <c r="BW11" s="118"/>
      <c r="BX11" s="259"/>
      <c r="BY11" s="485"/>
      <c r="BZ11" s="121" t="s">
        <v>61</v>
      </c>
      <c r="CA11" s="122">
        <v>2024</v>
      </c>
      <c r="CB11" s="123" t="s">
        <v>62</v>
      </c>
      <c r="CC11" s="486">
        <v>2025</v>
      </c>
      <c r="CD11" s="123" t="s">
        <v>62</v>
      </c>
      <c r="CE11" s="486">
        <v>2026</v>
      </c>
      <c r="CF11" s="124" t="s">
        <v>62</v>
      </c>
      <c r="CG11" s="125"/>
      <c r="CH11" s="123" t="s">
        <v>62</v>
      </c>
      <c r="CI11" s="486"/>
      <c r="CJ11" s="136" t="s">
        <v>62</v>
      </c>
      <c r="CK11" s="8"/>
      <c r="CL11" s="8"/>
      <c r="CM11" s="8"/>
      <c r="CN11" s="117"/>
      <c r="CO11" s="118"/>
      <c r="CP11" s="259"/>
      <c r="CQ11" s="485"/>
      <c r="CR11" s="121" t="s">
        <v>61</v>
      </c>
      <c r="CS11" s="122">
        <v>2024</v>
      </c>
      <c r="CT11" s="123" t="s">
        <v>62</v>
      </c>
      <c r="CU11" s="486">
        <v>2025</v>
      </c>
      <c r="CV11" s="123" t="s">
        <v>62</v>
      </c>
      <c r="CW11" s="486">
        <v>2026</v>
      </c>
      <c r="CX11" s="124" t="s">
        <v>62</v>
      </c>
      <c r="CY11" s="125"/>
      <c r="CZ11" s="123" t="s">
        <v>62</v>
      </c>
      <c r="DA11" s="486"/>
      <c r="DB11" s="136" t="s">
        <v>62</v>
      </c>
      <c r="DC11" s="8"/>
      <c r="DD11" s="8"/>
      <c r="DE11" s="8"/>
      <c r="DF11" s="117"/>
      <c r="DG11" s="118"/>
      <c r="DH11" s="259"/>
      <c r="DI11" s="485"/>
      <c r="DJ11" s="121" t="s">
        <v>61</v>
      </c>
      <c r="DK11" s="122">
        <v>2024</v>
      </c>
      <c r="DL11" s="123" t="s">
        <v>62</v>
      </c>
      <c r="DM11" s="486">
        <v>2025</v>
      </c>
      <c r="DN11" s="123" t="s">
        <v>62</v>
      </c>
      <c r="DO11" s="486">
        <v>2026</v>
      </c>
      <c r="DP11" s="124" t="s">
        <v>62</v>
      </c>
      <c r="DQ11" s="125"/>
      <c r="DR11" s="123" t="s">
        <v>62</v>
      </c>
      <c r="DS11" s="486"/>
      <c r="DT11" s="136" t="s">
        <v>62</v>
      </c>
      <c r="DU11" s="8"/>
      <c r="DV11" s="8"/>
      <c r="DW11" s="8"/>
      <c r="DX11" s="117"/>
      <c r="DY11" s="118"/>
      <c r="DZ11" s="259"/>
      <c r="EA11" s="485"/>
      <c r="EB11" s="121" t="s">
        <v>61</v>
      </c>
      <c r="EC11" s="122">
        <v>2024</v>
      </c>
      <c r="ED11" s="123" t="s">
        <v>62</v>
      </c>
      <c r="EE11" s="486">
        <v>2025</v>
      </c>
      <c r="EF11" s="123" t="s">
        <v>62</v>
      </c>
      <c r="EG11" s="486">
        <v>2026</v>
      </c>
      <c r="EH11" s="124" t="s">
        <v>62</v>
      </c>
      <c r="EI11" s="125"/>
      <c r="EJ11" s="123" t="s">
        <v>62</v>
      </c>
      <c r="EK11" s="486"/>
      <c r="EL11" s="136" t="s">
        <v>62</v>
      </c>
      <c r="EM11" s="8"/>
      <c r="EN11" s="8"/>
      <c r="EO11" s="8"/>
      <c r="EP11" s="117"/>
      <c r="EQ11" s="118"/>
      <c r="ER11" s="259"/>
      <c r="ES11" s="485"/>
      <c r="ET11" s="121" t="s">
        <v>61</v>
      </c>
      <c r="EU11" s="122">
        <v>2024</v>
      </c>
      <c r="EV11" s="123" t="s">
        <v>62</v>
      </c>
      <c r="EW11" s="486">
        <v>2025</v>
      </c>
      <c r="EX11" s="123" t="s">
        <v>62</v>
      </c>
      <c r="EY11" s="486">
        <v>2026</v>
      </c>
      <c r="EZ11" s="124" t="s">
        <v>62</v>
      </c>
      <c r="FA11" s="125"/>
      <c r="FB11" s="123" t="s">
        <v>62</v>
      </c>
      <c r="FC11" s="486"/>
      <c r="FD11" s="136" t="s">
        <v>62</v>
      </c>
      <c r="FE11" s="8"/>
      <c r="FF11" s="8"/>
      <c r="FG11" s="8"/>
      <c r="FH11" s="117"/>
      <c r="FI11" s="118"/>
      <c r="FJ11" s="259"/>
      <c r="FK11" s="485"/>
      <c r="FL11" s="121" t="s">
        <v>61</v>
      </c>
      <c r="FM11" s="122">
        <v>2024</v>
      </c>
      <c r="FN11" s="123" t="s">
        <v>62</v>
      </c>
      <c r="FO11" s="486">
        <v>2025</v>
      </c>
      <c r="FP11" s="123" t="s">
        <v>62</v>
      </c>
      <c r="FQ11" s="486">
        <v>2026</v>
      </c>
      <c r="FR11" s="124" t="s">
        <v>62</v>
      </c>
      <c r="FS11" s="125"/>
      <c r="FT11" s="123" t="s">
        <v>62</v>
      </c>
      <c r="FU11" s="486"/>
      <c r="FV11" s="136" t="s">
        <v>62</v>
      </c>
      <c r="FW11" s="8"/>
      <c r="FX11" s="8"/>
      <c r="FY11" s="8"/>
      <c r="FZ11" s="117"/>
      <c r="GA11" s="118"/>
      <c r="GB11" s="259"/>
      <c r="GC11" s="485"/>
      <c r="GD11" s="121" t="s">
        <v>61</v>
      </c>
      <c r="GE11" s="122">
        <v>2024</v>
      </c>
      <c r="GF11" s="123" t="s">
        <v>62</v>
      </c>
      <c r="GG11" s="486">
        <v>2025</v>
      </c>
      <c r="GH11" s="123" t="s">
        <v>62</v>
      </c>
      <c r="GI11" s="486">
        <v>2026</v>
      </c>
      <c r="GJ11" s="124" t="s">
        <v>62</v>
      </c>
      <c r="GK11" s="125"/>
      <c r="GL11" s="123" t="s">
        <v>62</v>
      </c>
      <c r="GM11" s="486"/>
      <c r="GN11" s="136" t="s">
        <v>62</v>
      </c>
      <c r="GO11" s="8"/>
      <c r="GP11" s="8"/>
      <c r="GQ11" s="8"/>
      <c r="GR11" s="117"/>
      <c r="GS11" s="118"/>
      <c r="GT11" s="259"/>
      <c r="GU11" s="485"/>
      <c r="GV11" s="121" t="s">
        <v>61</v>
      </c>
      <c r="GW11" s="122">
        <v>2024</v>
      </c>
      <c r="GX11" s="123" t="s">
        <v>62</v>
      </c>
      <c r="GY11" s="486">
        <v>2025</v>
      </c>
      <c r="GZ11" s="123" t="s">
        <v>62</v>
      </c>
      <c r="HA11" s="486">
        <v>2026</v>
      </c>
      <c r="HB11" s="124" t="s">
        <v>62</v>
      </c>
      <c r="HC11" s="125"/>
      <c r="HD11" s="123" t="s">
        <v>62</v>
      </c>
      <c r="HE11" s="486"/>
      <c r="HF11" s="136" t="s">
        <v>62</v>
      </c>
      <c r="HG11" s="8"/>
      <c r="HH11" s="8"/>
      <c r="HI11" s="8"/>
      <c r="HJ11" s="117"/>
      <c r="HK11" s="118"/>
      <c r="HL11" s="259"/>
      <c r="HM11" s="485"/>
      <c r="HN11" s="121" t="s">
        <v>61</v>
      </c>
      <c r="HO11" s="122">
        <v>2024</v>
      </c>
      <c r="HP11" s="123" t="s">
        <v>62</v>
      </c>
      <c r="HQ11" s="486">
        <v>2025</v>
      </c>
      <c r="HR11" s="123" t="s">
        <v>62</v>
      </c>
      <c r="HS11" s="486">
        <v>2026</v>
      </c>
      <c r="HT11" s="124" t="s">
        <v>62</v>
      </c>
      <c r="HU11" s="125"/>
      <c r="HV11" s="123" t="s">
        <v>62</v>
      </c>
      <c r="HW11" s="486"/>
      <c r="HX11" s="136" t="s">
        <v>62</v>
      </c>
      <c r="HY11" s="8"/>
      <c r="HZ11" s="8"/>
      <c r="IA11" s="8"/>
      <c r="IB11" s="117"/>
      <c r="IC11" s="118"/>
      <c r="ID11" s="259"/>
      <c r="IE11" s="485"/>
      <c r="IF11" s="121" t="s">
        <v>61</v>
      </c>
      <c r="IG11" s="122">
        <v>2024</v>
      </c>
      <c r="IH11" s="123" t="s">
        <v>62</v>
      </c>
      <c r="II11" s="486">
        <v>2025</v>
      </c>
      <c r="IJ11" s="123" t="s">
        <v>62</v>
      </c>
      <c r="IK11" s="486">
        <v>2026</v>
      </c>
      <c r="IL11" s="124" t="s">
        <v>62</v>
      </c>
      <c r="IM11" s="125"/>
      <c r="IN11" s="123" t="s">
        <v>62</v>
      </c>
      <c r="IO11" s="486"/>
      <c r="IP11" s="136" t="s">
        <v>62</v>
      </c>
      <c r="IQ11" s="8"/>
      <c r="IR11" s="8"/>
      <c r="IS11" s="8"/>
      <c r="IT11" s="117"/>
      <c r="IU11" s="118"/>
      <c r="IV11" s="259"/>
      <c r="IW11" s="485"/>
      <c r="IX11" s="121" t="s">
        <v>61</v>
      </c>
      <c r="IY11" s="122">
        <v>2024</v>
      </c>
      <c r="IZ11" s="123" t="s">
        <v>62</v>
      </c>
      <c r="JA11" s="486">
        <v>2025</v>
      </c>
      <c r="JB11" s="123" t="s">
        <v>62</v>
      </c>
      <c r="JC11" s="486">
        <v>2026</v>
      </c>
      <c r="JD11" s="124" t="s">
        <v>62</v>
      </c>
      <c r="JE11" s="125"/>
      <c r="JF11" s="123" t="s">
        <v>62</v>
      </c>
      <c r="JG11" s="486"/>
      <c r="JH11" s="136" t="s">
        <v>62</v>
      </c>
      <c r="JI11" s="8"/>
      <c r="JJ11" s="8"/>
      <c r="JK11" s="8"/>
      <c r="JL11" s="117"/>
      <c r="JM11" s="118"/>
      <c r="JN11" s="259"/>
      <c r="JO11" s="485"/>
      <c r="JP11" s="121" t="s">
        <v>61</v>
      </c>
      <c r="JQ11" s="122">
        <v>2024</v>
      </c>
      <c r="JR11" s="123" t="s">
        <v>62</v>
      </c>
      <c r="JS11" s="486">
        <v>2025</v>
      </c>
      <c r="JT11" s="123" t="s">
        <v>62</v>
      </c>
      <c r="JU11" s="486">
        <v>2026</v>
      </c>
      <c r="JV11" s="124" t="s">
        <v>62</v>
      </c>
      <c r="JW11" s="125"/>
      <c r="JX11" s="123" t="s">
        <v>62</v>
      </c>
      <c r="JY11" s="486"/>
      <c r="JZ11" s="136" t="s">
        <v>62</v>
      </c>
      <c r="KA11" s="8"/>
      <c r="KB11" s="8"/>
      <c r="KC11" s="8"/>
      <c r="KD11" s="117"/>
      <c r="KE11" s="118"/>
      <c r="KF11" s="259"/>
      <c r="KG11" s="485"/>
      <c r="KH11" s="121" t="s">
        <v>61</v>
      </c>
      <c r="KI11" s="122">
        <v>2024</v>
      </c>
      <c r="KJ11" s="123" t="s">
        <v>62</v>
      </c>
      <c r="KK11" s="486">
        <v>2025</v>
      </c>
      <c r="KL11" s="123" t="s">
        <v>62</v>
      </c>
      <c r="KM11" s="486">
        <v>2026</v>
      </c>
      <c r="KN11" s="124" t="s">
        <v>62</v>
      </c>
      <c r="KO11" s="125"/>
      <c r="KP11" s="123" t="s">
        <v>62</v>
      </c>
      <c r="KQ11" s="486"/>
      <c r="KR11" s="136" t="s">
        <v>62</v>
      </c>
      <c r="KS11" s="8"/>
      <c r="KT11" s="8"/>
      <c r="KU11" s="8"/>
      <c r="KV11" s="117"/>
      <c r="KW11" s="118"/>
      <c r="KX11" s="259"/>
      <c r="KY11" s="485"/>
      <c r="KZ11" s="121" t="s">
        <v>61</v>
      </c>
      <c r="LA11" s="122">
        <v>2024</v>
      </c>
      <c r="LB11" s="123" t="s">
        <v>62</v>
      </c>
      <c r="LC11" s="486">
        <v>2025</v>
      </c>
      <c r="LD11" s="123" t="s">
        <v>62</v>
      </c>
      <c r="LE11" s="486">
        <v>2026</v>
      </c>
      <c r="LF11" s="124" t="s">
        <v>62</v>
      </c>
      <c r="LG11" s="125"/>
      <c r="LH11" s="123" t="s">
        <v>62</v>
      </c>
      <c r="LI11" s="486"/>
      <c r="LJ11" s="136" t="s">
        <v>62</v>
      </c>
      <c r="LN11" s="117"/>
      <c r="LO11" s="118"/>
      <c r="LP11" s="259"/>
      <c r="LQ11" s="485"/>
      <c r="LR11" s="121" t="s">
        <v>61</v>
      </c>
      <c r="LS11" s="122">
        <v>2024</v>
      </c>
      <c r="LT11" s="123" t="s">
        <v>62</v>
      </c>
      <c r="LU11" s="486">
        <v>2025</v>
      </c>
      <c r="LV11" s="123" t="s">
        <v>62</v>
      </c>
      <c r="LW11" s="486">
        <v>2026</v>
      </c>
      <c r="LX11" s="124" t="s">
        <v>62</v>
      </c>
      <c r="LY11" s="125"/>
      <c r="LZ11" s="123" t="s">
        <v>62</v>
      </c>
      <c r="MA11" s="486"/>
      <c r="MB11" s="136" t="s">
        <v>62</v>
      </c>
      <c r="MF11" s="117"/>
      <c r="MG11" s="118"/>
      <c r="MH11" s="259"/>
      <c r="MI11" s="485"/>
      <c r="MJ11" s="121" t="s">
        <v>61</v>
      </c>
      <c r="MK11" s="122">
        <v>2024</v>
      </c>
      <c r="ML11" s="123" t="s">
        <v>62</v>
      </c>
      <c r="MM11" s="486">
        <v>2025</v>
      </c>
      <c r="MN11" s="123" t="s">
        <v>62</v>
      </c>
      <c r="MO11" s="486">
        <v>2026</v>
      </c>
      <c r="MP11" s="124" t="s">
        <v>62</v>
      </c>
      <c r="MQ11" s="125"/>
      <c r="MR11" s="123" t="s">
        <v>62</v>
      </c>
      <c r="MS11" s="486"/>
      <c r="MT11" s="136" t="s">
        <v>62</v>
      </c>
      <c r="MX11" s="117"/>
      <c r="MY11" s="118"/>
      <c r="MZ11" s="259"/>
      <c r="NA11" s="485"/>
      <c r="NB11" s="121" t="s">
        <v>61</v>
      </c>
      <c r="NC11" s="122">
        <v>2024</v>
      </c>
      <c r="ND11" s="123" t="s">
        <v>62</v>
      </c>
      <c r="NE11" s="486">
        <v>2025</v>
      </c>
      <c r="NF11" s="123" t="s">
        <v>62</v>
      </c>
      <c r="NG11" s="486">
        <v>2026</v>
      </c>
      <c r="NH11" s="124" t="s">
        <v>62</v>
      </c>
      <c r="NI11" s="125"/>
      <c r="NJ11" s="123" t="s">
        <v>62</v>
      </c>
      <c r="NK11" s="486"/>
      <c r="NL11" s="136" t="s">
        <v>62</v>
      </c>
      <c r="NP11" s="117"/>
      <c r="NQ11" s="118"/>
      <c r="NR11" s="259"/>
      <c r="NS11" s="485"/>
      <c r="NT11" s="121" t="s">
        <v>61</v>
      </c>
      <c r="NU11" s="122">
        <v>2024</v>
      </c>
      <c r="NV11" s="123" t="s">
        <v>62</v>
      </c>
      <c r="NW11" s="486">
        <v>2025</v>
      </c>
      <c r="NX11" s="123" t="s">
        <v>62</v>
      </c>
      <c r="NY11" s="486">
        <v>2026</v>
      </c>
      <c r="NZ11" s="124" t="s">
        <v>62</v>
      </c>
      <c r="OA11" s="125"/>
      <c r="OB11" s="123" t="s">
        <v>62</v>
      </c>
      <c r="OC11" s="486"/>
      <c r="OD11" s="136" t="s">
        <v>62</v>
      </c>
      <c r="OH11" s="117"/>
      <c r="OI11" s="118"/>
      <c r="OJ11" s="259"/>
      <c r="OK11" s="485"/>
      <c r="OL11" s="121" t="s">
        <v>61</v>
      </c>
      <c r="OM11" s="122">
        <v>2024</v>
      </c>
      <c r="ON11" s="123" t="s">
        <v>62</v>
      </c>
      <c r="OO11" s="486">
        <v>2025</v>
      </c>
      <c r="OP11" s="123" t="s">
        <v>62</v>
      </c>
      <c r="OQ11" s="486">
        <v>2026</v>
      </c>
      <c r="OR11" s="124" t="s">
        <v>62</v>
      </c>
      <c r="OS11" s="125"/>
      <c r="OT11" s="123" t="s">
        <v>62</v>
      </c>
      <c r="OU11" s="486"/>
      <c r="OV11" s="136" t="s">
        <v>62</v>
      </c>
      <c r="OZ11" s="117"/>
      <c r="PA11" s="118"/>
      <c r="PB11" s="259"/>
      <c r="PC11" s="485"/>
      <c r="PD11" s="121" t="s">
        <v>61</v>
      </c>
      <c r="PE11" s="122">
        <v>2024</v>
      </c>
      <c r="PF11" s="123" t="s">
        <v>62</v>
      </c>
      <c r="PG11" s="486">
        <v>2025</v>
      </c>
      <c r="PH11" s="123" t="s">
        <v>62</v>
      </c>
      <c r="PI11" s="486">
        <v>2026</v>
      </c>
      <c r="PJ11" s="124" t="s">
        <v>62</v>
      </c>
      <c r="PK11" s="125"/>
      <c r="PL11" s="123" t="s">
        <v>62</v>
      </c>
      <c r="PM11" s="486"/>
      <c r="PN11" s="136" t="s">
        <v>62</v>
      </c>
      <c r="PO11" s="7"/>
      <c r="PP11" s="7"/>
      <c r="PQ11" s="7"/>
      <c r="PR11" s="7"/>
      <c r="PS11" s="8"/>
      <c r="PT11" s="8"/>
      <c r="PU11" s="8"/>
      <c r="PV11" s="117"/>
      <c r="PW11" s="118"/>
      <c r="PX11" s="259"/>
      <c r="PY11" s="485"/>
      <c r="PZ11" s="121" t="s">
        <v>61</v>
      </c>
      <c r="QA11" s="122">
        <v>2024</v>
      </c>
      <c r="QB11" s="123" t="s">
        <v>62</v>
      </c>
      <c r="QC11" s="486">
        <v>2025</v>
      </c>
      <c r="QD11" s="123" t="s">
        <v>62</v>
      </c>
      <c r="QE11" s="486">
        <v>2026</v>
      </c>
      <c r="QF11" s="124" t="s">
        <v>62</v>
      </c>
      <c r="QG11" s="125"/>
      <c r="QH11" s="123" t="s">
        <v>62</v>
      </c>
      <c r="QI11" s="486"/>
      <c r="QJ11" s="136" t="s">
        <v>62</v>
      </c>
      <c r="QK11" s="8"/>
      <c r="QL11" s="8"/>
      <c r="QM11" s="8"/>
      <c r="QN11" s="117"/>
      <c r="QO11" s="118"/>
      <c r="QP11" s="259"/>
      <c r="QQ11" s="485"/>
      <c r="QR11" s="121" t="s">
        <v>61</v>
      </c>
      <c r="QS11" s="122">
        <v>2024</v>
      </c>
      <c r="QT11" s="123" t="s">
        <v>62</v>
      </c>
      <c r="QU11" s="486">
        <v>2025</v>
      </c>
      <c r="QV11" s="123" t="s">
        <v>62</v>
      </c>
      <c r="QW11" s="486">
        <v>2026</v>
      </c>
      <c r="QX11" s="124" t="s">
        <v>62</v>
      </c>
      <c r="QY11" s="125"/>
      <c r="QZ11" s="123" t="s">
        <v>62</v>
      </c>
      <c r="RA11" s="486"/>
      <c r="RB11" s="136" t="s">
        <v>62</v>
      </c>
      <c r="RC11" s="8"/>
      <c r="RD11" s="8"/>
      <c r="RE11" s="8"/>
      <c r="RF11" s="117"/>
      <c r="RG11" s="118"/>
      <c r="RH11" s="259"/>
      <c r="RI11" s="485"/>
      <c r="RJ11" s="121" t="s">
        <v>61</v>
      </c>
      <c r="RK11" s="122">
        <v>2024</v>
      </c>
      <c r="RL11" s="123" t="s">
        <v>62</v>
      </c>
      <c r="RM11" s="486">
        <v>2025</v>
      </c>
      <c r="RN11" s="123" t="s">
        <v>62</v>
      </c>
      <c r="RO11" s="486">
        <v>2026</v>
      </c>
      <c r="RP11" s="124" t="s">
        <v>62</v>
      </c>
      <c r="RQ11" s="125"/>
      <c r="RR11" s="123" t="s">
        <v>62</v>
      </c>
      <c r="RS11" s="486"/>
      <c r="RT11" s="136" t="s">
        <v>62</v>
      </c>
      <c r="RU11" s="8"/>
      <c r="RV11" s="8"/>
      <c r="RW11" s="8"/>
      <c r="RX11" s="117"/>
      <c r="RY11" s="118"/>
      <c r="RZ11" s="259"/>
      <c r="SA11" s="485"/>
      <c r="SB11" s="121" t="s">
        <v>61</v>
      </c>
      <c r="SC11" s="122">
        <v>2024</v>
      </c>
      <c r="SD11" s="123" t="s">
        <v>62</v>
      </c>
      <c r="SE11" s="486">
        <v>2025</v>
      </c>
      <c r="SF11" s="123" t="s">
        <v>62</v>
      </c>
      <c r="SG11" s="486">
        <v>2026</v>
      </c>
      <c r="SH11" s="124" t="s">
        <v>62</v>
      </c>
      <c r="SI11" s="125"/>
      <c r="SJ11" s="123" t="s">
        <v>62</v>
      </c>
      <c r="SK11" s="486"/>
      <c r="SL11" s="136" t="s">
        <v>62</v>
      </c>
      <c r="SM11" s="8"/>
      <c r="SN11" s="8"/>
      <c r="SO11" s="8"/>
      <c r="SP11" s="117"/>
      <c r="SQ11" s="118"/>
      <c r="SR11" s="259"/>
      <c r="SS11" s="485"/>
      <c r="ST11" s="121" t="s">
        <v>61</v>
      </c>
      <c r="SU11" s="122">
        <v>2024</v>
      </c>
      <c r="SV11" s="123" t="s">
        <v>62</v>
      </c>
      <c r="SW11" s="486">
        <v>2025</v>
      </c>
      <c r="SX11" s="123" t="s">
        <v>62</v>
      </c>
      <c r="SY11" s="486">
        <v>2026</v>
      </c>
      <c r="SZ11" s="124" t="s">
        <v>62</v>
      </c>
      <c r="TA11" s="125"/>
      <c r="TB11" s="123" t="s">
        <v>62</v>
      </c>
      <c r="TC11" s="486"/>
      <c r="TD11" s="136" t="s">
        <v>62</v>
      </c>
      <c r="TF11" s="8"/>
      <c r="TG11" s="8"/>
      <c r="TH11" s="8"/>
      <c r="TI11" s="117"/>
      <c r="TJ11" s="118"/>
      <c r="TK11" s="259"/>
      <c r="TL11" s="485"/>
      <c r="TM11" s="121" t="s">
        <v>61</v>
      </c>
      <c r="TN11" s="122">
        <v>2024</v>
      </c>
      <c r="TO11" s="123" t="s">
        <v>62</v>
      </c>
      <c r="TP11" s="486">
        <v>2025</v>
      </c>
      <c r="TQ11" s="123" t="s">
        <v>62</v>
      </c>
      <c r="TR11" s="486">
        <v>2026</v>
      </c>
      <c r="TS11" s="124" t="s">
        <v>62</v>
      </c>
      <c r="TU11" s="8"/>
      <c r="TV11" s="8"/>
      <c r="TW11" s="8"/>
      <c r="TX11" s="117"/>
      <c r="TY11" s="118"/>
      <c r="TZ11" s="259"/>
      <c r="UA11" s="485"/>
      <c r="UB11" s="121" t="s">
        <v>61</v>
      </c>
      <c r="UC11" s="122">
        <v>2024</v>
      </c>
      <c r="UD11" s="123" t="s">
        <v>62</v>
      </c>
      <c r="UE11" s="486">
        <v>2025</v>
      </c>
      <c r="UF11" s="123" t="s">
        <v>62</v>
      </c>
      <c r="UG11" s="486">
        <v>2026</v>
      </c>
      <c r="UH11" s="124" t="s">
        <v>62</v>
      </c>
      <c r="UJ11" s="8"/>
      <c r="UK11" s="8"/>
      <c r="UL11" s="8"/>
      <c r="UM11" s="117"/>
      <c r="UN11" s="118"/>
      <c r="UO11" s="259"/>
      <c r="UP11" s="485"/>
      <c r="UQ11" s="121" t="s">
        <v>61</v>
      </c>
      <c r="UR11" s="122">
        <v>2024</v>
      </c>
      <c r="US11" s="123" t="s">
        <v>62</v>
      </c>
      <c r="UT11" s="486">
        <v>2025</v>
      </c>
      <c r="UU11" s="123" t="s">
        <v>62</v>
      </c>
      <c r="UV11" s="486">
        <v>2026</v>
      </c>
      <c r="UW11" s="124" t="s">
        <v>62</v>
      </c>
      <c r="UY11" s="8"/>
      <c r="UZ11" s="8"/>
      <c r="VA11" s="8"/>
      <c r="VB11" s="117"/>
      <c r="VC11" s="118"/>
      <c r="VD11" s="259"/>
      <c r="VE11" s="485"/>
      <c r="VF11" s="121" t="s">
        <v>61</v>
      </c>
      <c r="VG11" s="122">
        <v>2024</v>
      </c>
      <c r="VH11" s="123" t="s">
        <v>62</v>
      </c>
      <c r="VI11" s="486">
        <v>2025</v>
      </c>
      <c r="VJ11" s="123" t="s">
        <v>62</v>
      </c>
      <c r="VK11" s="486">
        <v>2026</v>
      </c>
      <c r="VL11" s="124" t="s">
        <v>62</v>
      </c>
      <c r="VN11" s="8"/>
      <c r="VO11" s="8"/>
      <c r="VP11" s="8"/>
      <c r="VQ11" s="117"/>
      <c r="VR11" s="118"/>
      <c r="VS11" s="259"/>
      <c r="VT11" s="485"/>
      <c r="VU11" s="121" t="s">
        <v>61</v>
      </c>
      <c r="VV11" s="122">
        <v>2024</v>
      </c>
      <c r="VW11" s="123" t="s">
        <v>62</v>
      </c>
      <c r="VX11" s="486">
        <v>2025</v>
      </c>
      <c r="VY11" s="123" t="s">
        <v>62</v>
      </c>
      <c r="VZ11" s="486">
        <v>2026</v>
      </c>
      <c r="WA11" s="124" t="s">
        <v>62</v>
      </c>
      <c r="WC11" s="8"/>
      <c r="WD11" s="8"/>
      <c r="WE11" s="8"/>
      <c r="WF11" s="117"/>
      <c r="WG11" s="118"/>
      <c r="WH11" s="259"/>
      <c r="WI11" s="485"/>
      <c r="WJ11" s="121" t="s">
        <v>61</v>
      </c>
      <c r="WK11" s="122">
        <v>2024</v>
      </c>
      <c r="WL11" s="123" t="s">
        <v>62</v>
      </c>
      <c r="WM11" s="486">
        <v>2025</v>
      </c>
      <c r="WN11" s="123" t="s">
        <v>62</v>
      </c>
      <c r="WO11" s="486">
        <v>2026</v>
      </c>
      <c r="WP11" s="124" t="s">
        <v>62</v>
      </c>
    </row>
    <row r="12" spans="1:614" x14ac:dyDescent="0.2">
      <c r="B12" s="480"/>
      <c r="C12" s="487"/>
      <c r="D12" s="132" t="s">
        <v>63</v>
      </c>
      <c r="E12" s="133"/>
      <c r="F12" s="138" t="s">
        <v>64</v>
      </c>
      <c r="G12" s="139" t="s">
        <v>70</v>
      </c>
      <c r="H12" s="136" t="s">
        <v>62</v>
      </c>
      <c r="I12" s="137" t="s">
        <v>71</v>
      </c>
      <c r="J12" s="134" t="s">
        <v>66</v>
      </c>
      <c r="K12" s="135" t="s">
        <v>9</v>
      </c>
      <c r="L12" s="134" t="s">
        <v>66</v>
      </c>
      <c r="M12" s="135" t="s">
        <v>10</v>
      </c>
      <c r="N12" s="138" t="s">
        <v>66</v>
      </c>
      <c r="O12" s="139" t="s">
        <v>11</v>
      </c>
      <c r="P12" s="134" t="s">
        <v>66</v>
      </c>
      <c r="Q12" s="135" t="s">
        <v>12</v>
      </c>
      <c r="R12" s="136" t="s">
        <v>66</v>
      </c>
      <c r="U12" s="487"/>
      <c r="V12" s="132" t="s">
        <v>63</v>
      </c>
      <c r="W12" s="133"/>
      <c r="X12" s="138" t="s">
        <v>64</v>
      </c>
      <c r="Y12" s="139" t="s">
        <v>70</v>
      </c>
      <c r="Z12" s="136" t="s">
        <v>62</v>
      </c>
      <c r="AA12" s="137" t="s">
        <v>71</v>
      </c>
      <c r="AB12" s="134" t="s">
        <v>66</v>
      </c>
      <c r="AC12" s="135" t="s">
        <v>9</v>
      </c>
      <c r="AD12" s="134" t="s">
        <v>66</v>
      </c>
      <c r="AE12" s="135" t="s">
        <v>10</v>
      </c>
      <c r="AF12" s="138" t="s">
        <v>66</v>
      </c>
      <c r="AG12" s="139" t="s">
        <v>11</v>
      </c>
      <c r="AH12" s="134" t="s">
        <v>66</v>
      </c>
      <c r="AI12" s="135" t="s">
        <v>12</v>
      </c>
      <c r="AJ12" s="136" t="s">
        <v>66</v>
      </c>
      <c r="AK12" s="488"/>
      <c r="AL12" s="487"/>
      <c r="AM12" s="487"/>
      <c r="AN12" s="132" t="s">
        <v>63</v>
      </c>
      <c r="AO12" s="133"/>
      <c r="AP12" s="138" t="s">
        <v>64</v>
      </c>
      <c r="AQ12" s="139" t="s">
        <v>70</v>
      </c>
      <c r="AR12" s="136" t="s">
        <v>62</v>
      </c>
      <c r="AS12" s="137" t="s">
        <v>71</v>
      </c>
      <c r="AT12" s="134" t="s">
        <v>66</v>
      </c>
      <c r="AU12" s="135" t="s">
        <v>9</v>
      </c>
      <c r="AV12" s="134" t="s">
        <v>66</v>
      </c>
      <c r="AW12" s="135" t="s">
        <v>10</v>
      </c>
      <c r="AX12" s="138" t="s">
        <v>66</v>
      </c>
      <c r="AY12" s="139" t="s">
        <v>11</v>
      </c>
      <c r="AZ12" s="134" t="s">
        <v>66</v>
      </c>
      <c r="BC12" s="487"/>
      <c r="BD12" s="132" t="s">
        <v>63</v>
      </c>
      <c r="BE12" s="133"/>
      <c r="BF12" s="138" t="s">
        <v>64</v>
      </c>
      <c r="BG12" s="139" t="s">
        <v>70</v>
      </c>
      <c r="BH12" s="136" t="s">
        <v>62</v>
      </c>
      <c r="BI12" s="137" t="s">
        <v>71</v>
      </c>
      <c r="BJ12" s="134" t="s">
        <v>66</v>
      </c>
      <c r="BK12" s="135" t="s">
        <v>9</v>
      </c>
      <c r="BL12" s="134" t="s">
        <v>66</v>
      </c>
      <c r="BM12" s="135" t="s">
        <v>10</v>
      </c>
      <c r="BN12" s="138" t="s">
        <v>66</v>
      </c>
      <c r="BO12" s="139" t="s">
        <v>11</v>
      </c>
      <c r="BP12" s="134" t="s">
        <v>66</v>
      </c>
      <c r="BQ12" s="135" t="s">
        <v>12</v>
      </c>
      <c r="BR12" s="136" t="s">
        <v>66</v>
      </c>
      <c r="BS12" s="488"/>
      <c r="BT12" s="487"/>
      <c r="BU12" s="487"/>
      <c r="BV12" s="132" t="s">
        <v>63</v>
      </c>
      <c r="BW12" s="133"/>
      <c r="BX12" s="138" t="s">
        <v>64</v>
      </c>
      <c r="BY12" s="139" t="s">
        <v>70</v>
      </c>
      <c r="BZ12" s="136" t="s">
        <v>62</v>
      </c>
      <c r="CA12" s="137" t="s">
        <v>71</v>
      </c>
      <c r="CB12" s="134" t="s">
        <v>66</v>
      </c>
      <c r="CC12" s="135" t="s">
        <v>9</v>
      </c>
      <c r="CD12" s="134" t="s">
        <v>66</v>
      </c>
      <c r="CE12" s="135" t="s">
        <v>10</v>
      </c>
      <c r="CF12" s="138" t="s">
        <v>66</v>
      </c>
      <c r="CG12" s="139" t="s">
        <v>11</v>
      </c>
      <c r="CH12" s="134" t="s">
        <v>66</v>
      </c>
      <c r="CI12" s="135" t="s">
        <v>12</v>
      </c>
      <c r="CJ12" s="136" t="s">
        <v>66</v>
      </c>
      <c r="CK12" s="1"/>
      <c r="CL12" s="489"/>
      <c r="CM12" s="487"/>
      <c r="CN12" s="132" t="s">
        <v>63</v>
      </c>
      <c r="CO12" s="133"/>
      <c r="CP12" s="138" t="s">
        <v>64</v>
      </c>
      <c r="CQ12" s="139" t="s">
        <v>70</v>
      </c>
      <c r="CR12" s="136" t="s">
        <v>62</v>
      </c>
      <c r="CS12" s="137" t="s">
        <v>71</v>
      </c>
      <c r="CT12" s="134" t="s">
        <v>66</v>
      </c>
      <c r="CU12" s="135" t="s">
        <v>9</v>
      </c>
      <c r="CV12" s="134" t="s">
        <v>66</v>
      </c>
      <c r="CW12" s="135" t="s">
        <v>10</v>
      </c>
      <c r="CX12" s="138" t="s">
        <v>66</v>
      </c>
      <c r="CY12" s="139" t="s">
        <v>11</v>
      </c>
      <c r="CZ12" s="134" t="s">
        <v>66</v>
      </c>
      <c r="DA12" s="135" t="s">
        <v>12</v>
      </c>
      <c r="DB12" s="136" t="s">
        <v>66</v>
      </c>
      <c r="DC12" s="1"/>
      <c r="DD12" s="1"/>
      <c r="DE12" s="490"/>
      <c r="DF12" s="132" t="s">
        <v>63</v>
      </c>
      <c r="DG12" s="133"/>
      <c r="DH12" s="138" t="s">
        <v>64</v>
      </c>
      <c r="DI12" s="139" t="s">
        <v>70</v>
      </c>
      <c r="DJ12" s="136" t="s">
        <v>62</v>
      </c>
      <c r="DK12" s="137" t="s">
        <v>71</v>
      </c>
      <c r="DL12" s="134" t="s">
        <v>66</v>
      </c>
      <c r="DM12" s="135" t="s">
        <v>9</v>
      </c>
      <c r="DN12" s="134" t="s">
        <v>66</v>
      </c>
      <c r="DO12" s="135" t="s">
        <v>10</v>
      </c>
      <c r="DP12" s="138" t="s">
        <v>66</v>
      </c>
      <c r="DQ12" s="139" t="s">
        <v>11</v>
      </c>
      <c r="DR12" s="134" t="s">
        <v>66</v>
      </c>
      <c r="DS12" s="135" t="s">
        <v>12</v>
      </c>
      <c r="DT12" s="136" t="s">
        <v>66</v>
      </c>
      <c r="DU12" s="491"/>
      <c r="DV12" s="490"/>
      <c r="DW12" s="490"/>
      <c r="DX12" s="132" t="s">
        <v>63</v>
      </c>
      <c r="DY12" s="133"/>
      <c r="DZ12" s="138" t="s">
        <v>64</v>
      </c>
      <c r="EA12" s="139" t="s">
        <v>70</v>
      </c>
      <c r="EB12" s="136" t="s">
        <v>62</v>
      </c>
      <c r="EC12" s="137" t="s">
        <v>71</v>
      </c>
      <c r="ED12" s="134" t="s">
        <v>66</v>
      </c>
      <c r="EE12" s="135" t="s">
        <v>9</v>
      </c>
      <c r="EF12" s="134" t="s">
        <v>66</v>
      </c>
      <c r="EG12" s="135" t="s">
        <v>10</v>
      </c>
      <c r="EH12" s="138" t="s">
        <v>66</v>
      </c>
      <c r="EI12" s="139" t="s">
        <v>11</v>
      </c>
      <c r="EJ12" s="134" t="s">
        <v>66</v>
      </c>
      <c r="EK12" s="135" t="s">
        <v>12</v>
      </c>
      <c r="EL12" s="136" t="s">
        <v>66</v>
      </c>
      <c r="EM12" s="1"/>
      <c r="EN12" s="1"/>
      <c r="EO12" s="1"/>
      <c r="EP12" s="132" t="s">
        <v>63</v>
      </c>
      <c r="EQ12" s="133"/>
      <c r="ER12" s="138" t="s">
        <v>64</v>
      </c>
      <c r="ES12" s="139" t="s">
        <v>70</v>
      </c>
      <c r="ET12" s="136" t="s">
        <v>62</v>
      </c>
      <c r="EU12" s="137" t="s">
        <v>71</v>
      </c>
      <c r="EV12" s="134" t="s">
        <v>66</v>
      </c>
      <c r="EW12" s="135" t="s">
        <v>9</v>
      </c>
      <c r="EX12" s="134" t="s">
        <v>66</v>
      </c>
      <c r="EY12" s="135" t="s">
        <v>10</v>
      </c>
      <c r="EZ12" s="138" t="s">
        <v>66</v>
      </c>
      <c r="FA12" s="139" t="s">
        <v>11</v>
      </c>
      <c r="FB12" s="134" t="s">
        <v>66</v>
      </c>
      <c r="FC12" s="135" t="s">
        <v>12</v>
      </c>
      <c r="FD12" s="136" t="s">
        <v>66</v>
      </c>
      <c r="FE12" s="488"/>
      <c r="FF12" s="487"/>
      <c r="FG12" s="487"/>
      <c r="FH12" s="132" t="s">
        <v>63</v>
      </c>
      <c r="FI12" s="133"/>
      <c r="FJ12" s="138" t="s">
        <v>64</v>
      </c>
      <c r="FK12" s="139" t="s">
        <v>70</v>
      </c>
      <c r="FL12" s="136" t="s">
        <v>62</v>
      </c>
      <c r="FM12" s="137" t="s">
        <v>71</v>
      </c>
      <c r="FN12" s="134" t="s">
        <v>66</v>
      </c>
      <c r="FO12" s="135" t="s">
        <v>9</v>
      </c>
      <c r="FP12" s="134" t="s">
        <v>66</v>
      </c>
      <c r="FQ12" s="135" t="s">
        <v>10</v>
      </c>
      <c r="FR12" s="138" t="s">
        <v>66</v>
      </c>
      <c r="FS12" s="139" t="s">
        <v>11</v>
      </c>
      <c r="FT12" s="134" t="s">
        <v>66</v>
      </c>
      <c r="FU12" s="135" t="s">
        <v>12</v>
      </c>
      <c r="FV12" s="136" t="s">
        <v>66</v>
      </c>
      <c r="FY12" s="490"/>
      <c r="FZ12" s="132" t="s">
        <v>63</v>
      </c>
      <c r="GA12" s="133"/>
      <c r="GB12" s="138" t="s">
        <v>64</v>
      </c>
      <c r="GC12" s="139" t="s">
        <v>70</v>
      </c>
      <c r="GD12" s="136" t="s">
        <v>62</v>
      </c>
      <c r="GE12" s="137" t="s">
        <v>71</v>
      </c>
      <c r="GF12" s="134" t="s">
        <v>66</v>
      </c>
      <c r="GG12" s="135" t="s">
        <v>9</v>
      </c>
      <c r="GH12" s="134" t="s">
        <v>66</v>
      </c>
      <c r="GI12" s="135" t="s">
        <v>10</v>
      </c>
      <c r="GJ12" s="138" t="s">
        <v>66</v>
      </c>
      <c r="GK12" s="139" t="s">
        <v>11</v>
      </c>
      <c r="GL12" s="134" t="s">
        <v>66</v>
      </c>
      <c r="GM12" s="135" t="s">
        <v>12</v>
      </c>
      <c r="GN12" s="136" t="s">
        <v>66</v>
      </c>
      <c r="GO12" s="7"/>
      <c r="GP12" s="492"/>
      <c r="GQ12" s="490"/>
      <c r="GR12" s="132" t="s">
        <v>63</v>
      </c>
      <c r="GS12" s="133"/>
      <c r="GT12" s="138" t="s">
        <v>64</v>
      </c>
      <c r="GU12" s="139" t="s">
        <v>70</v>
      </c>
      <c r="GV12" s="136" t="s">
        <v>62</v>
      </c>
      <c r="GW12" s="137" t="s">
        <v>71</v>
      </c>
      <c r="GX12" s="134" t="s">
        <v>66</v>
      </c>
      <c r="GY12" s="135" t="s">
        <v>9</v>
      </c>
      <c r="GZ12" s="134" t="s">
        <v>66</v>
      </c>
      <c r="HA12" s="135" t="s">
        <v>10</v>
      </c>
      <c r="HB12" s="138" t="s">
        <v>66</v>
      </c>
      <c r="HC12" s="139" t="s">
        <v>11</v>
      </c>
      <c r="HD12" s="134" t="s">
        <v>66</v>
      </c>
      <c r="HE12" s="135" t="s">
        <v>12</v>
      </c>
      <c r="HF12" s="136" t="s">
        <v>66</v>
      </c>
      <c r="HI12" s="490"/>
      <c r="HJ12" s="132" t="s">
        <v>63</v>
      </c>
      <c r="HK12" s="133"/>
      <c r="HL12" s="138" t="s">
        <v>64</v>
      </c>
      <c r="HM12" s="139" t="s">
        <v>70</v>
      </c>
      <c r="HN12" s="136" t="s">
        <v>62</v>
      </c>
      <c r="HO12" s="137" t="s">
        <v>71</v>
      </c>
      <c r="HP12" s="134" t="s">
        <v>66</v>
      </c>
      <c r="HQ12" s="135" t="s">
        <v>9</v>
      </c>
      <c r="HR12" s="134" t="s">
        <v>66</v>
      </c>
      <c r="HS12" s="135" t="s">
        <v>10</v>
      </c>
      <c r="HT12" s="138" t="s">
        <v>66</v>
      </c>
      <c r="HU12" s="139" t="s">
        <v>11</v>
      </c>
      <c r="HV12" s="134" t="s">
        <v>66</v>
      </c>
      <c r="HW12" s="135" t="s">
        <v>12</v>
      </c>
      <c r="HX12" s="136" t="s">
        <v>66</v>
      </c>
      <c r="IA12" s="490"/>
      <c r="IB12" s="132" t="s">
        <v>63</v>
      </c>
      <c r="IC12" s="133"/>
      <c r="ID12" s="138" t="s">
        <v>64</v>
      </c>
      <c r="IE12" s="139" t="s">
        <v>70</v>
      </c>
      <c r="IF12" s="136" t="s">
        <v>62</v>
      </c>
      <c r="IG12" s="137" t="s">
        <v>71</v>
      </c>
      <c r="IH12" s="134" t="s">
        <v>66</v>
      </c>
      <c r="II12" s="135" t="s">
        <v>9</v>
      </c>
      <c r="IJ12" s="134" t="s">
        <v>66</v>
      </c>
      <c r="IK12" s="135" t="s">
        <v>10</v>
      </c>
      <c r="IL12" s="138" t="s">
        <v>66</v>
      </c>
      <c r="IM12" s="139" t="s">
        <v>11</v>
      </c>
      <c r="IN12" s="134" t="s">
        <v>66</v>
      </c>
      <c r="IO12" s="135" t="s">
        <v>12</v>
      </c>
      <c r="IP12" s="136" t="s">
        <v>66</v>
      </c>
      <c r="IS12" s="490"/>
      <c r="IT12" s="132" t="s">
        <v>63</v>
      </c>
      <c r="IU12" s="133"/>
      <c r="IV12" s="138" t="s">
        <v>64</v>
      </c>
      <c r="IW12" s="139" t="s">
        <v>70</v>
      </c>
      <c r="IX12" s="136" t="s">
        <v>62</v>
      </c>
      <c r="IY12" s="137" t="s">
        <v>71</v>
      </c>
      <c r="IZ12" s="134" t="s">
        <v>66</v>
      </c>
      <c r="JA12" s="135" t="s">
        <v>9</v>
      </c>
      <c r="JB12" s="134" t="s">
        <v>66</v>
      </c>
      <c r="JC12" s="135" t="s">
        <v>10</v>
      </c>
      <c r="JD12" s="138" t="s">
        <v>66</v>
      </c>
      <c r="JE12" s="139" t="s">
        <v>11</v>
      </c>
      <c r="JF12" s="134" t="s">
        <v>66</v>
      </c>
      <c r="JG12" s="135" t="s">
        <v>12</v>
      </c>
      <c r="JH12" s="136" t="s">
        <v>66</v>
      </c>
      <c r="JK12" s="490"/>
      <c r="JL12" s="132" t="s">
        <v>63</v>
      </c>
      <c r="JM12" s="133"/>
      <c r="JN12" s="138" t="s">
        <v>64</v>
      </c>
      <c r="JO12" s="139" t="s">
        <v>70</v>
      </c>
      <c r="JP12" s="136" t="s">
        <v>62</v>
      </c>
      <c r="JQ12" s="137" t="s">
        <v>71</v>
      </c>
      <c r="JR12" s="134" t="s">
        <v>66</v>
      </c>
      <c r="JS12" s="135" t="s">
        <v>9</v>
      </c>
      <c r="JT12" s="134" t="s">
        <v>66</v>
      </c>
      <c r="JU12" s="135" t="s">
        <v>10</v>
      </c>
      <c r="JV12" s="138" t="s">
        <v>66</v>
      </c>
      <c r="JW12" s="139" t="s">
        <v>11</v>
      </c>
      <c r="JX12" s="134" t="s">
        <v>66</v>
      </c>
      <c r="JY12" s="135" t="s">
        <v>12</v>
      </c>
      <c r="JZ12" s="136" t="s">
        <v>66</v>
      </c>
      <c r="KC12" s="490"/>
      <c r="KD12" s="132" t="s">
        <v>63</v>
      </c>
      <c r="KE12" s="133"/>
      <c r="KF12" s="138" t="s">
        <v>64</v>
      </c>
      <c r="KG12" s="139" t="s">
        <v>70</v>
      </c>
      <c r="KH12" s="136" t="s">
        <v>62</v>
      </c>
      <c r="KI12" s="137" t="s">
        <v>71</v>
      </c>
      <c r="KJ12" s="134" t="s">
        <v>66</v>
      </c>
      <c r="KK12" s="135" t="s">
        <v>9</v>
      </c>
      <c r="KL12" s="134" t="s">
        <v>66</v>
      </c>
      <c r="KM12" s="135" t="s">
        <v>10</v>
      </c>
      <c r="KN12" s="138" t="s">
        <v>66</v>
      </c>
      <c r="KO12" s="139" t="s">
        <v>11</v>
      </c>
      <c r="KP12" s="134" t="s">
        <v>66</v>
      </c>
      <c r="KQ12" s="135" t="s">
        <v>12</v>
      </c>
      <c r="KR12" s="136" t="s">
        <v>66</v>
      </c>
      <c r="KS12" s="7"/>
      <c r="KT12" s="492"/>
      <c r="KU12" s="490"/>
      <c r="KV12" s="132" t="s">
        <v>63</v>
      </c>
      <c r="KW12" s="133"/>
      <c r="KX12" s="138" t="s">
        <v>64</v>
      </c>
      <c r="KY12" s="139" t="s">
        <v>70</v>
      </c>
      <c r="KZ12" s="136" t="s">
        <v>62</v>
      </c>
      <c r="LA12" s="137" t="s">
        <v>71</v>
      </c>
      <c r="LB12" s="134" t="s">
        <v>66</v>
      </c>
      <c r="LC12" s="135" t="s">
        <v>9</v>
      </c>
      <c r="LD12" s="134" t="s">
        <v>66</v>
      </c>
      <c r="LE12" s="135" t="s">
        <v>10</v>
      </c>
      <c r="LF12" s="138" t="s">
        <v>66</v>
      </c>
      <c r="LG12" s="139" t="s">
        <v>11</v>
      </c>
      <c r="LH12" s="134" t="s">
        <v>66</v>
      </c>
      <c r="LI12" s="135" t="s">
        <v>12</v>
      </c>
      <c r="LJ12" s="136" t="s">
        <v>66</v>
      </c>
      <c r="LK12" s="20"/>
      <c r="LN12" s="132" t="s">
        <v>63</v>
      </c>
      <c r="LO12" s="133"/>
      <c r="LP12" s="138" t="s">
        <v>64</v>
      </c>
      <c r="LQ12" s="139" t="s">
        <v>70</v>
      </c>
      <c r="LR12" s="136" t="s">
        <v>62</v>
      </c>
      <c r="LS12" s="137" t="s">
        <v>71</v>
      </c>
      <c r="LT12" s="134" t="s">
        <v>66</v>
      </c>
      <c r="LU12" s="135" t="s">
        <v>9</v>
      </c>
      <c r="LV12" s="134" t="s">
        <v>66</v>
      </c>
      <c r="LW12" s="135" t="s">
        <v>10</v>
      </c>
      <c r="LX12" s="138" t="s">
        <v>66</v>
      </c>
      <c r="LY12" s="139" t="s">
        <v>11</v>
      </c>
      <c r="LZ12" s="134" t="s">
        <v>66</v>
      </c>
      <c r="MA12" s="135" t="s">
        <v>12</v>
      </c>
      <c r="MB12" s="136" t="s">
        <v>66</v>
      </c>
      <c r="MF12" s="132" t="s">
        <v>63</v>
      </c>
      <c r="MG12" s="133"/>
      <c r="MH12" s="138" t="s">
        <v>64</v>
      </c>
      <c r="MI12" s="139" t="s">
        <v>70</v>
      </c>
      <c r="MJ12" s="136" t="s">
        <v>62</v>
      </c>
      <c r="MK12" s="137" t="s">
        <v>71</v>
      </c>
      <c r="ML12" s="134" t="s">
        <v>66</v>
      </c>
      <c r="MM12" s="135" t="s">
        <v>9</v>
      </c>
      <c r="MN12" s="134" t="s">
        <v>66</v>
      </c>
      <c r="MO12" s="135" t="s">
        <v>10</v>
      </c>
      <c r="MP12" s="138" t="s">
        <v>66</v>
      </c>
      <c r="MQ12" s="139" t="s">
        <v>11</v>
      </c>
      <c r="MR12" s="134" t="s">
        <v>66</v>
      </c>
      <c r="MS12" s="135" t="s">
        <v>12</v>
      </c>
      <c r="MT12" s="136" t="s">
        <v>66</v>
      </c>
      <c r="MX12" s="132" t="s">
        <v>63</v>
      </c>
      <c r="MY12" s="133"/>
      <c r="MZ12" s="138" t="s">
        <v>64</v>
      </c>
      <c r="NA12" s="139" t="s">
        <v>70</v>
      </c>
      <c r="NB12" s="136" t="s">
        <v>62</v>
      </c>
      <c r="NC12" s="137" t="s">
        <v>71</v>
      </c>
      <c r="ND12" s="134" t="s">
        <v>66</v>
      </c>
      <c r="NE12" s="135" t="s">
        <v>9</v>
      </c>
      <c r="NF12" s="134" t="s">
        <v>66</v>
      </c>
      <c r="NG12" s="135" t="s">
        <v>10</v>
      </c>
      <c r="NH12" s="138" t="s">
        <v>66</v>
      </c>
      <c r="NI12" s="139" t="s">
        <v>11</v>
      </c>
      <c r="NJ12" s="134" t="s">
        <v>66</v>
      </c>
      <c r="NK12" s="135" t="s">
        <v>12</v>
      </c>
      <c r="NL12" s="136" t="s">
        <v>66</v>
      </c>
      <c r="NO12" s="490"/>
      <c r="NP12" s="132" t="s">
        <v>63</v>
      </c>
      <c r="NQ12" s="133"/>
      <c r="NR12" s="138" t="s">
        <v>64</v>
      </c>
      <c r="NS12" s="139" t="s">
        <v>70</v>
      </c>
      <c r="NT12" s="136" t="s">
        <v>62</v>
      </c>
      <c r="NU12" s="137" t="s">
        <v>71</v>
      </c>
      <c r="NV12" s="134" t="s">
        <v>66</v>
      </c>
      <c r="NW12" s="135" t="s">
        <v>9</v>
      </c>
      <c r="NX12" s="134" t="s">
        <v>66</v>
      </c>
      <c r="NY12" s="135" t="s">
        <v>10</v>
      </c>
      <c r="NZ12" s="138" t="s">
        <v>66</v>
      </c>
      <c r="OA12" s="139" t="s">
        <v>11</v>
      </c>
      <c r="OB12" s="134" t="s">
        <v>66</v>
      </c>
      <c r="OC12" s="135" t="s">
        <v>12</v>
      </c>
      <c r="OD12" s="136" t="s">
        <v>66</v>
      </c>
      <c r="OG12" s="490"/>
      <c r="OH12" s="132" t="s">
        <v>63</v>
      </c>
      <c r="OI12" s="133"/>
      <c r="OJ12" s="138" t="s">
        <v>64</v>
      </c>
      <c r="OK12" s="139" t="s">
        <v>70</v>
      </c>
      <c r="OL12" s="136" t="s">
        <v>62</v>
      </c>
      <c r="OM12" s="137" t="s">
        <v>71</v>
      </c>
      <c r="ON12" s="134" t="s">
        <v>66</v>
      </c>
      <c r="OO12" s="135" t="s">
        <v>9</v>
      </c>
      <c r="OP12" s="134" t="s">
        <v>66</v>
      </c>
      <c r="OQ12" s="135" t="s">
        <v>10</v>
      </c>
      <c r="OR12" s="138" t="s">
        <v>66</v>
      </c>
      <c r="OS12" s="139" t="s">
        <v>11</v>
      </c>
      <c r="OT12" s="134" t="s">
        <v>66</v>
      </c>
      <c r="OU12" s="135" t="s">
        <v>12</v>
      </c>
      <c r="OV12" s="136" t="s">
        <v>66</v>
      </c>
      <c r="OY12" s="490"/>
      <c r="OZ12" s="132" t="s">
        <v>63</v>
      </c>
      <c r="PA12" s="133"/>
      <c r="PB12" s="138" t="s">
        <v>64</v>
      </c>
      <c r="PC12" s="139" t="s">
        <v>70</v>
      </c>
      <c r="PD12" s="136" t="s">
        <v>62</v>
      </c>
      <c r="PE12" s="137" t="s">
        <v>71</v>
      </c>
      <c r="PF12" s="134" t="s">
        <v>66</v>
      </c>
      <c r="PG12" s="135" t="s">
        <v>9</v>
      </c>
      <c r="PH12" s="134" t="s">
        <v>66</v>
      </c>
      <c r="PI12" s="135" t="s">
        <v>10</v>
      </c>
      <c r="PJ12" s="138" t="s">
        <v>66</v>
      </c>
      <c r="PK12" s="139" t="s">
        <v>11</v>
      </c>
      <c r="PL12" s="134" t="s">
        <v>66</v>
      </c>
      <c r="PM12" s="135" t="s">
        <v>12</v>
      </c>
      <c r="PN12" s="136" t="s">
        <v>66</v>
      </c>
      <c r="PO12" s="7"/>
      <c r="PP12" s="7"/>
      <c r="PQ12" s="7"/>
      <c r="PR12" s="7"/>
      <c r="PS12" s="20"/>
      <c r="PT12" s="20"/>
      <c r="PV12" s="132" t="s">
        <v>63</v>
      </c>
      <c r="PW12" s="133"/>
      <c r="PX12" s="138" t="s">
        <v>64</v>
      </c>
      <c r="PY12" s="139" t="s">
        <v>70</v>
      </c>
      <c r="PZ12" s="136" t="s">
        <v>62</v>
      </c>
      <c r="QA12" s="137" t="s">
        <v>71</v>
      </c>
      <c r="QB12" s="134" t="s">
        <v>66</v>
      </c>
      <c r="QC12" s="135" t="s">
        <v>9</v>
      </c>
      <c r="QD12" s="134" t="s">
        <v>66</v>
      </c>
      <c r="QE12" s="135" t="s">
        <v>10</v>
      </c>
      <c r="QF12" s="138" t="s">
        <v>66</v>
      </c>
      <c r="QG12" s="139" t="s">
        <v>11</v>
      </c>
      <c r="QH12" s="134" t="s">
        <v>66</v>
      </c>
      <c r="QI12" s="135" t="s">
        <v>12</v>
      </c>
      <c r="QJ12" s="136" t="s">
        <v>66</v>
      </c>
      <c r="QK12" s="1"/>
      <c r="QL12" s="1"/>
      <c r="QM12" s="490"/>
      <c r="QN12" s="132" t="s">
        <v>63</v>
      </c>
      <c r="QO12" s="133"/>
      <c r="QP12" s="138" t="s">
        <v>64</v>
      </c>
      <c r="QQ12" s="139" t="s">
        <v>70</v>
      </c>
      <c r="QR12" s="136" t="s">
        <v>62</v>
      </c>
      <c r="QS12" s="137" t="s">
        <v>71</v>
      </c>
      <c r="QT12" s="134" t="s">
        <v>66</v>
      </c>
      <c r="QU12" s="135" t="s">
        <v>9</v>
      </c>
      <c r="QV12" s="134" t="s">
        <v>66</v>
      </c>
      <c r="QW12" s="135" t="s">
        <v>10</v>
      </c>
      <c r="QX12" s="138" t="s">
        <v>66</v>
      </c>
      <c r="QY12" s="139" t="s">
        <v>11</v>
      </c>
      <c r="QZ12" s="134" t="s">
        <v>66</v>
      </c>
      <c r="RA12" s="135" t="s">
        <v>12</v>
      </c>
      <c r="RB12" s="136" t="s">
        <v>66</v>
      </c>
      <c r="RC12" s="1"/>
      <c r="RD12" s="1"/>
      <c r="RE12" s="490"/>
      <c r="RF12" s="132" t="s">
        <v>63</v>
      </c>
      <c r="RG12" s="133"/>
      <c r="RH12" s="138" t="s">
        <v>64</v>
      </c>
      <c r="RI12" s="139" t="s">
        <v>70</v>
      </c>
      <c r="RJ12" s="136" t="s">
        <v>62</v>
      </c>
      <c r="RK12" s="137" t="s">
        <v>71</v>
      </c>
      <c r="RL12" s="134" t="s">
        <v>66</v>
      </c>
      <c r="RM12" s="135" t="s">
        <v>9</v>
      </c>
      <c r="RN12" s="134" t="s">
        <v>66</v>
      </c>
      <c r="RO12" s="135" t="s">
        <v>10</v>
      </c>
      <c r="RP12" s="138" t="s">
        <v>66</v>
      </c>
      <c r="RQ12" s="139" t="s">
        <v>11</v>
      </c>
      <c r="RR12" s="134" t="s">
        <v>66</v>
      </c>
      <c r="RS12" s="135" t="s">
        <v>12</v>
      </c>
      <c r="RT12" s="136" t="s">
        <v>66</v>
      </c>
      <c r="RU12" s="1"/>
      <c r="RV12" s="1"/>
      <c r="RW12" s="490"/>
      <c r="RX12" s="132" t="s">
        <v>63</v>
      </c>
      <c r="RY12" s="133"/>
      <c r="RZ12" s="138" t="s">
        <v>64</v>
      </c>
      <c r="SA12" s="139" t="s">
        <v>70</v>
      </c>
      <c r="SB12" s="136" t="s">
        <v>62</v>
      </c>
      <c r="SC12" s="137" t="s">
        <v>71</v>
      </c>
      <c r="SD12" s="134" t="s">
        <v>66</v>
      </c>
      <c r="SE12" s="135" t="s">
        <v>9</v>
      </c>
      <c r="SF12" s="134" t="s">
        <v>66</v>
      </c>
      <c r="SG12" s="135" t="s">
        <v>10</v>
      </c>
      <c r="SH12" s="138" t="s">
        <v>66</v>
      </c>
      <c r="SI12" s="139" t="s">
        <v>11</v>
      </c>
      <c r="SJ12" s="134" t="s">
        <v>66</v>
      </c>
      <c r="SK12" s="135" t="s">
        <v>12</v>
      </c>
      <c r="SL12" s="136" t="s">
        <v>66</v>
      </c>
      <c r="SM12" s="1"/>
      <c r="SN12" s="1"/>
      <c r="SO12" s="490"/>
      <c r="SP12" s="132" t="s">
        <v>63</v>
      </c>
      <c r="SQ12" s="133"/>
      <c r="SR12" s="138" t="s">
        <v>64</v>
      </c>
      <c r="SS12" s="139" t="s">
        <v>70</v>
      </c>
      <c r="ST12" s="136" t="s">
        <v>62</v>
      </c>
      <c r="SU12" s="137" t="s">
        <v>71</v>
      </c>
      <c r="SV12" s="134" t="s">
        <v>66</v>
      </c>
      <c r="SW12" s="135" t="s">
        <v>9</v>
      </c>
      <c r="SX12" s="134" t="s">
        <v>66</v>
      </c>
      <c r="SY12" s="135" t="s">
        <v>10</v>
      </c>
      <c r="SZ12" s="138" t="s">
        <v>66</v>
      </c>
      <c r="TA12" s="139" t="s">
        <v>11</v>
      </c>
      <c r="TB12" s="134" t="s">
        <v>66</v>
      </c>
      <c r="TC12" s="135" t="s">
        <v>12</v>
      </c>
      <c r="TD12" s="136" t="s">
        <v>66</v>
      </c>
      <c r="TF12" s="1"/>
      <c r="TG12" s="1"/>
      <c r="TH12" s="490"/>
      <c r="TI12" s="132" t="s">
        <v>63</v>
      </c>
      <c r="TJ12" s="133"/>
      <c r="TK12" s="138" t="s">
        <v>64</v>
      </c>
      <c r="TL12" s="139" t="s">
        <v>70</v>
      </c>
      <c r="TM12" s="136" t="s">
        <v>62</v>
      </c>
      <c r="TN12" s="137" t="s">
        <v>71</v>
      </c>
      <c r="TO12" s="134" t="s">
        <v>66</v>
      </c>
      <c r="TP12" s="135" t="s">
        <v>9</v>
      </c>
      <c r="TQ12" s="134" t="s">
        <v>66</v>
      </c>
      <c r="TR12" s="135" t="s">
        <v>10</v>
      </c>
      <c r="TS12" s="138" t="s">
        <v>66</v>
      </c>
      <c r="TW12" s="490"/>
      <c r="TX12" s="132" t="s">
        <v>63</v>
      </c>
      <c r="TY12" s="133"/>
      <c r="TZ12" s="138" t="s">
        <v>64</v>
      </c>
      <c r="UA12" s="139" t="s">
        <v>70</v>
      </c>
      <c r="UB12" s="136" t="s">
        <v>62</v>
      </c>
      <c r="UC12" s="137" t="s">
        <v>71</v>
      </c>
      <c r="UD12" s="134" t="s">
        <v>66</v>
      </c>
      <c r="UE12" s="135" t="s">
        <v>9</v>
      </c>
      <c r="UF12" s="134" t="s">
        <v>66</v>
      </c>
      <c r="UG12" s="135" t="s">
        <v>10</v>
      </c>
      <c r="UH12" s="138" t="s">
        <v>66</v>
      </c>
      <c r="UJ12" s="1"/>
      <c r="UK12" s="1"/>
      <c r="UL12" s="490"/>
      <c r="UM12" s="132" t="s">
        <v>63</v>
      </c>
      <c r="UN12" s="133"/>
      <c r="UO12" s="138" t="s">
        <v>64</v>
      </c>
      <c r="UP12" s="139" t="s">
        <v>70</v>
      </c>
      <c r="UQ12" s="136" t="s">
        <v>62</v>
      </c>
      <c r="UR12" s="137" t="s">
        <v>71</v>
      </c>
      <c r="US12" s="134" t="s">
        <v>66</v>
      </c>
      <c r="UT12" s="135" t="s">
        <v>9</v>
      </c>
      <c r="UU12" s="134" t="s">
        <v>66</v>
      </c>
      <c r="UV12" s="135" t="s">
        <v>10</v>
      </c>
      <c r="UW12" s="138" t="s">
        <v>66</v>
      </c>
      <c r="VA12" s="490"/>
      <c r="VB12" s="132" t="s">
        <v>63</v>
      </c>
      <c r="VC12" s="133"/>
      <c r="VD12" s="138" t="s">
        <v>64</v>
      </c>
      <c r="VE12" s="139" t="s">
        <v>70</v>
      </c>
      <c r="VF12" s="136" t="s">
        <v>62</v>
      </c>
      <c r="VG12" s="137" t="s">
        <v>71</v>
      </c>
      <c r="VH12" s="134" t="s">
        <v>66</v>
      </c>
      <c r="VI12" s="135" t="s">
        <v>9</v>
      </c>
      <c r="VJ12" s="134" t="s">
        <v>66</v>
      </c>
      <c r="VK12" s="135" t="s">
        <v>10</v>
      </c>
      <c r="VL12" s="138" t="s">
        <v>66</v>
      </c>
      <c r="VP12" s="490"/>
      <c r="VQ12" s="132" t="s">
        <v>63</v>
      </c>
      <c r="VR12" s="133"/>
      <c r="VS12" s="138" t="s">
        <v>64</v>
      </c>
      <c r="VT12" s="139" t="s">
        <v>70</v>
      </c>
      <c r="VU12" s="136" t="s">
        <v>62</v>
      </c>
      <c r="VV12" s="137" t="s">
        <v>71</v>
      </c>
      <c r="VW12" s="134" t="s">
        <v>66</v>
      </c>
      <c r="VX12" s="135" t="s">
        <v>9</v>
      </c>
      <c r="VY12" s="134" t="s">
        <v>66</v>
      </c>
      <c r="VZ12" s="135" t="s">
        <v>10</v>
      </c>
      <c r="WA12" s="138" t="s">
        <v>66</v>
      </c>
      <c r="WE12" s="490"/>
      <c r="WF12" s="132" t="s">
        <v>63</v>
      </c>
      <c r="WG12" s="133"/>
      <c r="WH12" s="138" t="s">
        <v>64</v>
      </c>
      <c r="WI12" s="139" t="s">
        <v>70</v>
      </c>
      <c r="WJ12" s="136" t="s">
        <v>62</v>
      </c>
      <c r="WK12" s="137" t="s">
        <v>71</v>
      </c>
      <c r="WL12" s="134" t="s">
        <v>66</v>
      </c>
      <c r="WM12" s="135" t="s">
        <v>9</v>
      </c>
      <c r="WN12" s="134" t="s">
        <v>66</v>
      </c>
      <c r="WO12" s="135" t="s">
        <v>10</v>
      </c>
      <c r="WP12" s="138" t="s">
        <v>66</v>
      </c>
    </row>
    <row r="13" spans="1:614" x14ac:dyDescent="0.2">
      <c r="A13" s="493" t="s">
        <v>4</v>
      </c>
      <c r="B13" s="480"/>
      <c r="C13" s="489"/>
      <c r="D13" s="132" t="s">
        <v>67</v>
      </c>
      <c r="E13" s="135" t="s">
        <v>68</v>
      </c>
      <c r="F13" s="138" t="s">
        <v>69</v>
      </c>
      <c r="G13" s="139" t="s">
        <v>182</v>
      </c>
      <c r="H13" s="136" t="s">
        <v>69</v>
      </c>
      <c r="I13" s="137" t="s">
        <v>183</v>
      </c>
      <c r="J13" s="134" t="s">
        <v>72</v>
      </c>
      <c r="K13" s="135" t="s">
        <v>183</v>
      </c>
      <c r="L13" s="134" t="s">
        <v>73</v>
      </c>
      <c r="M13" s="135" t="s">
        <v>183</v>
      </c>
      <c r="N13" s="138" t="s">
        <v>73</v>
      </c>
      <c r="O13" s="139" t="s">
        <v>183</v>
      </c>
      <c r="P13" s="134" t="s">
        <v>73</v>
      </c>
      <c r="Q13" s="135" t="s">
        <v>183</v>
      </c>
      <c r="R13" s="136" t="s">
        <v>73</v>
      </c>
      <c r="S13" s="493" t="s">
        <v>4</v>
      </c>
      <c r="U13" s="489"/>
      <c r="V13" s="132" t="s">
        <v>67</v>
      </c>
      <c r="W13" s="135" t="s">
        <v>68</v>
      </c>
      <c r="X13" s="138" t="s">
        <v>69</v>
      </c>
      <c r="Y13" s="139" t="s">
        <v>182</v>
      </c>
      <c r="Z13" s="136" t="s">
        <v>69</v>
      </c>
      <c r="AA13" s="137" t="s">
        <v>183</v>
      </c>
      <c r="AB13" s="134" t="s">
        <v>72</v>
      </c>
      <c r="AC13" s="135" t="s">
        <v>183</v>
      </c>
      <c r="AD13" s="134" t="s">
        <v>73</v>
      </c>
      <c r="AE13" s="135" t="s">
        <v>183</v>
      </c>
      <c r="AF13" s="138" t="s">
        <v>73</v>
      </c>
      <c r="AG13" s="139" t="s">
        <v>183</v>
      </c>
      <c r="AH13" s="134" t="s">
        <v>73</v>
      </c>
      <c r="AI13" s="135" t="s">
        <v>183</v>
      </c>
      <c r="AJ13" s="136" t="s">
        <v>73</v>
      </c>
      <c r="AK13" s="493" t="s">
        <v>4</v>
      </c>
      <c r="AL13" s="489"/>
      <c r="AM13" s="489"/>
      <c r="AN13" s="132" t="s">
        <v>67</v>
      </c>
      <c r="AO13" s="135" t="s">
        <v>68</v>
      </c>
      <c r="AP13" s="138" t="s">
        <v>69</v>
      </c>
      <c r="AQ13" s="139" t="s">
        <v>182</v>
      </c>
      <c r="AR13" s="136" t="s">
        <v>69</v>
      </c>
      <c r="AS13" s="137" t="s">
        <v>183</v>
      </c>
      <c r="AT13" s="134" t="s">
        <v>72</v>
      </c>
      <c r="AU13" s="135" t="s">
        <v>183</v>
      </c>
      <c r="AV13" s="134" t="s">
        <v>73</v>
      </c>
      <c r="AW13" s="135" t="s">
        <v>183</v>
      </c>
      <c r="AX13" s="138" t="s">
        <v>73</v>
      </c>
      <c r="AY13" s="139" t="s">
        <v>183</v>
      </c>
      <c r="AZ13" s="134" t="s">
        <v>73</v>
      </c>
      <c r="BA13" s="493" t="s">
        <v>4</v>
      </c>
      <c r="BC13" s="489"/>
      <c r="BD13" s="132" t="s">
        <v>67</v>
      </c>
      <c r="BE13" s="135" t="s">
        <v>68</v>
      </c>
      <c r="BF13" s="138" t="s">
        <v>69</v>
      </c>
      <c r="BG13" s="139" t="s">
        <v>182</v>
      </c>
      <c r="BH13" s="136" t="s">
        <v>69</v>
      </c>
      <c r="BI13" s="137" t="s">
        <v>183</v>
      </c>
      <c r="BJ13" s="134" t="s">
        <v>72</v>
      </c>
      <c r="BK13" s="135" t="s">
        <v>183</v>
      </c>
      <c r="BL13" s="134" t="s">
        <v>73</v>
      </c>
      <c r="BM13" s="135" t="s">
        <v>183</v>
      </c>
      <c r="BN13" s="138" t="s">
        <v>73</v>
      </c>
      <c r="BO13" s="139" t="s">
        <v>183</v>
      </c>
      <c r="BP13" s="134" t="s">
        <v>73</v>
      </c>
      <c r="BQ13" s="135" t="s">
        <v>183</v>
      </c>
      <c r="BR13" s="136" t="s">
        <v>73</v>
      </c>
      <c r="BS13" s="493" t="s">
        <v>4</v>
      </c>
      <c r="BT13" s="489"/>
      <c r="BU13" s="489"/>
      <c r="BV13" s="132" t="s">
        <v>67</v>
      </c>
      <c r="BW13" s="135" t="s">
        <v>68</v>
      </c>
      <c r="BX13" s="138" t="s">
        <v>69</v>
      </c>
      <c r="BY13" s="139" t="s">
        <v>182</v>
      </c>
      <c r="BZ13" s="136" t="s">
        <v>69</v>
      </c>
      <c r="CA13" s="137" t="s">
        <v>183</v>
      </c>
      <c r="CB13" s="134" t="s">
        <v>72</v>
      </c>
      <c r="CC13" s="135" t="s">
        <v>183</v>
      </c>
      <c r="CD13" s="134" t="s">
        <v>73</v>
      </c>
      <c r="CE13" s="135" t="s">
        <v>183</v>
      </c>
      <c r="CF13" s="138" t="s">
        <v>73</v>
      </c>
      <c r="CG13" s="139" t="s">
        <v>183</v>
      </c>
      <c r="CH13" s="134" t="s">
        <v>73</v>
      </c>
      <c r="CI13" s="135" t="s">
        <v>183</v>
      </c>
      <c r="CJ13" s="136" t="s">
        <v>73</v>
      </c>
      <c r="CK13" s="14" t="s">
        <v>4</v>
      </c>
      <c r="CL13" s="14"/>
      <c r="CM13" s="489"/>
      <c r="CN13" s="132" t="s">
        <v>67</v>
      </c>
      <c r="CO13" s="135" t="s">
        <v>68</v>
      </c>
      <c r="CP13" s="138" t="s">
        <v>69</v>
      </c>
      <c r="CQ13" s="139" t="s">
        <v>182</v>
      </c>
      <c r="CR13" s="136" t="s">
        <v>69</v>
      </c>
      <c r="CS13" s="137" t="s">
        <v>183</v>
      </c>
      <c r="CT13" s="134" t="s">
        <v>72</v>
      </c>
      <c r="CU13" s="135" t="s">
        <v>183</v>
      </c>
      <c r="CV13" s="134" t="s">
        <v>73</v>
      </c>
      <c r="CW13" s="135" t="s">
        <v>183</v>
      </c>
      <c r="CX13" s="138" t="s">
        <v>73</v>
      </c>
      <c r="CY13" s="139" t="s">
        <v>183</v>
      </c>
      <c r="CZ13" s="134" t="s">
        <v>73</v>
      </c>
      <c r="DA13" s="135" t="s">
        <v>183</v>
      </c>
      <c r="DB13" s="136" t="s">
        <v>73</v>
      </c>
      <c r="DC13" s="493" t="s">
        <v>4</v>
      </c>
      <c r="DD13" s="489"/>
      <c r="DE13" s="491"/>
      <c r="DF13" s="132" t="s">
        <v>67</v>
      </c>
      <c r="DG13" s="135" t="s">
        <v>68</v>
      </c>
      <c r="DH13" s="138" t="s">
        <v>69</v>
      </c>
      <c r="DI13" s="139" t="s">
        <v>182</v>
      </c>
      <c r="DJ13" s="136" t="s">
        <v>69</v>
      </c>
      <c r="DK13" s="137" t="s">
        <v>183</v>
      </c>
      <c r="DL13" s="134" t="s">
        <v>72</v>
      </c>
      <c r="DM13" s="135" t="s">
        <v>183</v>
      </c>
      <c r="DN13" s="134" t="s">
        <v>73</v>
      </c>
      <c r="DO13" s="135" t="s">
        <v>183</v>
      </c>
      <c r="DP13" s="138" t="s">
        <v>73</v>
      </c>
      <c r="DQ13" s="139" t="s">
        <v>183</v>
      </c>
      <c r="DR13" s="134" t="s">
        <v>73</v>
      </c>
      <c r="DS13" s="135" t="s">
        <v>183</v>
      </c>
      <c r="DT13" s="136" t="s">
        <v>73</v>
      </c>
      <c r="DU13" s="100" t="s">
        <v>4</v>
      </c>
      <c r="DV13" s="491"/>
      <c r="DW13" s="491"/>
      <c r="DX13" s="132" t="s">
        <v>67</v>
      </c>
      <c r="DY13" s="135" t="s">
        <v>68</v>
      </c>
      <c r="DZ13" s="138" t="s">
        <v>69</v>
      </c>
      <c r="EA13" s="139" t="s">
        <v>182</v>
      </c>
      <c r="EB13" s="136" t="s">
        <v>69</v>
      </c>
      <c r="EC13" s="137" t="s">
        <v>183</v>
      </c>
      <c r="ED13" s="134" t="s">
        <v>72</v>
      </c>
      <c r="EE13" s="135" t="s">
        <v>183</v>
      </c>
      <c r="EF13" s="134" t="s">
        <v>73</v>
      </c>
      <c r="EG13" s="135" t="s">
        <v>183</v>
      </c>
      <c r="EH13" s="138" t="s">
        <v>73</v>
      </c>
      <c r="EI13" s="139" t="s">
        <v>183</v>
      </c>
      <c r="EJ13" s="134" t="s">
        <v>73</v>
      </c>
      <c r="EK13" s="135" t="s">
        <v>183</v>
      </c>
      <c r="EL13" s="136" t="s">
        <v>73</v>
      </c>
      <c r="EM13" s="13" t="s">
        <v>4</v>
      </c>
      <c r="EN13" s="489"/>
      <c r="EO13" s="489"/>
      <c r="EP13" s="132" t="s">
        <v>67</v>
      </c>
      <c r="EQ13" s="135" t="s">
        <v>68</v>
      </c>
      <c r="ER13" s="138" t="s">
        <v>69</v>
      </c>
      <c r="ES13" s="139" t="s">
        <v>182</v>
      </c>
      <c r="ET13" s="136" t="s">
        <v>69</v>
      </c>
      <c r="EU13" s="137" t="s">
        <v>183</v>
      </c>
      <c r="EV13" s="134" t="s">
        <v>72</v>
      </c>
      <c r="EW13" s="135" t="s">
        <v>183</v>
      </c>
      <c r="EX13" s="134" t="s">
        <v>73</v>
      </c>
      <c r="EY13" s="135" t="s">
        <v>183</v>
      </c>
      <c r="EZ13" s="138" t="s">
        <v>73</v>
      </c>
      <c r="FA13" s="139" t="s">
        <v>183</v>
      </c>
      <c r="FB13" s="134" t="s">
        <v>73</v>
      </c>
      <c r="FC13" s="135" t="s">
        <v>183</v>
      </c>
      <c r="FD13" s="136" t="s">
        <v>73</v>
      </c>
      <c r="FE13" s="493" t="s">
        <v>4</v>
      </c>
      <c r="FF13" s="489"/>
      <c r="FG13" s="489"/>
      <c r="FH13" s="132" t="s">
        <v>67</v>
      </c>
      <c r="FI13" s="135" t="s">
        <v>68</v>
      </c>
      <c r="FJ13" s="138" t="s">
        <v>69</v>
      </c>
      <c r="FK13" s="139" t="s">
        <v>182</v>
      </c>
      <c r="FL13" s="136" t="s">
        <v>69</v>
      </c>
      <c r="FM13" s="137" t="s">
        <v>183</v>
      </c>
      <c r="FN13" s="134" t="s">
        <v>72</v>
      </c>
      <c r="FO13" s="135" t="s">
        <v>183</v>
      </c>
      <c r="FP13" s="134" t="s">
        <v>73</v>
      </c>
      <c r="FQ13" s="135" t="s">
        <v>183</v>
      </c>
      <c r="FR13" s="138" t="s">
        <v>73</v>
      </c>
      <c r="FS13" s="139" t="s">
        <v>183</v>
      </c>
      <c r="FT13" s="134" t="s">
        <v>73</v>
      </c>
      <c r="FU13" s="135" t="s">
        <v>183</v>
      </c>
      <c r="FV13" s="136" t="s">
        <v>73</v>
      </c>
      <c r="FW13" s="14" t="s">
        <v>4</v>
      </c>
      <c r="FX13" s="14"/>
      <c r="FY13" s="491"/>
      <c r="FZ13" s="132" t="s">
        <v>67</v>
      </c>
      <c r="GA13" s="135" t="s">
        <v>68</v>
      </c>
      <c r="GB13" s="138" t="s">
        <v>69</v>
      </c>
      <c r="GC13" s="139" t="s">
        <v>182</v>
      </c>
      <c r="GD13" s="136" t="s">
        <v>69</v>
      </c>
      <c r="GE13" s="137" t="s">
        <v>183</v>
      </c>
      <c r="GF13" s="134" t="s">
        <v>72</v>
      </c>
      <c r="GG13" s="135" t="s">
        <v>183</v>
      </c>
      <c r="GH13" s="134" t="s">
        <v>73</v>
      </c>
      <c r="GI13" s="135" t="s">
        <v>183</v>
      </c>
      <c r="GJ13" s="138" t="s">
        <v>73</v>
      </c>
      <c r="GK13" s="139" t="s">
        <v>183</v>
      </c>
      <c r="GL13" s="134" t="s">
        <v>73</v>
      </c>
      <c r="GM13" s="135" t="s">
        <v>183</v>
      </c>
      <c r="GN13" s="136" t="s">
        <v>73</v>
      </c>
      <c r="GO13" s="14" t="s">
        <v>4</v>
      </c>
      <c r="GP13" s="7"/>
      <c r="GQ13" s="491"/>
      <c r="GR13" s="132" t="s">
        <v>67</v>
      </c>
      <c r="GS13" s="135" t="s">
        <v>68</v>
      </c>
      <c r="GT13" s="138" t="s">
        <v>69</v>
      </c>
      <c r="GU13" s="139" t="s">
        <v>182</v>
      </c>
      <c r="GV13" s="136" t="s">
        <v>69</v>
      </c>
      <c r="GW13" s="137" t="s">
        <v>183</v>
      </c>
      <c r="GX13" s="134" t="s">
        <v>72</v>
      </c>
      <c r="GY13" s="135" t="s">
        <v>183</v>
      </c>
      <c r="GZ13" s="134" t="s">
        <v>73</v>
      </c>
      <c r="HA13" s="135" t="s">
        <v>183</v>
      </c>
      <c r="HB13" s="138" t="s">
        <v>73</v>
      </c>
      <c r="HC13" s="139" t="s">
        <v>183</v>
      </c>
      <c r="HD13" s="134" t="s">
        <v>73</v>
      </c>
      <c r="HE13" s="135" t="s">
        <v>183</v>
      </c>
      <c r="HF13" s="136" t="s">
        <v>73</v>
      </c>
      <c r="HG13" s="493" t="s">
        <v>4</v>
      </c>
      <c r="HH13" s="494"/>
      <c r="HI13" s="491"/>
      <c r="HJ13" s="132" t="s">
        <v>67</v>
      </c>
      <c r="HK13" s="135" t="s">
        <v>68</v>
      </c>
      <c r="HL13" s="138" t="s">
        <v>69</v>
      </c>
      <c r="HM13" s="139" t="s">
        <v>182</v>
      </c>
      <c r="HN13" s="136" t="s">
        <v>69</v>
      </c>
      <c r="HO13" s="137" t="s">
        <v>183</v>
      </c>
      <c r="HP13" s="134" t="s">
        <v>72</v>
      </c>
      <c r="HQ13" s="135" t="s">
        <v>183</v>
      </c>
      <c r="HR13" s="134" t="s">
        <v>73</v>
      </c>
      <c r="HS13" s="135" t="s">
        <v>183</v>
      </c>
      <c r="HT13" s="138" t="s">
        <v>73</v>
      </c>
      <c r="HU13" s="139" t="s">
        <v>183</v>
      </c>
      <c r="HV13" s="134" t="s">
        <v>73</v>
      </c>
      <c r="HW13" s="135" t="s">
        <v>183</v>
      </c>
      <c r="HX13" s="136" t="s">
        <v>73</v>
      </c>
      <c r="HY13" s="495" t="s">
        <v>4</v>
      </c>
      <c r="HZ13" s="496"/>
      <c r="IA13" s="491"/>
      <c r="IB13" s="132" t="s">
        <v>67</v>
      </c>
      <c r="IC13" s="135" t="s">
        <v>68</v>
      </c>
      <c r="ID13" s="138" t="s">
        <v>69</v>
      </c>
      <c r="IE13" s="139" t="s">
        <v>182</v>
      </c>
      <c r="IF13" s="136" t="s">
        <v>69</v>
      </c>
      <c r="IG13" s="137" t="s">
        <v>183</v>
      </c>
      <c r="IH13" s="134" t="s">
        <v>72</v>
      </c>
      <c r="II13" s="135" t="s">
        <v>183</v>
      </c>
      <c r="IJ13" s="134" t="s">
        <v>73</v>
      </c>
      <c r="IK13" s="135" t="s">
        <v>183</v>
      </c>
      <c r="IL13" s="138" t="s">
        <v>73</v>
      </c>
      <c r="IM13" s="139" t="s">
        <v>183</v>
      </c>
      <c r="IN13" s="134" t="s">
        <v>73</v>
      </c>
      <c r="IO13" s="135" t="s">
        <v>183</v>
      </c>
      <c r="IP13" s="136" t="s">
        <v>73</v>
      </c>
      <c r="IQ13" s="493" t="s">
        <v>4</v>
      </c>
      <c r="IR13" s="489"/>
      <c r="IS13" s="491"/>
      <c r="IT13" s="132" t="s">
        <v>67</v>
      </c>
      <c r="IU13" s="135" t="s">
        <v>68</v>
      </c>
      <c r="IV13" s="138" t="s">
        <v>69</v>
      </c>
      <c r="IW13" s="139" t="s">
        <v>182</v>
      </c>
      <c r="IX13" s="136" t="s">
        <v>69</v>
      </c>
      <c r="IY13" s="137" t="s">
        <v>183</v>
      </c>
      <c r="IZ13" s="134" t="s">
        <v>72</v>
      </c>
      <c r="JA13" s="135" t="s">
        <v>183</v>
      </c>
      <c r="JB13" s="134" t="s">
        <v>73</v>
      </c>
      <c r="JC13" s="135" t="s">
        <v>183</v>
      </c>
      <c r="JD13" s="138" t="s">
        <v>73</v>
      </c>
      <c r="JE13" s="139" t="s">
        <v>183</v>
      </c>
      <c r="JF13" s="134" t="s">
        <v>73</v>
      </c>
      <c r="JG13" s="135" t="s">
        <v>183</v>
      </c>
      <c r="JH13" s="136" t="s">
        <v>73</v>
      </c>
      <c r="JI13" s="493" t="s">
        <v>4</v>
      </c>
      <c r="JK13" s="491"/>
      <c r="JL13" s="132" t="s">
        <v>67</v>
      </c>
      <c r="JM13" s="135" t="s">
        <v>68</v>
      </c>
      <c r="JN13" s="138" t="s">
        <v>69</v>
      </c>
      <c r="JO13" s="139" t="s">
        <v>182</v>
      </c>
      <c r="JP13" s="136" t="s">
        <v>69</v>
      </c>
      <c r="JQ13" s="137" t="s">
        <v>183</v>
      </c>
      <c r="JR13" s="134" t="s">
        <v>72</v>
      </c>
      <c r="JS13" s="135" t="s">
        <v>183</v>
      </c>
      <c r="JT13" s="134" t="s">
        <v>73</v>
      </c>
      <c r="JU13" s="135" t="s">
        <v>183</v>
      </c>
      <c r="JV13" s="138" t="s">
        <v>73</v>
      </c>
      <c r="JW13" s="139" t="s">
        <v>183</v>
      </c>
      <c r="JX13" s="134" t="s">
        <v>73</v>
      </c>
      <c r="JY13" s="135" t="s">
        <v>183</v>
      </c>
      <c r="JZ13" s="136" t="s">
        <v>73</v>
      </c>
      <c r="KA13" s="493" t="s">
        <v>4</v>
      </c>
      <c r="KB13" s="489"/>
      <c r="KC13" s="491"/>
      <c r="KD13" s="132" t="s">
        <v>67</v>
      </c>
      <c r="KE13" s="135" t="s">
        <v>68</v>
      </c>
      <c r="KF13" s="138" t="s">
        <v>69</v>
      </c>
      <c r="KG13" s="139" t="s">
        <v>182</v>
      </c>
      <c r="KH13" s="136" t="s">
        <v>69</v>
      </c>
      <c r="KI13" s="137" t="s">
        <v>183</v>
      </c>
      <c r="KJ13" s="134" t="s">
        <v>72</v>
      </c>
      <c r="KK13" s="135" t="s">
        <v>183</v>
      </c>
      <c r="KL13" s="134" t="s">
        <v>73</v>
      </c>
      <c r="KM13" s="135" t="s">
        <v>183</v>
      </c>
      <c r="KN13" s="138" t="s">
        <v>73</v>
      </c>
      <c r="KO13" s="139" t="s">
        <v>183</v>
      </c>
      <c r="KP13" s="134" t="s">
        <v>73</v>
      </c>
      <c r="KQ13" s="135" t="s">
        <v>183</v>
      </c>
      <c r="KR13" s="136" t="s">
        <v>73</v>
      </c>
      <c r="KS13" s="14" t="s">
        <v>4</v>
      </c>
      <c r="KT13" s="7"/>
      <c r="KU13" s="491"/>
      <c r="KV13" s="132" t="s">
        <v>67</v>
      </c>
      <c r="KW13" s="135" t="s">
        <v>68</v>
      </c>
      <c r="KX13" s="138" t="s">
        <v>69</v>
      </c>
      <c r="KY13" s="139" t="s">
        <v>182</v>
      </c>
      <c r="KZ13" s="136" t="s">
        <v>69</v>
      </c>
      <c r="LA13" s="137" t="s">
        <v>183</v>
      </c>
      <c r="LB13" s="134" t="s">
        <v>72</v>
      </c>
      <c r="LC13" s="135" t="s">
        <v>183</v>
      </c>
      <c r="LD13" s="134" t="s">
        <v>73</v>
      </c>
      <c r="LE13" s="135" t="s">
        <v>183</v>
      </c>
      <c r="LF13" s="138" t="s">
        <v>73</v>
      </c>
      <c r="LG13" s="139" t="s">
        <v>183</v>
      </c>
      <c r="LH13" s="134" t="s">
        <v>73</v>
      </c>
      <c r="LI13" s="135" t="s">
        <v>183</v>
      </c>
      <c r="LJ13" s="136" t="s">
        <v>73</v>
      </c>
      <c r="LK13" s="497" t="s">
        <v>4</v>
      </c>
      <c r="LL13" s="496"/>
      <c r="LM13" s="496"/>
      <c r="LN13" s="132" t="s">
        <v>67</v>
      </c>
      <c r="LO13" s="135" t="s">
        <v>68</v>
      </c>
      <c r="LP13" s="138" t="s">
        <v>69</v>
      </c>
      <c r="LQ13" s="139" t="s">
        <v>182</v>
      </c>
      <c r="LR13" s="136" t="s">
        <v>69</v>
      </c>
      <c r="LS13" s="137" t="s">
        <v>183</v>
      </c>
      <c r="LT13" s="134" t="s">
        <v>72</v>
      </c>
      <c r="LU13" s="135" t="s">
        <v>183</v>
      </c>
      <c r="LV13" s="134" t="s">
        <v>73</v>
      </c>
      <c r="LW13" s="135" t="s">
        <v>183</v>
      </c>
      <c r="LX13" s="138" t="s">
        <v>73</v>
      </c>
      <c r="LY13" s="139" t="s">
        <v>183</v>
      </c>
      <c r="LZ13" s="134" t="s">
        <v>73</v>
      </c>
      <c r="MA13" s="135" t="s">
        <v>183</v>
      </c>
      <c r="MB13" s="136" t="s">
        <v>73</v>
      </c>
      <c r="MC13" s="497" t="s">
        <v>4</v>
      </c>
      <c r="ME13" s="496"/>
      <c r="MF13" s="132" t="s">
        <v>67</v>
      </c>
      <c r="MG13" s="135" t="s">
        <v>68</v>
      </c>
      <c r="MH13" s="138" t="s">
        <v>69</v>
      </c>
      <c r="MI13" s="139" t="s">
        <v>182</v>
      </c>
      <c r="MJ13" s="136" t="s">
        <v>69</v>
      </c>
      <c r="MK13" s="137" t="s">
        <v>183</v>
      </c>
      <c r="ML13" s="134" t="s">
        <v>72</v>
      </c>
      <c r="MM13" s="135" t="s">
        <v>183</v>
      </c>
      <c r="MN13" s="134" t="s">
        <v>73</v>
      </c>
      <c r="MO13" s="135" t="s">
        <v>183</v>
      </c>
      <c r="MP13" s="138" t="s">
        <v>73</v>
      </c>
      <c r="MQ13" s="139" t="s">
        <v>183</v>
      </c>
      <c r="MR13" s="134" t="s">
        <v>73</v>
      </c>
      <c r="MS13" s="135" t="s">
        <v>183</v>
      </c>
      <c r="MT13" s="136" t="s">
        <v>73</v>
      </c>
      <c r="MU13" s="497" t="s">
        <v>4</v>
      </c>
      <c r="MW13" s="496"/>
      <c r="MX13" s="132" t="s">
        <v>67</v>
      </c>
      <c r="MY13" s="135" t="s">
        <v>68</v>
      </c>
      <c r="MZ13" s="138" t="s">
        <v>69</v>
      </c>
      <c r="NA13" s="139" t="s">
        <v>182</v>
      </c>
      <c r="NB13" s="136" t="s">
        <v>69</v>
      </c>
      <c r="NC13" s="137" t="s">
        <v>183</v>
      </c>
      <c r="ND13" s="134" t="s">
        <v>72</v>
      </c>
      <c r="NE13" s="135" t="s">
        <v>183</v>
      </c>
      <c r="NF13" s="134" t="s">
        <v>73</v>
      </c>
      <c r="NG13" s="135" t="s">
        <v>183</v>
      </c>
      <c r="NH13" s="138" t="s">
        <v>73</v>
      </c>
      <c r="NI13" s="139" t="s">
        <v>183</v>
      </c>
      <c r="NJ13" s="134" t="s">
        <v>73</v>
      </c>
      <c r="NK13" s="135" t="s">
        <v>183</v>
      </c>
      <c r="NL13" s="136" t="s">
        <v>73</v>
      </c>
      <c r="NM13" s="493" t="s">
        <v>4</v>
      </c>
      <c r="NN13" s="489"/>
      <c r="NO13" s="491"/>
      <c r="NP13" s="132" t="s">
        <v>67</v>
      </c>
      <c r="NQ13" s="135" t="s">
        <v>68</v>
      </c>
      <c r="NR13" s="138" t="s">
        <v>69</v>
      </c>
      <c r="NS13" s="139" t="s">
        <v>182</v>
      </c>
      <c r="NT13" s="136" t="s">
        <v>69</v>
      </c>
      <c r="NU13" s="137" t="s">
        <v>183</v>
      </c>
      <c r="NV13" s="134" t="s">
        <v>72</v>
      </c>
      <c r="NW13" s="135" t="s">
        <v>183</v>
      </c>
      <c r="NX13" s="134" t="s">
        <v>73</v>
      </c>
      <c r="NY13" s="135" t="s">
        <v>183</v>
      </c>
      <c r="NZ13" s="138" t="s">
        <v>73</v>
      </c>
      <c r="OA13" s="139" t="s">
        <v>183</v>
      </c>
      <c r="OB13" s="134" t="s">
        <v>73</v>
      </c>
      <c r="OC13" s="135" t="s">
        <v>183</v>
      </c>
      <c r="OD13" s="136" t="s">
        <v>73</v>
      </c>
      <c r="OE13" s="493" t="s">
        <v>4</v>
      </c>
      <c r="OF13" s="489"/>
      <c r="OG13" s="491"/>
      <c r="OH13" s="132" t="s">
        <v>67</v>
      </c>
      <c r="OI13" s="135" t="s">
        <v>68</v>
      </c>
      <c r="OJ13" s="138" t="s">
        <v>69</v>
      </c>
      <c r="OK13" s="139" t="s">
        <v>182</v>
      </c>
      <c r="OL13" s="136" t="s">
        <v>69</v>
      </c>
      <c r="OM13" s="137" t="s">
        <v>183</v>
      </c>
      <c r="ON13" s="134" t="s">
        <v>72</v>
      </c>
      <c r="OO13" s="135" t="s">
        <v>183</v>
      </c>
      <c r="OP13" s="134" t="s">
        <v>73</v>
      </c>
      <c r="OQ13" s="135" t="s">
        <v>183</v>
      </c>
      <c r="OR13" s="138" t="s">
        <v>73</v>
      </c>
      <c r="OS13" s="139" t="s">
        <v>183</v>
      </c>
      <c r="OT13" s="134" t="s">
        <v>73</v>
      </c>
      <c r="OU13" s="135" t="s">
        <v>183</v>
      </c>
      <c r="OV13" s="136" t="s">
        <v>73</v>
      </c>
      <c r="OW13" s="493" t="s">
        <v>4</v>
      </c>
      <c r="OX13" s="489"/>
      <c r="OY13" s="491"/>
      <c r="OZ13" s="132" t="s">
        <v>67</v>
      </c>
      <c r="PA13" s="135" t="s">
        <v>68</v>
      </c>
      <c r="PB13" s="138" t="s">
        <v>69</v>
      </c>
      <c r="PC13" s="139" t="s">
        <v>182</v>
      </c>
      <c r="PD13" s="136" t="s">
        <v>69</v>
      </c>
      <c r="PE13" s="137" t="s">
        <v>183</v>
      </c>
      <c r="PF13" s="134" t="s">
        <v>72</v>
      </c>
      <c r="PG13" s="135" t="s">
        <v>183</v>
      </c>
      <c r="PH13" s="134" t="s">
        <v>73</v>
      </c>
      <c r="PI13" s="135" t="s">
        <v>183</v>
      </c>
      <c r="PJ13" s="138" t="s">
        <v>73</v>
      </c>
      <c r="PK13" s="139" t="s">
        <v>183</v>
      </c>
      <c r="PL13" s="134" t="s">
        <v>73</v>
      </c>
      <c r="PM13" s="135" t="s">
        <v>183</v>
      </c>
      <c r="PN13" s="136" t="s">
        <v>73</v>
      </c>
      <c r="PO13" s="7"/>
      <c r="PP13" s="7"/>
      <c r="PQ13" s="7"/>
      <c r="PR13" s="7"/>
      <c r="PS13" s="497" t="s">
        <v>4</v>
      </c>
      <c r="PT13" s="498"/>
      <c r="PU13" s="489"/>
      <c r="PV13" s="132" t="s">
        <v>67</v>
      </c>
      <c r="PW13" s="135" t="s">
        <v>68</v>
      </c>
      <c r="PX13" s="138" t="s">
        <v>69</v>
      </c>
      <c r="PY13" s="139" t="s">
        <v>182</v>
      </c>
      <c r="PZ13" s="136" t="s">
        <v>69</v>
      </c>
      <c r="QA13" s="137" t="s">
        <v>183</v>
      </c>
      <c r="QB13" s="134" t="s">
        <v>72</v>
      </c>
      <c r="QC13" s="135" t="s">
        <v>183</v>
      </c>
      <c r="QD13" s="134" t="s">
        <v>73</v>
      </c>
      <c r="QE13" s="135" t="s">
        <v>183</v>
      </c>
      <c r="QF13" s="138" t="s">
        <v>73</v>
      </c>
      <c r="QG13" s="139" t="s">
        <v>183</v>
      </c>
      <c r="QH13" s="134" t="s">
        <v>73</v>
      </c>
      <c r="QI13" s="135" t="s">
        <v>183</v>
      </c>
      <c r="QJ13" s="136" t="s">
        <v>73</v>
      </c>
      <c r="QK13" s="493" t="s">
        <v>4</v>
      </c>
      <c r="QL13" s="489"/>
      <c r="QM13" s="491"/>
      <c r="QN13" s="132" t="s">
        <v>67</v>
      </c>
      <c r="QO13" s="135" t="s">
        <v>68</v>
      </c>
      <c r="QP13" s="138" t="s">
        <v>69</v>
      </c>
      <c r="QQ13" s="139" t="s">
        <v>182</v>
      </c>
      <c r="QR13" s="136" t="s">
        <v>69</v>
      </c>
      <c r="QS13" s="137" t="s">
        <v>183</v>
      </c>
      <c r="QT13" s="134" t="s">
        <v>72</v>
      </c>
      <c r="QU13" s="135" t="s">
        <v>183</v>
      </c>
      <c r="QV13" s="134" t="s">
        <v>73</v>
      </c>
      <c r="QW13" s="135" t="s">
        <v>183</v>
      </c>
      <c r="QX13" s="138" t="s">
        <v>73</v>
      </c>
      <c r="QY13" s="139" t="s">
        <v>183</v>
      </c>
      <c r="QZ13" s="134" t="s">
        <v>73</v>
      </c>
      <c r="RA13" s="135" t="s">
        <v>183</v>
      </c>
      <c r="RB13" s="136" t="s">
        <v>73</v>
      </c>
      <c r="RC13" s="493" t="s">
        <v>4</v>
      </c>
      <c r="RD13" s="489"/>
      <c r="RE13" s="491"/>
      <c r="RF13" s="132" t="s">
        <v>67</v>
      </c>
      <c r="RG13" s="135" t="s">
        <v>68</v>
      </c>
      <c r="RH13" s="138" t="s">
        <v>69</v>
      </c>
      <c r="RI13" s="139" t="s">
        <v>182</v>
      </c>
      <c r="RJ13" s="136" t="s">
        <v>69</v>
      </c>
      <c r="RK13" s="137" t="s">
        <v>183</v>
      </c>
      <c r="RL13" s="134" t="s">
        <v>72</v>
      </c>
      <c r="RM13" s="135" t="s">
        <v>183</v>
      </c>
      <c r="RN13" s="134" t="s">
        <v>73</v>
      </c>
      <c r="RO13" s="135" t="s">
        <v>183</v>
      </c>
      <c r="RP13" s="138" t="s">
        <v>73</v>
      </c>
      <c r="RQ13" s="139" t="s">
        <v>183</v>
      </c>
      <c r="RR13" s="134" t="s">
        <v>73</v>
      </c>
      <c r="RS13" s="135" t="s">
        <v>183</v>
      </c>
      <c r="RT13" s="136" t="s">
        <v>73</v>
      </c>
      <c r="RU13" s="493" t="s">
        <v>4</v>
      </c>
      <c r="RV13" s="489"/>
      <c r="RW13" s="491"/>
      <c r="RX13" s="132" t="s">
        <v>67</v>
      </c>
      <c r="RY13" s="135" t="s">
        <v>68</v>
      </c>
      <c r="RZ13" s="138" t="s">
        <v>69</v>
      </c>
      <c r="SA13" s="139" t="s">
        <v>182</v>
      </c>
      <c r="SB13" s="136" t="s">
        <v>69</v>
      </c>
      <c r="SC13" s="137" t="s">
        <v>183</v>
      </c>
      <c r="SD13" s="134" t="s">
        <v>72</v>
      </c>
      <c r="SE13" s="135" t="s">
        <v>183</v>
      </c>
      <c r="SF13" s="134" t="s">
        <v>73</v>
      </c>
      <c r="SG13" s="135" t="s">
        <v>183</v>
      </c>
      <c r="SH13" s="138" t="s">
        <v>73</v>
      </c>
      <c r="SI13" s="139" t="s">
        <v>183</v>
      </c>
      <c r="SJ13" s="134" t="s">
        <v>73</v>
      </c>
      <c r="SK13" s="135" t="s">
        <v>183</v>
      </c>
      <c r="SL13" s="136" t="s">
        <v>73</v>
      </c>
      <c r="SM13" s="493" t="s">
        <v>4</v>
      </c>
      <c r="SN13" s="489"/>
      <c r="SO13" s="491"/>
      <c r="SP13" s="132" t="s">
        <v>67</v>
      </c>
      <c r="SQ13" s="135" t="s">
        <v>68</v>
      </c>
      <c r="SR13" s="138" t="s">
        <v>69</v>
      </c>
      <c r="SS13" s="139" t="s">
        <v>182</v>
      </c>
      <c r="ST13" s="136" t="s">
        <v>69</v>
      </c>
      <c r="SU13" s="137" t="s">
        <v>183</v>
      </c>
      <c r="SV13" s="134" t="s">
        <v>72</v>
      </c>
      <c r="SW13" s="135" t="s">
        <v>183</v>
      </c>
      <c r="SX13" s="134" t="s">
        <v>73</v>
      </c>
      <c r="SY13" s="135" t="s">
        <v>183</v>
      </c>
      <c r="SZ13" s="138" t="s">
        <v>73</v>
      </c>
      <c r="TA13" s="139" t="s">
        <v>183</v>
      </c>
      <c r="TB13" s="134" t="s">
        <v>73</v>
      </c>
      <c r="TC13" s="135" t="s">
        <v>183</v>
      </c>
      <c r="TD13" s="136" t="s">
        <v>73</v>
      </c>
      <c r="TF13" s="493" t="s">
        <v>4</v>
      </c>
      <c r="TG13" s="489"/>
      <c r="TH13" s="491"/>
      <c r="TI13" s="132" t="s">
        <v>67</v>
      </c>
      <c r="TJ13" s="135" t="s">
        <v>68</v>
      </c>
      <c r="TK13" s="138" t="s">
        <v>69</v>
      </c>
      <c r="TL13" s="139" t="s">
        <v>182</v>
      </c>
      <c r="TM13" s="136" t="s">
        <v>69</v>
      </c>
      <c r="TN13" s="137" t="s">
        <v>183</v>
      </c>
      <c r="TO13" s="134" t="s">
        <v>72</v>
      </c>
      <c r="TP13" s="135" t="s">
        <v>183</v>
      </c>
      <c r="TQ13" s="134" t="s">
        <v>73</v>
      </c>
      <c r="TR13" s="135" t="s">
        <v>183</v>
      </c>
      <c r="TS13" s="138" t="s">
        <v>73</v>
      </c>
      <c r="TU13" s="493" t="s">
        <v>4</v>
      </c>
      <c r="TV13" s="489"/>
      <c r="TW13" s="491"/>
      <c r="TX13" s="132" t="s">
        <v>67</v>
      </c>
      <c r="TY13" s="135" t="s">
        <v>68</v>
      </c>
      <c r="TZ13" s="138" t="s">
        <v>69</v>
      </c>
      <c r="UA13" s="139" t="s">
        <v>182</v>
      </c>
      <c r="UB13" s="136" t="s">
        <v>69</v>
      </c>
      <c r="UC13" s="137" t="s">
        <v>183</v>
      </c>
      <c r="UD13" s="134" t="s">
        <v>72</v>
      </c>
      <c r="UE13" s="135" t="s">
        <v>183</v>
      </c>
      <c r="UF13" s="134" t="s">
        <v>73</v>
      </c>
      <c r="UG13" s="135" t="s">
        <v>183</v>
      </c>
      <c r="UH13" s="138" t="s">
        <v>73</v>
      </c>
      <c r="UJ13" s="493" t="s">
        <v>4</v>
      </c>
      <c r="UK13" s="489"/>
      <c r="UL13" s="491"/>
      <c r="UM13" s="132" t="s">
        <v>67</v>
      </c>
      <c r="UN13" s="135" t="s">
        <v>68</v>
      </c>
      <c r="UO13" s="138" t="s">
        <v>69</v>
      </c>
      <c r="UP13" s="139" t="s">
        <v>182</v>
      </c>
      <c r="UQ13" s="136" t="s">
        <v>69</v>
      </c>
      <c r="UR13" s="137" t="s">
        <v>183</v>
      </c>
      <c r="US13" s="134" t="s">
        <v>72</v>
      </c>
      <c r="UT13" s="135" t="s">
        <v>183</v>
      </c>
      <c r="UU13" s="134" t="s">
        <v>73</v>
      </c>
      <c r="UV13" s="135" t="s">
        <v>183</v>
      </c>
      <c r="UW13" s="138" t="s">
        <v>73</v>
      </c>
      <c r="UY13" s="493" t="s">
        <v>4</v>
      </c>
      <c r="UZ13" s="489"/>
      <c r="VA13" s="491"/>
      <c r="VB13" s="132" t="s">
        <v>67</v>
      </c>
      <c r="VC13" s="135" t="s">
        <v>68</v>
      </c>
      <c r="VD13" s="138" t="s">
        <v>69</v>
      </c>
      <c r="VE13" s="139" t="s">
        <v>182</v>
      </c>
      <c r="VF13" s="136" t="s">
        <v>69</v>
      </c>
      <c r="VG13" s="137" t="s">
        <v>183</v>
      </c>
      <c r="VH13" s="134" t="s">
        <v>72</v>
      </c>
      <c r="VI13" s="135" t="s">
        <v>183</v>
      </c>
      <c r="VJ13" s="134" t="s">
        <v>73</v>
      </c>
      <c r="VK13" s="135" t="s">
        <v>183</v>
      </c>
      <c r="VL13" s="138" t="s">
        <v>73</v>
      </c>
      <c r="VN13" s="493" t="s">
        <v>4</v>
      </c>
      <c r="VO13" s="489"/>
      <c r="VP13" s="491"/>
      <c r="VQ13" s="132" t="s">
        <v>67</v>
      </c>
      <c r="VR13" s="135" t="s">
        <v>68</v>
      </c>
      <c r="VS13" s="138" t="s">
        <v>69</v>
      </c>
      <c r="VT13" s="139" t="s">
        <v>182</v>
      </c>
      <c r="VU13" s="136" t="s">
        <v>69</v>
      </c>
      <c r="VV13" s="137" t="s">
        <v>183</v>
      </c>
      <c r="VW13" s="134" t="s">
        <v>72</v>
      </c>
      <c r="VX13" s="135" t="s">
        <v>183</v>
      </c>
      <c r="VY13" s="134" t="s">
        <v>73</v>
      </c>
      <c r="VZ13" s="135" t="s">
        <v>183</v>
      </c>
      <c r="WA13" s="138" t="s">
        <v>73</v>
      </c>
      <c r="WC13" s="493" t="s">
        <v>4</v>
      </c>
      <c r="WD13" s="489"/>
      <c r="WE13" s="491"/>
      <c r="WF13" s="132" t="s">
        <v>67</v>
      </c>
      <c r="WG13" s="135" t="s">
        <v>68</v>
      </c>
      <c r="WH13" s="138" t="s">
        <v>69</v>
      </c>
      <c r="WI13" s="139" t="s">
        <v>182</v>
      </c>
      <c r="WJ13" s="136" t="s">
        <v>69</v>
      </c>
      <c r="WK13" s="137" t="s">
        <v>183</v>
      </c>
      <c r="WL13" s="134" t="s">
        <v>72</v>
      </c>
      <c r="WM13" s="135" t="s">
        <v>183</v>
      </c>
      <c r="WN13" s="134" t="s">
        <v>73</v>
      </c>
      <c r="WO13" s="135" t="s">
        <v>183</v>
      </c>
      <c r="WP13" s="138" t="s">
        <v>73</v>
      </c>
    </row>
    <row r="14" spans="1:614" x14ac:dyDescent="0.2">
      <c r="A14" s="499" t="s">
        <v>7</v>
      </c>
      <c r="B14" s="16" t="s">
        <v>8</v>
      </c>
      <c r="C14" s="500" t="s">
        <v>184</v>
      </c>
      <c r="D14" s="146" t="s">
        <v>74</v>
      </c>
      <c r="E14" s="147" t="s">
        <v>75</v>
      </c>
      <c r="F14" s="151" t="s">
        <v>76</v>
      </c>
      <c r="G14" s="152" t="s">
        <v>75</v>
      </c>
      <c r="H14" s="149" t="s">
        <v>76</v>
      </c>
      <c r="I14" s="150" t="s">
        <v>75</v>
      </c>
      <c r="J14" s="148" t="s">
        <v>9</v>
      </c>
      <c r="K14" s="147" t="s">
        <v>75</v>
      </c>
      <c r="L14" s="148" t="s">
        <v>9</v>
      </c>
      <c r="M14" s="147" t="s">
        <v>75</v>
      </c>
      <c r="N14" s="151" t="s">
        <v>10</v>
      </c>
      <c r="O14" s="152" t="s">
        <v>75</v>
      </c>
      <c r="P14" s="148" t="s">
        <v>11</v>
      </c>
      <c r="Q14" s="147" t="s">
        <v>75</v>
      </c>
      <c r="R14" s="149" t="s">
        <v>12</v>
      </c>
      <c r="S14" s="499" t="s">
        <v>7</v>
      </c>
      <c r="T14" s="501" t="s">
        <v>8</v>
      </c>
      <c r="U14" s="500" t="s">
        <v>184</v>
      </c>
      <c r="V14" s="146" t="s">
        <v>74</v>
      </c>
      <c r="W14" s="147" t="s">
        <v>75</v>
      </c>
      <c r="X14" s="151" t="s">
        <v>76</v>
      </c>
      <c r="Y14" s="152" t="s">
        <v>75</v>
      </c>
      <c r="Z14" s="149" t="s">
        <v>76</v>
      </c>
      <c r="AA14" s="150" t="s">
        <v>75</v>
      </c>
      <c r="AB14" s="148" t="s">
        <v>9</v>
      </c>
      <c r="AC14" s="147" t="s">
        <v>75</v>
      </c>
      <c r="AD14" s="148" t="s">
        <v>9</v>
      </c>
      <c r="AE14" s="147" t="s">
        <v>75</v>
      </c>
      <c r="AF14" s="151" t="s">
        <v>10</v>
      </c>
      <c r="AG14" s="152" t="s">
        <v>75</v>
      </c>
      <c r="AH14" s="148" t="s">
        <v>11</v>
      </c>
      <c r="AI14" s="147" t="s">
        <v>75</v>
      </c>
      <c r="AJ14" s="149" t="s">
        <v>12</v>
      </c>
      <c r="AK14" s="15" t="s">
        <v>7</v>
      </c>
      <c r="AL14" s="16" t="s">
        <v>8</v>
      </c>
      <c r="AM14" s="500" t="s">
        <v>184</v>
      </c>
      <c r="AN14" s="146" t="s">
        <v>74</v>
      </c>
      <c r="AO14" s="147" t="s">
        <v>75</v>
      </c>
      <c r="AP14" s="151" t="s">
        <v>76</v>
      </c>
      <c r="AQ14" s="152" t="s">
        <v>75</v>
      </c>
      <c r="AR14" s="149" t="s">
        <v>76</v>
      </c>
      <c r="AS14" s="150" t="s">
        <v>75</v>
      </c>
      <c r="AT14" s="148" t="s">
        <v>9</v>
      </c>
      <c r="AU14" s="147" t="s">
        <v>75</v>
      </c>
      <c r="AV14" s="148" t="s">
        <v>9</v>
      </c>
      <c r="AW14" s="147" t="s">
        <v>75</v>
      </c>
      <c r="AX14" s="151" t="s">
        <v>10</v>
      </c>
      <c r="AY14" s="152" t="s">
        <v>75</v>
      </c>
      <c r="AZ14" s="148" t="s">
        <v>11</v>
      </c>
      <c r="BA14" s="499" t="s">
        <v>7</v>
      </c>
      <c r="BB14" s="16" t="s">
        <v>8</v>
      </c>
      <c r="BC14" s="500" t="s">
        <v>184</v>
      </c>
      <c r="BD14" s="146" t="s">
        <v>74</v>
      </c>
      <c r="BE14" s="147" t="s">
        <v>75</v>
      </c>
      <c r="BF14" s="151" t="s">
        <v>76</v>
      </c>
      <c r="BG14" s="152" t="s">
        <v>75</v>
      </c>
      <c r="BH14" s="149" t="s">
        <v>76</v>
      </c>
      <c r="BI14" s="150" t="s">
        <v>75</v>
      </c>
      <c r="BJ14" s="148" t="s">
        <v>9</v>
      </c>
      <c r="BK14" s="147" t="s">
        <v>75</v>
      </c>
      <c r="BL14" s="148" t="s">
        <v>9</v>
      </c>
      <c r="BM14" s="147" t="s">
        <v>75</v>
      </c>
      <c r="BN14" s="151" t="s">
        <v>10</v>
      </c>
      <c r="BO14" s="152" t="s">
        <v>75</v>
      </c>
      <c r="BP14" s="148" t="s">
        <v>11</v>
      </c>
      <c r="BQ14" s="147" t="s">
        <v>75</v>
      </c>
      <c r="BR14" s="149" t="s">
        <v>12</v>
      </c>
      <c r="BS14" s="15" t="s">
        <v>7</v>
      </c>
      <c r="BT14" s="16" t="s">
        <v>8</v>
      </c>
      <c r="BU14" s="500" t="s">
        <v>184</v>
      </c>
      <c r="BV14" s="146" t="s">
        <v>74</v>
      </c>
      <c r="BW14" s="147" t="s">
        <v>75</v>
      </c>
      <c r="BX14" s="151" t="s">
        <v>76</v>
      </c>
      <c r="BY14" s="152" t="s">
        <v>75</v>
      </c>
      <c r="BZ14" s="149" t="s">
        <v>76</v>
      </c>
      <c r="CA14" s="150" t="s">
        <v>75</v>
      </c>
      <c r="CB14" s="148" t="s">
        <v>9</v>
      </c>
      <c r="CC14" s="147" t="s">
        <v>75</v>
      </c>
      <c r="CD14" s="148" t="s">
        <v>9</v>
      </c>
      <c r="CE14" s="147" t="s">
        <v>75</v>
      </c>
      <c r="CF14" s="151" t="s">
        <v>10</v>
      </c>
      <c r="CG14" s="152" t="s">
        <v>75</v>
      </c>
      <c r="CH14" s="148" t="s">
        <v>11</v>
      </c>
      <c r="CI14" s="147" t="s">
        <v>75</v>
      </c>
      <c r="CJ14" s="149" t="s">
        <v>12</v>
      </c>
      <c r="CK14" s="16" t="s">
        <v>7</v>
      </c>
      <c r="CL14" s="16" t="s">
        <v>8</v>
      </c>
      <c r="CM14" s="500" t="s">
        <v>184</v>
      </c>
      <c r="CN14" s="146" t="s">
        <v>74</v>
      </c>
      <c r="CO14" s="147" t="s">
        <v>75</v>
      </c>
      <c r="CP14" s="151" t="s">
        <v>76</v>
      </c>
      <c r="CQ14" s="152" t="s">
        <v>75</v>
      </c>
      <c r="CR14" s="149" t="s">
        <v>76</v>
      </c>
      <c r="CS14" s="150" t="s">
        <v>75</v>
      </c>
      <c r="CT14" s="148" t="s">
        <v>9</v>
      </c>
      <c r="CU14" s="147" t="s">
        <v>75</v>
      </c>
      <c r="CV14" s="148" t="s">
        <v>9</v>
      </c>
      <c r="CW14" s="147" t="s">
        <v>75</v>
      </c>
      <c r="CX14" s="151" t="s">
        <v>10</v>
      </c>
      <c r="CY14" s="152" t="s">
        <v>75</v>
      </c>
      <c r="CZ14" s="148" t="s">
        <v>11</v>
      </c>
      <c r="DA14" s="147" t="s">
        <v>75</v>
      </c>
      <c r="DB14" s="149" t="s">
        <v>12</v>
      </c>
      <c r="DC14" s="15" t="s">
        <v>7</v>
      </c>
      <c r="DD14" s="502" t="s">
        <v>8</v>
      </c>
      <c r="DE14" s="503" t="s">
        <v>184</v>
      </c>
      <c r="DF14" s="146" t="s">
        <v>74</v>
      </c>
      <c r="DG14" s="147" t="s">
        <v>75</v>
      </c>
      <c r="DH14" s="151" t="s">
        <v>76</v>
      </c>
      <c r="DI14" s="152" t="s">
        <v>75</v>
      </c>
      <c r="DJ14" s="149" t="s">
        <v>76</v>
      </c>
      <c r="DK14" s="150" t="s">
        <v>75</v>
      </c>
      <c r="DL14" s="148" t="s">
        <v>9</v>
      </c>
      <c r="DM14" s="147" t="s">
        <v>75</v>
      </c>
      <c r="DN14" s="148" t="s">
        <v>9</v>
      </c>
      <c r="DO14" s="147" t="s">
        <v>75</v>
      </c>
      <c r="DP14" s="151" t="s">
        <v>10</v>
      </c>
      <c r="DQ14" s="152" t="s">
        <v>75</v>
      </c>
      <c r="DR14" s="148" t="s">
        <v>11</v>
      </c>
      <c r="DS14" s="147" t="s">
        <v>75</v>
      </c>
      <c r="DT14" s="149" t="s">
        <v>12</v>
      </c>
      <c r="DU14" s="16" t="s">
        <v>7</v>
      </c>
      <c r="DV14" s="504" t="s">
        <v>8</v>
      </c>
      <c r="DW14" s="503" t="s">
        <v>184</v>
      </c>
      <c r="DX14" s="146" t="s">
        <v>74</v>
      </c>
      <c r="DY14" s="147" t="s">
        <v>75</v>
      </c>
      <c r="DZ14" s="151" t="s">
        <v>76</v>
      </c>
      <c r="EA14" s="152" t="s">
        <v>75</v>
      </c>
      <c r="EB14" s="149" t="s">
        <v>76</v>
      </c>
      <c r="EC14" s="150" t="s">
        <v>75</v>
      </c>
      <c r="ED14" s="148" t="s">
        <v>9</v>
      </c>
      <c r="EE14" s="147" t="s">
        <v>75</v>
      </c>
      <c r="EF14" s="148" t="s">
        <v>9</v>
      </c>
      <c r="EG14" s="147" t="s">
        <v>75</v>
      </c>
      <c r="EH14" s="151" t="s">
        <v>10</v>
      </c>
      <c r="EI14" s="152" t="s">
        <v>75</v>
      </c>
      <c r="EJ14" s="148" t="s">
        <v>11</v>
      </c>
      <c r="EK14" s="147" t="s">
        <v>75</v>
      </c>
      <c r="EL14" s="149" t="s">
        <v>12</v>
      </c>
      <c r="EM14" s="15" t="s">
        <v>7</v>
      </c>
      <c r="EN14" s="16" t="s">
        <v>8</v>
      </c>
      <c r="EO14" s="16"/>
      <c r="EP14" s="146" t="s">
        <v>74</v>
      </c>
      <c r="EQ14" s="147" t="s">
        <v>75</v>
      </c>
      <c r="ER14" s="151" t="s">
        <v>76</v>
      </c>
      <c r="ES14" s="152" t="s">
        <v>75</v>
      </c>
      <c r="ET14" s="149" t="s">
        <v>76</v>
      </c>
      <c r="EU14" s="150" t="s">
        <v>75</v>
      </c>
      <c r="EV14" s="148" t="s">
        <v>9</v>
      </c>
      <c r="EW14" s="147" t="s">
        <v>75</v>
      </c>
      <c r="EX14" s="148" t="s">
        <v>9</v>
      </c>
      <c r="EY14" s="147" t="s">
        <v>75</v>
      </c>
      <c r="EZ14" s="151" t="s">
        <v>10</v>
      </c>
      <c r="FA14" s="152" t="s">
        <v>75</v>
      </c>
      <c r="FB14" s="148" t="s">
        <v>11</v>
      </c>
      <c r="FC14" s="147" t="s">
        <v>75</v>
      </c>
      <c r="FD14" s="149" t="s">
        <v>12</v>
      </c>
      <c r="FE14" s="15" t="s">
        <v>7</v>
      </c>
      <c r="FF14" s="505" t="s">
        <v>8</v>
      </c>
      <c r="FG14" s="500" t="s">
        <v>184</v>
      </c>
      <c r="FH14" s="146" t="s">
        <v>74</v>
      </c>
      <c r="FI14" s="147" t="s">
        <v>75</v>
      </c>
      <c r="FJ14" s="151" t="s">
        <v>76</v>
      </c>
      <c r="FK14" s="152" t="s">
        <v>75</v>
      </c>
      <c r="FL14" s="149" t="s">
        <v>76</v>
      </c>
      <c r="FM14" s="150" t="s">
        <v>75</v>
      </c>
      <c r="FN14" s="148" t="s">
        <v>9</v>
      </c>
      <c r="FO14" s="147" t="s">
        <v>75</v>
      </c>
      <c r="FP14" s="148" t="s">
        <v>9</v>
      </c>
      <c r="FQ14" s="147" t="s">
        <v>75</v>
      </c>
      <c r="FR14" s="151" t="s">
        <v>10</v>
      </c>
      <c r="FS14" s="152" t="s">
        <v>75</v>
      </c>
      <c r="FT14" s="148" t="s">
        <v>11</v>
      </c>
      <c r="FU14" s="147" t="s">
        <v>75</v>
      </c>
      <c r="FV14" s="149" t="s">
        <v>12</v>
      </c>
      <c r="FW14" s="16" t="s">
        <v>7</v>
      </c>
      <c r="FX14" s="16" t="s">
        <v>8</v>
      </c>
      <c r="FY14" s="503" t="s">
        <v>184</v>
      </c>
      <c r="FZ14" s="146" t="s">
        <v>74</v>
      </c>
      <c r="GA14" s="147" t="s">
        <v>75</v>
      </c>
      <c r="GB14" s="151" t="s">
        <v>76</v>
      </c>
      <c r="GC14" s="152" t="s">
        <v>75</v>
      </c>
      <c r="GD14" s="149" t="s">
        <v>76</v>
      </c>
      <c r="GE14" s="150" t="s">
        <v>75</v>
      </c>
      <c r="GF14" s="148" t="s">
        <v>9</v>
      </c>
      <c r="GG14" s="147" t="s">
        <v>75</v>
      </c>
      <c r="GH14" s="148" t="s">
        <v>9</v>
      </c>
      <c r="GI14" s="147" t="s">
        <v>75</v>
      </c>
      <c r="GJ14" s="151" t="s">
        <v>10</v>
      </c>
      <c r="GK14" s="152" t="s">
        <v>75</v>
      </c>
      <c r="GL14" s="148" t="s">
        <v>11</v>
      </c>
      <c r="GM14" s="147" t="s">
        <v>75</v>
      </c>
      <c r="GN14" s="149" t="s">
        <v>12</v>
      </c>
      <c r="GO14" s="16" t="s">
        <v>7</v>
      </c>
      <c r="GP14" s="506" t="s">
        <v>8</v>
      </c>
      <c r="GQ14" s="503" t="s">
        <v>184</v>
      </c>
      <c r="GR14" s="146" t="s">
        <v>74</v>
      </c>
      <c r="GS14" s="147" t="s">
        <v>75</v>
      </c>
      <c r="GT14" s="151" t="s">
        <v>76</v>
      </c>
      <c r="GU14" s="152" t="s">
        <v>75</v>
      </c>
      <c r="GV14" s="149" t="s">
        <v>76</v>
      </c>
      <c r="GW14" s="150" t="s">
        <v>75</v>
      </c>
      <c r="GX14" s="148" t="s">
        <v>9</v>
      </c>
      <c r="GY14" s="147" t="s">
        <v>75</v>
      </c>
      <c r="GZ14" s="148" t="s">
        <v>9</v>
      </c>
      <c r="HA14" s="147" t="s">
        <v>75</v>
      </c>
      <c r="HB14" s="151" t="s">
        <v>10</v>
      </c>
      <c r="HC14" s="152" t="s">
        <v>75</v>
      </c>
      <c r="HD14" s="148" t="s">
        <v>11</v>
      </c>
      <c r="HE14" s="147" t="s">
        <v>75</v>
      </c>
      <c r="HF14" s="149" t="s">
        <v>12</v>
      </c>
      <c r="HG14" s="499" t="s">
        <v>7</v>
      </c>
      <c r="HH14" s="502" t="s">
        <v>8</v>
      </c>
      <c r="HI14" s="503" t="s">
        <v>184</v>
      </c>
      <c r="HJ14" s="146" t="s">
        <v>74</v>
      </c>
      <c r="HK14" s="147" t="s">
        <v>75</v>
      </c>
      <c r="HL14" s="151" t="s">
        <v>76</v>
      </c>
      <c r="HM14" s="152" t="s">
        <v>75</v>
      </c>
      <c r="HN14" s="149" t="s">
        <v>76</v>
      </c>
      <c r="HO14" s="150" t="s">
        <v>75</v>
      </c>
      <c r="HP14" s="148" t="s">
        <v>9</v>
      </c>
      <c r="HQ14" s="147" t="s">
        <v>75</v>
      </c>
      <c r="HR14" s="148" t="s">
        <v>9</v>
      </c>
      <c r="HS14" s="147" t="s">
        <v>75</v>
      </c>
      <c r="HT14" s="151" t="s">
        <v>10</v>
      </c>
      <c r="HU14" s="152" t="s">
        <v>75</v>
      </c>
      <c r="HV14" s="148" t="s">
        <v>11</v>
      </c>
      <c r="HW14" s="147" t="s">
        <v>75</v>
      </c>
      <c r="HX14" s="149" t="s">
        <v>12</v>
      </c>
      <c r="HY14" s="16" t="s">
        <v>7</v>
      </c>
      <c r="HZ14" s="16" t="s">
        <v>8</v>
      </c>
      <c r="IA14" s="503" t="s">
        <v>184</v>
      </c>
      <c r="IB14" s="146" t="s">
        <v>74</v>
      </c>
      <c r="IC14" s="147" t="s">
        <v>75</v>
      </c>
      <c r="ID14" s="151" t="s">
        <v>76</v>
      </c>
      <c r="IE14" s="152" t="s">
        <v>75</v>
      </c>
      <c r="IF14" s="149" t="s">
        <v>76</v>
      </c>
      <c r="IG14" s="150" t="s">
        <v>75</v>
      </c>
      <c r="IH14" s="148" t="s">
        <v>9</v>
      </c>
      <c r="II14" s="147" t="s">
        <v>75</v>
      </c>
      <c r="IJ14" s="148" t="s">
        <v>9</v>
      </c>
      <c r="IK14" s="147" t="s">
        <v>75</v>
      </c>
      <c r="IL14" s="151" t="s">
        <v>10</v>
      </c>
      <c r="IM14" s="152" t="s">
        <v>75</v>
      </c>
      <c r="IN14" s="148" t="s">
        <v>11</v>
      </c>
      <c r="IO14" s="147" t="s">
        <v>75</v>
      </c>
      <c r="IP14" s="149" t="s">
        <v>12</v>
      </c>
      <c r="IQ14" s="15" t="s">
        <v>7</v>
      </c>
      <c r="IR14" s="16" t="s">
        <v>8</v>
      </c>
      <c r="IS14" s="503" t="s">
        <v>184</v>
      </c>
      <c r="IT14" s="146" t="s">
        <v>74</v>
      </c>
      <c r="IU14" s="147" t="s">
        <v>75</v>
      </c>
      <c r="IV14" s="151" t="s">
        <v>76</v>
      </c>
      <c r="IW14" s="152" t="s">
        <v>75</v>
      </c>
      <c r="IX14" s="149" t="s">
        <v>76</v>
      </c>
      <c r="IY14" s="150" t="s">
        <v>75</v>
      </c>
      <c r="IZ14" s="148" t="s">
        <v>9</v>
      </c>
      <c r="JA14" s="147" t="s">
        <v>75</v>
      </c>
      <c r="JB14" s="148" t="s">
        <v>9</v>
      </c>
      <c r="JC14" s="147" t="s">
        <v>75</v>
      </c>
      <c r="JD14" s="151" t="s">
        <v>10</v>
      </c>
      <c r="JE14" s="152" t="s">
        <v>75</v>
      </c>
      <c r="JF14" s="148" t="s">
        <v>11</v>
      </c>
      <c r="JG14" s="147" t="s">
        <v>75</v>
      </c>
      <c r="JH14" s="149" t="s">
        <v>12</v>
      </c>
      <c r="JI14" s="15" t="s">
        <v>7</v>
      </c>
      <c r="JJ14" s="507" t="s">
        <v>8</v>
      </c>
      <c r="JK14" s="503" t="s">
        <v>184</v>
      </c>
      <c r="JL14" s="146" t="s">
        <v>74</v>
      </c>
      <c r="JM14" s="147" t="s">
        <v>75</v>
      </c>
      <c r="JN14" s="151" t="s">
        <v>76</v>
      </c>
      <c r="JO14" s="152" t="s">
        <v>75</v>
      </c>
      <c r="JP14" s="149" t="s">
        <v>76</v>
      </c>
      <c r="JQ14" s="150" t="s">
        <v>75</v>
      </c>
      <c r="JR14" s="148" t="s">
        <v>9</v>
      </c>
      <c r="JS14" s="147" t="s">
        <v>75</v>
      </c>
      <c r="JT14" s="148" t="s">
        <v>9</v>
      </c>
      <c r="JU14" s="147" t="s">
        <v>75</v>
      </c>
      <c r="JV14" s="151" t="s">
        <v>10</v>
      </c>
      <c r="JW14" s="152" t="s">
        <v>75</v>
      </c>
      <c r="JX14" s="148" t="s">
        <v>11</v>
      </c>
      <c r="JY14" s="147" t="s">
        <v>75</v>
      </c>
      <c r="JZ14" s="149" t="s">
        <v>12</v>
      </c>
      <c r="KA14" s="15" t="s">
        <v>7</v>
      </c>
      <c r="KB14" s="16" t="s">
        <v>8</v>
      </c>
      <c r="KC14" s="503" t="s">
        <v>184</v>
      </c>
      <c r="KD14" s="146" t="s">
        <v>74</v>
      </c>
      <c r="KE14" s="147" t="s">
        <v>75</v>
      </c>
      <c r="KF14" s="151" t="s">
        <v>76</v>
      </c>
      <c r="KG14" s="152" t="s">
        <v>75</v>
      </c>
      <c r="KH14" s="149" t="s">
        <v>76</v>
      </c>
      <c r="KI14" s="150" t="s">
        <v>75</v>
      </c>
      <c r="KJ14" s="148" t="s">
        <v>9</v>
      </c>
      <c r="KK14" s="147" t="s">
        <v>75</v>
      </c>
      <c r="KL14" s="148" t="s">
        <v>9</v>
      </c>
      <c r="KM14" s="147" t="s">
        <v>75</v>
      </c>
      <c r="KN14" s="151" t="s">
        <v>10</v>
      </c>
      <c r="KO14" s="152" t="s">
        <v>75</v>
      </c>
      <c r="KP14" s="148" t="s">
        <v>11</v>
      </c>
      <c r="KQ14" s="147" t="s">
        <v>75</v>
      </c>
      <c r="KR14" s="149" t="s">
        <v>12</v>
      </c>
      <c r="KS14" s="16" t="s">
        <v>7</v>
      </c>
      <c r="KT14" s="506" t="s">
        <v>8</v>
      </c>
      <c r="KU14" s="503" t="s">
        <v>184</v>
      </c>
      <c r="KV14" s="146" t="s">
        <v>74</v>
      </c>
      <c r="KW14" s="147" t="s">
        <v>75</v>
      </c>
      <c r="KX14" s="151" t="s">
        <v>76</v>
      </c>
      <c r="KY14" s="152" t="s">
        <v>75</v>
      </c>
      <c r="KZ14" s="149" t="s">
        <v>76</v>
      </c>
      <c r="LA14" s="150" t="s">
        <v>75</v>
      </c>
      <c r="LB14" s="148" t="s">
        <v>9</v>
      </c>
      <c r="LC14" s="147" t="s">
        <v>75</v>
      </c>
      <c r="LD14" s="148" t="s">
        <v>9</v>
      </c>
      <c r="LE14" s="147" t="s">
        <v>75</v>
      </c>
      <c r="LF14" s="151" t="s">
        <v>10</v>
      </c>
      <c r="LG14" s="152" t="s">
        <v>75</v>
      </c>
      <c r="LH14" s="148" t="s">
        <v>11</v>
      </c>
      <c r="LI14" s="147" t="s">
        <v>75</v>
      </c>
      <c r="LJ14" s="149" t="s">
        <v>12</v>
      </c>
      <c r="LK14" s="499" t="s">
        <v>7</v>
      </c>
      <c r="LL14" s="16" t="s">
        <v>8</v>
      </c>
      <c r="LM14" s="506"/>
      <c r="LN14" s="146" t="s">
        <v>74</v>
      </c>
      <c r="LO14" s="147" t="s">
        <v>75</v>
      </c>
      <c r="LP14" s="151" t="s">
        <v>76</v>
      </c>
      <c r="LQ14" s="152" t="s">
        <v>75</v>
      </c>
      <c r="LR14" s="149" t="s">
        <v>76</v>
      </c>
      <c r="LS14" s="150" t="s">
        <v>75</v>
      </c>
      <c r="LT14" s="148" t="s">
        <v>9</v>
      </c>
      <c r="LU14" s="147" t="s">
        <v>75</v>
      </c>
      <c r="LV14" s="148" t="s">
        <v>9</v>
      </c>
      <c r="LW14" s="147" t="s">
        <v>75</v>
      </c>
      <c r="LX14" s="151" t="s">
        <v>10</v>
      </c>
      <c r="LY14" s="152" t="s">
        <v>75</v>
      </c>
      <c r="LZ14" s="148" t="s">
        <v>11</v>
      </c>
      <c r="MA14" s="147" t="s">
        <v>75</v>
      </c>
      <c r="MB14" s="149" t="s">
        <v>12</v>
      </c>
      <c r="MC14" s="499" t="s">
        <v>7</v>
      </c>
      <c r="MD14" s="16" t="s">
        <v>8</v>
      </c>
      <c r="ME14" s="17"/>
      <c r="MF14" s="146" t="s">
        <v>74</v>
      </c>
      <c r="MG14" s="147" t="s">
        <v>75</v>
      </c>
      <c r="MH14" s="151" t="s">
        <v>76</v>
      </c>
      <c r="MI14" s="152" t="s">
        <v>75</v>
      </c>
      <c r="MJ14" s="149" t="s">
        <v>76</v>
      </c>
      <c r="MK14" s="150" t="s">
        <v>75</v>
      </c>
      <c r="ML14" s="148" t="s">
        <v>9</v>
      </c>
      <c r="MM14" s="147" t="s">
        <v>75</v>
      </c>
      <c r="MN14" s="148" t="s">
        <v>9</v>
      </c>
      <c r="MO14" s="147" t="s">
        <v>75</v>
      </c>
      <c r="MP14" s="151" t="s">
        <v>10</v>
      </c>
      <c r="MQ14" s="152" t="s">
        <v>75</v>
      </c>
      <c r="MR14" s="148" t="s">
        <v>11</v>
      </c>
      <c r="MS14" s="147" t="s">
        <v>75</v>
      </c>
      <c r="MT14" s="149" t="s">
        <v>12</v>
      </c>
      <c r="MU14" s="499" t="s">
        <v>7</v>
      </c>
      <c r="MV14" s="16" t="s">
        <v>8</v>
      </c>
      <c r="MW14" s="17"/>
      <c r="MX14" s="146" t="s">
        <v>74</v>
      </c>
      <c r="MY14" s="147" t="s">
        <v>75</v>
      </c>
      <c r="MZ14" s="151" t="s">
        <v>76</v>
      </c>
      <c r="NA14" s="152" t="s">
        <v>75</v>
      </c>
      <c r="NB14" s="149" t="s">
        <v>76</v>
      </c>
      <c r="NC14" s="150" t="s">
        <v>75</v>
      </c>
      <c r="ND14" s="148" t="s">
        <v>9</v>
      </c>
      <c r="NE14" s="147" t="s">
        <v>75</v>
      </c>
      <c r="NF14" s="148" t="s">
        <v>9</v>
      </c>
      <c r="NG14" s="147" t="s">
        <v>75</v>
      </c>
      <c r="NH14" s="151" t="s">
        <v>10</v>
      </c>
      <c r="NI14" s="152" t="s">
        <v>75</v>
      </c>
      <c r="NJ14" s="148" t="s">
        <v>11</v>
      </c>
      <c r="NK14" s="147" t="s">
        <v>75</v>
      </c>
      <c r="NL14" s="149" t="s">
        <v>12</v>
      </c>
      <c r="NM14" s="15" t="s">
        <v>7</v>
      </c>
      <c r="NN14" s="502" t="s">
        <v>8</v>
      </c>
      <c r="NO14" s="503" t="s">
        <v>184</v>
      </c>
      <c r="NP14" s="146" t="s">
        <v>74</v>
      </c>
      <c r="NQ14" s="147" t="s">
        <v>75</v>
      </c>
      <c r="NR14" s="151" t="s">
        <v>76</v>
      </c>
      <c r="NS14" s="152" t="s">
        <v>75</v>
      </c>
      <c r="NT14" s="149" t="s">
        <v>76</v>
      </c>
      <c r="NU14" s="150" t="s">
        <v>75</v>
      </c>
      <c r="NV14" s="148" t="s">
        <v>9</v>
      </c>
      <c r="NW14" s="147" t="s">
        <v>75</v>
      </c>
      <c r="NX14" s="148" t="s">
        <v>9</v>
      </c>
      <c r="NY14" s="147" t="s">
        <v>75</v>
      </c>
      <c r="NZ14" s="151" t="s">
        <v>10</v>
      </c>
      <c r="OA14" s="152" t="s">
        <v>75</v>
      </c>
      <c r="OB14" s="148" t="s">
        <v>11</v>
      </c>
      <c r="OC14" s="147" t="s">
        <v>75</v>
      </c>
      <c r="OD14" s="149" t="s">
        <v>12</v>
      </c>
      <c r="OE14" s="15" t="s">
        <v>7</v>
      </c>
      <c r="OF14" s="502" t="s">
        <v>8</v>
      </c>
      <c r="OG14" s="503" t="s">
        <v>184</v>
      </c>
      <c r="OH14" s="146" t="s">
        <v>74</v>
      </c>
      <c r="OI14" s="147" t="s">
        <v>75</v>
      </c>
      <c r="OJ14" s="151" t="s">
        <v>76</v>
      </c>
      <c r="OK14" s="152" t="s">
        <v>75</v>
      </c>
      <c r="OL14" s="149" t="s">
        <v>76</v>
      </c>
      <c r="OM14" s="150" t="s">
        <v>75</v>
      </c>
      <c r="ON14" s="148" t="s">
        <v>9</v>
      </c>
      <c r="OO14" s="147" t="s">
        <v>75</v>
      </c>
      <c r="OP14" s="148" t="s">
        <v>9</v>
      </c>
      <c r="OQ14" s="147" t="s">
        <v>75</v>
      </c>
      <c r="OR14" s="151" t="s">
        <v>10</v>
      </c>
      <c r="OS14" s="152" t="s">
        <v>75</v>
      </c>
      <c r="OT14" s="148" t="s">
        <v>11</v>
      </c>
      <c r="OU14" s="147" t="s">
        <v>75</v>
      </c>
      <c r="OV14" s="149" t="s">
        <v>12</v>
      </c>
      <c r="OW14" s="15" t="s">
        <v>7</v>
      </c>
      <c r="OX14" s="502" t="s">
        <v>8</v>
      </c>
      <c r="OY14" s="503" t="s">
        <v>184</v>
      </c>
      <c r="OZ14" s="146" t="s">
        <v>74</v>
      </c>
      <c r="PA14" s="147" t="s">
        <v>75</v>
      </c>
      <c r="PB14" s="151" t="s">
        <v>76</v>
      </c>
      <c r="PC14" s="152" t="s">
        <v>75</v>
      </c>
      <c r="PD14" s="149" t="s">
        <v>76</v>
      </c>
      <c r="PE14" s="150" t="s">
        <v>75</v>
      </c>
      <c r="PF14" s="148" t="s">
        <v>9</v>
      </c>
      <c r="PG14" s="147" t="s">
        <v>75</v>
      </c>
      <c r="PH14" s="148" t="s">
        <v>9</v>
      </c>
      <c r="PI14" s="147" t="s">
        <v>75</v>
      </c>
      <c r="PJ14" s="151" t="s">
        <v>10</v>
      </c>
      <c r="PK14" s="152" t="s">
        <v>75</v>
      </c>
      <c r="PL14" s="148" t="s">
        <v>11</v>
      </c>
      <c r="PM14" s="147" t="s">
        <v>75</v>
      </c>
      <c r="PN14" s="149" t="s">
        <v>12</v>
      </c>
      <c r="PO14" s="7"/>
      <c r="PP14" s="7"/>
      <c r="PQ14" s="7"/>
      <c r="PR14" s="7"/>
      <c r="PS14" s="499" t="s">
        <v>7</v>
      </c>
      <c r="PT14" s="15" t="s">
        <v>8</v>
      </c>
      <c r="PU14" s="16"/>
      <c r="PV14" s="146" t="s">
        <v>74</v>
      </c>
      <c r="PW14" s="147" t="s">
        <v>75</v>
      </c>
      <c r="PX14" s="151" t="s">
        <v>76</v>
      </c>
      <c r="PY14" s="152" t="s">
        <v>75</v>
      </c>
      <c r="PZ14" s="149" t="s">
        <v>76</v>
      </c>
      <c r="QA14" s="150" t="s">
        <v>75</v>
      </c>
      <c r="QB14" s="148" t="s">
        <v>9</v>
      </c>
      <c r="QC14" s="147" t="s">
        <v>75</v>
      </c>
      <c r="QD14" s="148" t="s">
        <v>9</v>
      </c>
      <c r="QE14" s="147" t="s">
        <v>75</v>
      </c>
      <c r="QF14" s="151" t="s">
        <v>10</v>
      </c>
      <c r="QG14" s="152" t="s">
        <v>75</v>
      </c>
      <c r="QH14" s="148" t="s">
        <v>11</v>
      </c>
      <c r="QI14" s="147" t="s">
        <v>75</v>
      </c>
      <c r="QJ14" s="149" t="s">
        <v>12</v>
      </c>
      <c r="QK14" s="15" t="s">
        <v>7</v>
      </c>
      <c r="QL14" s="502" t="s">
        <v>8</v>
      </c>
      <c r="QM14" s="503" t="s">
        <v>184</v>
      </c>
      <c r="QN14" s="146" t="s">
        <v>74</v>
      </c>
      <c r="QO14" s="147" t="s">
        <v>75</v>
      </c>
      <c r="QP14" s="151" t="s">
        <v>76</v>
      </c>
      <c r="QQ14" s="152" t="s">
        <v>75</v>
      </c>
      <c r="QR14" s="149" t="s">
        <v>76</v>
      </c>
      <c r="QS14" s="150" t="s">
        <v>75</v>
      </c>
      <c r="QT14" s="148" t="s">
        <v>9</v>
      </c>
      <c r="QU14" s="147" t="s">
        <v>75</v>
      </c>
      <c r="QV14" s="148" t="s">
        <v>9</v>
      </c>
      <c r="QW14" s="147" t="s">
        <v>75</v>
      </c>
      <c r="QX14" s="151" t="s">
        <v>10</v>
      </c>
      <c r="QY14" s="152" t="s">
        <v>75</v>
      </c>
      <c r="QZ14" s="148" t="s">
        <v>11</v>
      </c>
      <c r="RA14" s="147" t="s">
        <v>75</v>
      </c>
      <c r="RB14" s="149" t="s">
        <v>12</v>
      </c>
      <c r="RC14" s="15" t="s">
        <v>7</v>
      </c>
      <c r="RD14" s="502" t="s">
        <v>8</v>
      </c>
      <c r="RE14" s="503" t="s">
        <v>184</v>
      </c>
      <c r="RF14" s="146" t="s">
        <v>74</v>
      </c>
      <c r="RG14" s="147" t="s">
        <v>75</v>
      </c>
      <c r="RH14" s="151" t="s">
        <v>76</v>
      </c>
      <c r="RI14" s="152" t="s">
        <v>75</v>
      </c>
      <c r="RJ14" s="149" t="s">
        <v>76</v>
      </c>
      <c r="RK14" s="150" t="s">
        <v>75</v>
      </c>
      <c r="RL14" s="148" t="s">
        <v>9</v>
      </c>
      <c r="RM14" s="147" t="s">
        <v>75</v>
      </c>
      <c r="RN14" s="148" t="s">
        <v>9</v>
      </c>
      <c r="RO14" s="147" t="s">
        <v>75</v>
      </c>
      <c r="RP14" s="151" t="s">
        <v>10</v>
      </c>
      <c r="RQ14" s="152" t="s">
        <v>75</v>
      </c>
      <c r="RR14" s="148" t="s">
        <v>11</v>
      </c>
      <c r="RS14" s="147" t="s">
        <v>75</v>
      </c>
      <c r="RT14" s="149" t="s">
        <v>12</v>
      </c>
      <c r="RU14" s="15" t="s">
        <v>7</v>
      </c>
      <c r="RV14" s="502" t="s">
        <v>8</v>
      </c>
      <c r="RW14" s="503" t="s">
        <v>184</v>
      </c>
      <c r="RX14" s="146" t="s">
        <v>74</v>
      </c>
      <c r="RY14" s="147" t="s">
        <v>75</v>
      </c>
      <c r="RZ14" s="151" t="s">
        <v>76</v>
      </c>
      <c r="SA14" s="152" t="s">
        <v>75</v>
      </c>
      <c r="SB14" s="149" t="s">
        <v>76</v>
      </c>
      <c r="SC14" s="150" t="s">
        <v>75</v>
      </c>
      <c r="SD14" s="148" t="s">
        <v>9</v>
      </c>
      <c r="SE14" s="147" t="s">
        <v>75</v>
      </c>
      <c r="SF14" s="148" t="s">
        <v>9</v>
      </c>
      <c r="SG14" s="147" t="s">
        <v>75</v>
      </c>
      <c r="SH14" s="151" t="s">
        <v>10</v>
      </c>
      <c r="SI14" s="152" t="s">
        <v>75</v>
      </c>
      <c r="SJ14" s="148" t="s">
        <v>11</v>
      </c>
      <c r="SK14" s="147" t="s">
        <v>75</v>
      </c>
      <c r="SL14" s="149" t="s">
        <v>12</v>
      </c>
      <c r="SM14" s="15" t="s">
        <v>7</v>
      </c>
      <c r="SN14" s="502" t="s">
        <v>8</v>
      </c>
      <c r="SO14" s="503" t="s">
        <v>184</v>
      </c>
      <c r="SP14" s="146" t="s">
        <v>74</v>
      </c>
      <c r="SQ14" s="147" t="s">
        <v>75</v>
      </c>
      <c r="SR14" s="151" t="s">
        <v>76</v>
      </c>
      <c r="SS14" s="152" t="s">
        <v>75</v>
      </c>
      <c r="ST14" s="149" t="s">
        <v>76</v>
      </c>
      <c r="SU14" s="150" t="s">
        <v>75</v>
      </c>
      <c r="SV14" s="148" t="s">
        <v>9</v>
      </c>
      <c r="SW14" s="147" t="s">
        <v>75</v>
      </c>
      <c r="SX14" s="148" t="s">
        <v>9</v>
      </c>
      <c r="SY14" s="147" t="s">
        <v>75</v>
      </c>
      <c r="SZ14" s="151" t="s">
        <v>10</v>
      </c>
      <c r="TA14" s="152" t="s">
        <v>75</v>
      </c>
      <c r="TB14" s="148" t="s">
        <v>11</v>
      </c>
      <c r="TC14" s="147" t="s">
        <v>75</v>
      </c>
      <c r="TD14" s="149" t="s">
        <v>12</v>
      </c>
      <c r="TF14" s="15" t="s">
        <v>7</v>
      </c>
      <c r="TG14" s="508" t="s">
        <v>8</v>
      </c>
      <c r="TH14" s="509" t="s">
        <v>184</v>
      </c>
      <c r="TI14" s="146" t="s">
        <v>74</v>
      </c>
      <c r="TJ14" s="147" t="s">
        <v>75</v>
      </c>
      <c r="TK14" s="151" t="s">
        <v>76</v>
      </c>
      <c r="TL14" s="152" t="s">
        <v>75</v>
      </c>
      <c r="TM14" s="149" t="s">
        <v>76</v>
      </c>
      <c r="TN14" s="150" t="s">
        <v>75</v>
      </c>
      <c r="TO14" s="148" t="s">
        <v>9</v>
      </c>
      <c r="TP14" s="147" t="s">
        <v>75</v>
      </c>
      <c r="TQ14" s="148" t="s">
        <v>9</v>
      </c>
      <c r="TR14" s="147" t="s">
        <v>75</v>
      </c>
      <c r="TS14" s="151" t="s">
        <v>10</v>
      </c>
      <c r="TU14" s="15" t="s">
        <v>7</v>
      </c>
      <c r="TV14" s="508" t="s">
        <v>8</v>
      </c>
      <c r="TW14" s="509" t="s">
        <v>184</v>
      </c>
      <c r="TX14" s="132" t="s">
        <v>74</v>
      </c>
      <c r="TY14" s="135" t="s">
        <v>75</v>
      </c>
      <c r="TZ14" s="138" t="s">
        <v>76</v>
      </c>
      <c r="UA14" s="139" t="s">
        <v>75</v>
      </c>
      <c r="UB14" s="136" t="s">
        <v>76</v>
      </c>
      <c r="UC14" s="137" t="s">
        <v>75</v>
      </c>
      <c r="UD14" s="134" t="s">
        <v>9</v>
      </c>
      <c r="UE14" s="135" t="s">
        <v>75</v>
      </c>
      <c r="UF14" s="134" t="s">
        <v>9</v>
      </c>
      <c r="UG14" s="135" t="s">
        <v>75</v>
      </c>
      <c r="UH14" s="138" t="s">
        <v>10</v>
      </c>
      <c r="UJ14" s="15" t="s">
        <v>7</v>
      </c>
      <c r="UK14" s="508" t="s">
        <v>8</v>
      </c>
      <c r="UL14" s="509" t="s">
        <v>184</v>
      </c>
      <c r="UM14" s="132" t="s">
        <v>74</v>
      </c>
      <c r="UN14" s="135" t="s">
        <v>75</v>
      </c>
      <c r="UO14" s="138" t="s">
        <v>76</v>
      </c>
      <c r="UP14" s="139" t="s">
        <v>75</v>
      </c>
      <c r="UQ14" s="136" t="s">
        <v>76</v>
      </c>
      <c r="UR14" s="137" t="s">
        <v>75</v>
      </c>
      <c r="US14" s="134" t="s">
        <v>9</v>
      </c>
      <c r="UT14" s="135" t="s">
        <v>75</v>
      </c>
      <c r="UU14" s="134" t="s">
        <v>9</v>
      </c>
      <c r="UV14" s="135" t="s">
        <v>75</v>
      </c>
      <c r="UW14" s="138" t="s">
        <v>10</v>
      </c>
      <c r="UY14" s="15" t="s">
        <v>7</v>
      </c>
      <c r="UZ14" s="508" t="s">
        <v>8</v>
      </c>
      <c r="VA14" s="509" t="s">
        <v>184</v>
      </c>
      <c r="VB14" s="132" t="s">
        <v>74</v>
      </c>
      <c r="VC14" s="135" t="s">
        <v>75</v>
      </c>
      <c r="VD14" s="138" t="s">
        <v>76</v>
      </c>
      <c r="VE14" s="139" t="s">
        <v>75</v>
      </c>
      <c r="VF14" s="136" t="s">
        <v>76</v>
      </c>
      <c r="VG14" s="137" t="s">
        <v>75</v>
      </c>
      <c r="VH14" s="134" t="s">
        <v>9</v>
      </c>
      <c r="VI14" s="135" t="s">
        <v>75</v>
      </c>
      <c r="VJ14" s="134" t="s">
        <v>9</v>
      </c>
      <c r="VK14" s="135" t="s">
        <v>75</v>
      </c>
      <c r="VL14" s="138" t="s">
        <v>10</v>
      </c>
      <c r="VN14" s="15" t="s">
        <v>7</v>
      </c>
      <c r="VO14" s="508" t="s">
        <v>8</v>
      </c>
      <c r="VP14" s="509" t="s">
        <v>184</v>
      </c>
      <c r="VQ14" s="132" t="s">
        <v>74</v>
      </c>
      <c r="VR14" s="135" t="s">
        <v>75</v>
      </c>
      <c r="VS14" s="138" t="s">
        <v>76</v>
      </c>
      <c r="VT14" s="139" t="s">
        <v>75</v>
      </c>
      <c r="VU14" s="136" t="s">
        <v>76</v>
      </c>
      <c r="VV14" s="137" t="s">
        <v>75</v>
      </c>
      <c r="VW14" s="134" t="s">
        <v>9</v>
      </c>
      <c r="VX14" s="135" t="s">
        <v>75</v>
      </c>
      <c r="VY14" s="134" t="s">
        <v>9</v>
      </c>
      <c r="VZ14" s="135" t="s">
        <v>75</v>
      </c>
      <c r="WA14" s="138" t="s">
        <v>10</v>
      </c>
      <c r="WC14" s="15" t="s">
        <v>7</v>
      </c>
      <c r="WD14" s="508" t="s">
        <v>8</v>
      </c>
      <c r="WE14" s="509" t="s">
        <v>184</v>
      </c>
      <c r="WF14" s="132" t="s">
        <v>74</v>
      </c>
      <c r="WG14" s="135" t="s">
        <v>75</v>
      </c>
      <c r="WH14" s="138" t="s">
        <v>76</v>
      </c>
      <c r="WI14" s="139" t="s">
        <v>75</v>
      </c>
      <c r="WJ14" s="136" t="s">
        <v>76</v>
      </c>
      <c r="WK14" s="137" t="s">
        <v>75</v>
      </c>
      <c r="WL14" s="134" t="s">
        <v>9</v>
      </c>
      <c r="WM14" s="135" t="s">
        <v>75</v>
      </c>
      <c r="WN14" s="134" t="s">
        <v>9</v>
      </c>
      <c r="WO14" s="135" t="s">
        <v>75</v>
      </c>
      <c r="WP14" s="138" t="s">
        <v>10</v>
      </c>
    </row>
    <row r="15" spans="1:614" x14ac:dyDescent="0.2">
      <c r="A15" s="22">
        <f>ROW()</f>
        <v>15</v>
      </c>
      <c r="B15" s="510" t="s">
        <v>82</v>
      </c>
      <c r="AK15" s="482"/>
      <c r="BS15" s="511"/>
      <c r="BT15" s="512"/>
      <c r="CK15" s="100"/>
      <c r="CL15" s="100"/>
      <c r="CM15" s="100"/>
      <c r="CN15" s="1"/>
      <c r="CO15" s="1"/>
      <c r="CP15" s="1"/>
      <c r="CQ15" s="1"/>
      <c r="CR15" s="1"/>
      <c r="DC15" s="100"/>
      <c r="DD15" s="100"/>
      <c r="DE15" s="100"/>
      <c r="DF15" s="100"/>
      <c r="DG15" s="100"/>
      <c r="DH15" s="100"/>
      <c r="DI15" s="100"/>
      <c r="DJ15" s="100"/>
      <c r="DU15" s="513"/>
      <c r="DV15" s="513"/>
      <c r="DW15" s="513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23"/>
      <c r="EN15" s="23"/>
      <c r="EO15" s="23"/>
      <c r="EP15" s="23"/>
      <c r="EQ15" s="23"/>
      <c r="ER15" s="1"/>
      <c r="ES15" s="1"/>
      <c r="ET15" s="1"/>
      <c r="FA15" s="1"/>
      <c r="FB15" s="1"/>
      <c r="FC15" s="1"/>
      <c r="FE15" s="514"/>
      <c r="FF15" s="515"/>
      <c r="FG15" s="515"/>
      <c r="FH15" s="1"/>
      <c r="FI15" s="1"/>
      <c r="FJ15" s="1"/>
      <c r="FK15" s="1"/>
      <c r="FL15" s="1"/>
      <c r="FW15" s="100"/>
      <c r="FX15" s="100"/>
      <c r="FY15" s="100"/>
      <c r="GO15" s="480"/>
      <c r="GP15" s="480"/>
      <c r="GQ15" s="480"/>
      <c r="GR15" s="100"/>
      <c r="GS15" s="100"/>
      <c r="GT15" s="100"/>
      <c r="GU15" s="100"/>
      <c r="GV15" s="100"/>
      <c r="HY15" s="516"/>
      <c r="HZ15" s="516"/>
      <c r="IA15" s="23"/>
      <c r="KA15" s="23"/>
      <c r="KB15" s="23"/>
      <c r="KC15" s="23"/>
      <c r="LK15" s="23"/>
      <c r="LL15" s="517" t="s">
        <v>146</v>
      </c>
      <c r="MC15" s="23"/>
      <c r="NM15" s="22">
        <f>ROW()</f>
        <v>15</v>
      </c>
      <c r="OH15" s="518" t="s">
        <v>185</v>
      </c>
      <c r="PO15" s="7"/>
      <c r="PP15" s="7"/>
      <c r="PQ15" s="7"/>
      <c r="PR15" s="7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2">
        <f>ROW()</f>
        <v>15</v>
      </c>
      <c r="QP15" s="519"/>
      <c r="QQ15" s="519"/>
      <c r="QR15" s="519"/>
      <c r="QS15" s="520"/>
      <c r="QT15" s="520"/>
      <c r="QU15" s="520"/>
      <c r="QV15" s="520"/>
      <c r="QW15" s="520"/>
      <c r="QX15" s="520"/>
      <c r="QY15" s="520"/>
      <c r="QZ15" s="520"/>
      <c r="RA15" s="520"/>
      <c r="RB15" s="520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521">
        <f>ROW()</f>
        <v>15</v>
      </c>
      <c r="RV15" s="522"/>
      <c r="RW15" s="519"/>
      <c r="RX15" s="519"/>
      <c r="RY15" s="519"/>
      <c r="RZ15" s="519"/>
      <c r="SA15" s="519"/>
      <c r="SB15" s="519"/>
      <c r="SC15" s="520"/>
      <c r="SD15" s="520"/>
      <c r="SE15" s="520"/>
      <c r="SF15" s="520"/>
      <c r="SG15" s="520"/>
      <c r="SH15" s="520"/>
      <c r="SI15" s="520"/>
      <c r="SJ15" s="520"/>
      <c r="SK15" s="520"/>
      <c r="SL15" s="520"/>
      <c r="SM15" s="521">
        <f>ROW()</f>
        <v>15</v>
      </c>
      <c r="SN15" s="71" t="s">
        <v>729</v>
      </c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F15" s="521">
        <f>ROW()</f>
        <v>15</v>
      </c>
      <c r="TG15" s="523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U15" s="521">
        <f>ROW()</f>
        <v>15</v>
      </c>
      <c r="UJ15" s="521">
        <f>ROW()</f>
        <v>15</v>
      </c>
      <c r="UK15" s="523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Y15" s="521">
        <f>ROW()</f>
        <v>15</v>
      </c>
      <c r="UZ15" s="522" t="s">
        <v>186</v>
      </c>
      <c r="VN15" s="521">
        <f>ROW()</f>
        <v>15</v>
      </c>
      <c r="WC15" s="521">
        <f>ROW()</f>
        <v>15</v>
      </c>
    </row>
    <row r="16" spans="1:614" ht="13.5" x14ac:dyDescent="0.25">
      <c r="A16" s="22">
        <f>ROW()</f>
        <v>16</v>
      </c>
      <c r="B16" s="524"/>
      <c r="C16" s="23"/>
      <c r="D16" s="525"/>
      <c r="E16" s="525"/>
      <c r="F16" s="525"/>
      <c r="G16" s="526"/>
      <c r="H16" s="527"/>
      <c r="I16" s="526"/>
      <c r="J16" s="528"/>
      <c r="K16" s="526"/>
      <c r="L16" s="528"/>
      <c r="M16" s="526"/>
      <c r="N16" s="528"/>
      <c r="O16" s="526"/>
      <c r="P16" s="528"/>
      <c r="Q16" s="526"/>
      <c r="R16" s="528"/>
      <c r="S16" s="529">
        <f>ROW()</f>
        <v>16</v>
      </c>
      <c r="T16" s="530" t="s">
        <v>187</v>
      </c>
      <c r="U16" s="531"/>
      <c r="V16" s="531"/>
      <c r="AA16" s="526"/>
      <c r="AB16" s="526"/>
      <c r="AC16" s="526"/>
      <c r="AD16" s="526"/>
      <c r="AE16" s="526"/>
      <c r="AF16" s="526"/>
      <c r="AG16" s="526"/>
      <c r="AH16" s="526"/>
      <c r="AI16" s="526"/>
      <c r="AJ16" s="526"/>
      <c r="AK16" s="22">
        <f>ROW()</f>
        <v>16</v>
      </c>
      <c r="AL16" s="532" t="s">
        <v>188</v>
      </c>
      <c r="AM16" s="22"/>
      <c r="AN16" s="533">
        <v>23895852172.03344</v>
      </c>
      <c r="AO16" s="534">
        <f>AP16-AN16</f>
        <v>-584224198.5776062</v>
      </c>
      <c r="AP16" s="534">
        <v>23311627973.455833</v>
      </c>
      <c r="AQ16" s="533"/>
      <c r="AR16" s="534">
        <f>SUM(AP16:AQ16)</f>
        <v>23311627973.455833</v>
      </c>
      <c r="AS16" s="533">
        <v>0</v>
      </c>
      <c r="AT16" s="534">
        <f>SUM(AR16:AS16)</f>
        <v>23311627973.455833</v>
      </c>
      <c r="AU16" s="533">
        <v>0</v>
      </c>
      <c r="AV16" s="534">
        <f>SUM(AT16:AU16)</f>
        <v>23311627973.455833</v>
      </c>
      <c r="AW16" s="533">
        <v>0</v>
      </c>
      <c r="AX16" s="534">
        <f>SUM(AV16:AW16)</f>
        <v>23311627973.455833</v>
      </c>
      <c r="AY16" s="533"/>
      <c r="AZ16" s="533"/>
      <c r="BA16" s="22">
        <f>ROW()</f>
        <v>16</v>
      </c>
      <c r="BB16" s="28" t="s">
        <v>189</v>
      </c>
      <c r="BC16" s="535"/>
      <c r="BD16" s="833">
        <v>159200857.38000003</v>
      </c>
      <c r="BE16" s="833">
        <v>-51655882.221626803</v>
      </c>
      <c r="BF16" s="833">
        <f t="shared" ref="BF16:BF21" si="0">SUM(BD16:BE16)</f>
        <v>107544975.15837322</v>
      </c>
      <c r="BG16" s="833">
        <v>0</v>
      </c>
      <c r="BH16" s="833">
        <f>SUM(BF16:BG16)</f>
        <v>107544975.15837322</v>
      </c>
      <c r="BI16" s="833">
        <v>0</v>
      </c>
      <c r="BJ16" s="833">
        <f t="shared" ref="BJ16:BJ21" si="1">SUM(BH16:BI16)</f>
        <v>107544975.15837322</v>
      </c>
      <c r="BK16" s="833">
        <v>0</v>
      </c>
      <c r="BL16" s="833">
        <f>SUM(BJ16:BK16)</f>
        <v>107544975.15837322</v>
      </c>
      <c r="BM16" s="833">
        <v>0</v>
      </c>
      <c r="BN16" s="537">
        <f>SUM(BL16:BM16)</f>
        <v>107544975.15837322</v>
      </c>
      <c r="BO16" s="536"/>
      <c r="BP16" s="537">
        <f t="shared" ref="BP16:BP18" si="2">SUM(BN16:BO16)</f>
        <v>107544975.15837322</v>
      </c>
      <c r="BQ16" s="536"/>
      <c r="BR16" s="537">
        <f t="shared" ref="BR16:BR18" si="3">SUM(BP16:BQ16)</f>
        <v>107544975.15837322</v>
      </c>
      <c r="BS16" s="22">
        <f>ROW()</f>
        <v>16</v>
      </c>
      <c r="BT16" s="512" t="s">
        <v>145</v>
      </c>
      <c r="BV16" s="538">
        <v>0</v>
      </c>
      <c r="BW16" s="538">
        <f>+'SEF-30 pg 1'!E58</f>
        <v>5591510735.8894997</v>
      </c>
      <c r="BX16" s="538">
        <f>SUM(BV16:BW16)</f>
        <v>5591510735.8894997</v>
      </c>
      <c r="BY16" s="538">
        <f>+'SEF-30 pg 1'!F58</f>
        <v>518485698.09145623</v>
      </c>
      <c r="BZ16" s="538">
        <f>SUM(BX16:BY16)</f>
        <v>6109996433.9809561</v>
      </c>
      <c r="CA16" s="538">
        <f>+'SEF-30 pg 1'!H58</f>
        <v>445546496.40741968</v>
      </c>
      <c r="CB16" s="538">
        <f>SUM(BZ16:CA16)</f>
        <v>6555542930.3883762</v>
      </c>
      <c r="CC16" s="538">
        <f>+'SEF-30 pg 1'!J58</f>
        <v>50859821.172498472</v>
      </c>
      <c r="CD16" s="538">
        <f>SUM(CB16:CC16)</f>
        <v>6606402751.5608749</v>
      </c>
      <c r="CE16" s="538">
        <f>+'SEF-30 pg 1'!L58</f>
        <v>810582265.08440506</v>
      </c>
      <c r="CF16" s="538">
        <f>SUM(CD16:CE16)</f>
        <v>7416985016.6452799</v>
      </c>
      <c r="CG16" s="538">
        <f>+'SEF-30 pg 1'!N58</f>
        <v>0</v>
      </c>
      <c r="CH16" s="538"/>
      <c r="CI16" s="538"/>
      <c r="CJ16" s="538"/>
      <c r="CK16" s="22">
        <f>ROW()</f>
        <v>16</v>
      </c>
      <c r="CL16" s="482"/>
      <c r="CM16" s="482"/>
      <c r="CN16" s="539"/>
      <c r="CO16" s="21"/>
      <c r="CP16" s="21"/>
      <c r="CQ16" s="21"/>
      <c r="CR16" s="21"/>
      <c r="DC16" s="22">
        <f>ROW()</f>
        <v>16</v>
      </c>
      <c r="DD16" s="540" t="s">
        <v>190</v>
      </c>
      <c r="DE16" s="540"/>
      <c r="DF16" s="539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2">
        <f>ROW()</f>
        <v>16</v>
      </c>
      <c r="DV16" s="541" t="s">
        <v>191</v>
      </c>
      <c r="DW16" s="541"/>
      <c r="DX16" s="543">
        <v>106401075.90899999</v>
      </c>
      <c r="DY16" s="543">
        <v>27398.911120012403</v>
      </c>
      <c r="DZ16" s="543">
        <f>DX16+DY16</f>
        <v>106428474.82012001</v>
      </c>
      <c r="EA16" s="543">
        <v>0</v>
      </c>
      <c r="EB16" s="543">
        <f>DZ16+EA16</f>
        <v>106428474.82012001</v>
      </c>
      <c r="EC16" s="543">
        <v>0</v>
      </c>
      <c r="ED16" s="543">
        <f>EB16+EC16</f>
        <v>106428474.82012001</v>
      </c>
      <c r="EE16" s="543">
        <v>0</v>
      </c>
      <c r="EF16" s="543">
        <f>ED16+EE16</f>
        <v>106428474.82012001</v>
      </c>
      <c r="EG16" s="543">
        <v>0</v>
      </c>
      <c r="EH16" s="543">
        <f>EF16+EG16</f>
        <v>106428474.82012001</v>
      </c>
      <c r="EI16" s="543"/>
      <c r="EJ16" s="543"/>
      <c r="EK16" s="543"/>
      <c r="EL16" s="543">
        <f>EJ16+EK16</f>
        <v>0</v>
      </c>
      <c r="EM16" s="22">
        <f>ROW()</f>
        <v>16</v>
      </c>
      <c r="EN16" s="544" t="s">
        <v>192</v>
      </c>
      <c r="EO16" s="545"/>
      <c r="EP16" s="545"/>
      <c r="EQ16" s="545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22">
        <f>ROW()</f>
        <v>16</v>
      </c>
      <c r="FF16" s="23" t="s">
        <v>193</v>
      </c>
      <c r="FG16" s="21"/>
      <c r="FH16" s="21">
        <v>-15000</v>
      </c>
      <c r="FI16" s="21">
        <v>-90000</v>
      </c>
      <c r="FJ16" s="21">
        <f>FH16+FI16</f>
        <v>-105000</v>
      </c>
      <c r="FK16" s="51">
        <v>0</v>
      </c>
      <c r="FL16" s="21">
        <f>FJ16+FK16</f>
        <v>-105000</v>
      </c>
      <c r="FM16" s="51">
        <v>0</v>
      </c>
      <c r="FN16" s="21">
        <f>FL16+FM16</f>
        <v>-105000</v>
      </c>
      <c r="FO16" s="51">
        <v>0</v>
      </c>
      <c r="FP16" s="21">
        <f>FN16+FO16</f>
        <v>-105000</v>
      </c>
      <c r="FQ16" s="51">
        <v>0</v>
      </c>
      <c r="FR16" s="21">
        <f>FP16+FQ16</f>
        <v>-105000</v>
      </c>
      <c r="FS16" s="21"/>
      <c r="FT16" s="21"/>
      <c r="FU16" s="51"/>
      <c r="FV16" s="21">
        <f>FT16+FU16</f>
        <v>0</v>
      </c>
      <c r="FW16" s="22">
        <f>ROW()</f>
        <v>16</v>
      </c>
      <c r="FX16" s="20" t="s">
        <v>194</v>
      </c>
      <c r="GO16" s="480"/>
      <c r="GP16" s="480"/>
      <c r="GQ16" s="480"/>
      <c r="GR16" s="100"/>
      <c r="GS16" s="100"/>
      <c r="GT16" s="100"/>
      <c r="GU16" s="100"/>
      <c r="GV16" s="100"/>
      <c r="HG16" s="22">
        <f>ROW()</f>
        <v>16</v>
      </c>
      <c r="HH16" s="547" t="s">
        <v>195</v>
      </c>
      <c r="HI16" s="547"/>
      <c r="HJ16" s="51"/>
      <c r="HK16" s="51">
        <v>131317.93692733094</v>
      </c>
      <c r="HL16" s="51">
        <f>HJ16+HK16</f>
        <v>131317.93692733094</v>
      </c>
      <c r="HM16" s="51">
        <v>0</v>
      </c>
      <c r="HN16" s="51">
        <f>SUM(HL16:HM16)</f>
        <v>131317.93692733094</v>
      </c>
      <c r="HO16" s="51">
        <v>0</v>
      </c>
      <c r="HP16" s="51">
        <f>SUM(HN16:HO16)</f>
        <v>131317.93692733094</v>
      </c>
      <c r="HQ16" s="51">
        <v>0</v>
      </c>
      <c r="HR16" s="51">
        <f>SUM(HP16:HQ16)</f>
        <v>131317.93692733094</v>
      </c>
      <c r="HS16" s="51">
        <v>0</v>
      </c>
      <c r="HT16" s="51">
        <f>SUM(HR16:HS16)</f>
        <v>131317.93692733094</v>
      </c>
      <c r="HU16" s="51"/>
      <c r="HV16" s="51"/>
      <c r="HW16" s="51"/>
      <c r="HX16" s="51">
        <f>SUM(HV16:HW16)</f>
        <v>0</v>
      </c>
      <c r="HY16" s="22">
        <f>ROW()</f>
        <v>16</v>
      </c>
      <c r="HZ16" s="23" t="s">
        <v>196</v>
      </c>
      <c r="IA16" s="549"/>
      <c r="IB16" s="550">
        <v>4926664.0630997503</v>
      </c>
      <c r="IC16" s="550">
        <v>547949.92634950019</v>
      </c>
      <c r="ID16" s="550">
        <f>SUM(IB16:IC16)</f>
        <v>5474613.9894492505</v>
      </c>
      <c r="IE16" s="550">
        <v>0</v>
      </c>
      <c r="IF16" s="550">
        <f>SUM(ID16:IE16)</f>
        <v>5474613.9894492505</v>
      </c>
      <c r="IG16" s="550"/>
      <c r="IH16" s="550">
        <f>SUM(IF16:IG16)</f>
        <v>5474613.9894492505</v>
      </c>
      <c r="II16" s="550"/>
      <c r="IJ16" s="550">
        <f>SUM(IH16:II16)</f>
        <v>5474613.9894492505</v>
      </c>
      <c r="IK16" s="550"/>
      <c r="IL16" s="550">
        <f>SUM(IJ16:IK16)</f>
        <v>5474613.9894492505</v>
      </c>
      <c r="IM16" s="550"/>
      <c r="IN16" s="550">
        <f>SUM(IL16:IM16)</f>
        <v>5474613.9894492505</v>
      </c>
      <c r="IO16" s="550"/>
      <c r="IP16" s="550">
        <f>SUM(IN16:IO16)</f>
        <v>5474613.9894492505</v>
      </c>
      <c r="IQ16" s="22">
        <f>ROW()</f>
        <v>16</v>
      </c>
      <c r="IR16" s="1" t="s">
        <v>197</v>
      </c>
      <c r="IT16" s="51"/>
      <c r="IU16" s="51"/>
      <c r="IV16" s="51"/>
      <c r="IW16" s="51"/>
      <c r="IX16" s="51"/>
      <c r="JI16" s="22">
        <f>ROW()</f>
        <v>16</v>
      </c>
      <c r="JJ16" s="480" t="s">
        <v>198</v>
      </c>
      <c r="JK16" s="28"/>
      <c r="JL16" s="552">
        <v>140630.85290878784</v>
      </c>
      <c r="JM16" s="552">
        <v>-23123.585043537663</v>
      </c>
      <c r="JN16" s="552">
        <f>SUM(JL16:JM16)</f>
        <v>117507.26786525018</v>
      </c>
      <c r="JO16" s="551"/>
      <c r="JP16" s="553">
        <f>+JO16+JN16</f>
        <v>117507.26786525018</v>
      </c>
      <c r="JQ16" s="551"/>
      <c r="JR16" s="553">
        <f>+JQ16+JP16</f>
        <v>117507.26786525018</v>
      </c>
      <c r="JS16" s="551"/>
      <c r="JT16" s="553">
        <f>+JS16+JR16</f>
        <v>117507.26786525018</v>
      </c>
      <c r="JU16" s="551"/>
      <c r="JV16" s="553">
        <f>+JU16+JT16</f>
        <v>117507.26786525018</v>
      </c>
      <c r="JW16" s="551"/>
      <c r="JX16" s="553">
        <f>+JW16+JV16</f>
        <v>117507.26786525018</v>
      </c>
      <c r="JY16" s="551"/>
      <c r="JZ16" s="553">
        <f>+JY16+JX16</f>
        <v>117507.26786525018</v>
      </c>
      <c r="KA16" s="22">
        <f>ROW()</f>
        <v>16</v>
      </c>
      <c r="KB16" s="23" t="s">
        <v>199</v>
      </c>
      <c r="KC16" s="23"/>
      <c r="KD16" s="51">
        <v>2356222.5176624763</v>
      </c>
      <c r="KE16" s="51">
        <v>3717058.1250072368</v>
      </c>
      <c r="KF16" s="51">
        <f>KD16+KE16</f>
        <v>6073280.6426697131</v>
      </c>
      <c r="KG16" s="548"/>
      <c r="KH16" s="51">
        <f>KF16+KG16</f>
        <v>6073280.6426697131</v>
      </c>
      <c r="KI16" s="548"/>
      <c r="KJ16" s="51">
        <f>KH16+KI16</f>
        <v>6073280.6426697131</v>
      </c>
      <c r="KK16" s="548"/>
      <c r="KL16" s="51">
        <f>KJ16+KK16</f>
        <v>6073280.6426697131</v>
      </c>
      <c r="KM16" s="548"/>
      <c r="KN16" s="51">
        <f>KL16+KM16</f>
        <v>6073280.6426697131</v>
      </c>
      <c r="KO16" s="51"/>
      <c r="KP16" s="51"/>
      <c r="KQ16" s="51"/>
      <c r="KR16" s="51">
        <f>KP16+KQ16</f>
        <v>0</v>
      </c>
      <c r="KS16" s="22">
        <f>ROW()</f>
        <v>16</v>
      </c>
      <c r="KT16" s="554" t="s">
        <v>200</v>
      </c>
      <c r="KU16" s="480"/>
      <c r="KV16" s="51"/>
      <c r="KW16" s="51"/>
      <c r="KX16" s="553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22">
        <f>ROW()</f>
        <v>16</v>
      </c>
      <c r="LL16" s="555" t="s">
        <v>112</v>
      </c>
      <c r="LN16" s="553">
        <v>11825124793.208683</v>
      </c>
      <c r="LO16" s="553">
        <v>66164287.261545181</v>
      </c>
      <c r="LP16" s="553">
        <f t="shared" ref="LP16:LP21" si="4">SUM(LN16:LO16)</f>
        <v>11891289080.470228</v>
      </c>
      <c r="LQ16" s="553">
        <v>0</v>
      </c>
      <c r="LR16" s="553">
        <f t="shared" ref="LR16:LR21" si="5">LP16+LQ16</f>
        <v>11891289080.470228</v>
      </c>
      <c r="LS16" s="553">
        <v>0</v>
      </c>
      <c r="LT16" s="553">
        <f t="shared" ref="LT16:LT21" si="6">LR16+LS16</f>
        <v>11891289080.470228</v>
      </c>
      <c r="LU16" s="553">
        <v>0</v>
      </c>
      <c r="LV16" s="553">
        <f t="shared" ref="LV16:LV21" si="7">LT16+LU16</f>
        <v>11891289080.470228</v>
      </c>
      <c r="LW16" s="553">
        <v>0</v>
      </c>
      <c r="LX16" s="553">
        <f t="shared" ref="LX16:LX21" si="8">LV16+LW16</f>
        <v>11891289080.470228</v>
      </c>
      <c r="LY16" s="553">
        <v>0</v>
      </c>
      <c r="LZ16" s="553"/>
      <c r="MA16" s="553">
        <v>0</v>
      </c>
      <c r="MB16" s="553">
        <f t="shared" ref="MB16:MB21" si="9">LZ16+MA16</f>
        <v>0</v>
      </c>
      <c r="MC16" s="22">
        <f>ROW()</f>
        <v>16</v>
      </c>
      <c r="MD16" s="555" t="s">
        <v>201</v>
      </c>
      <c r="MF16" s="549">
        <v>363282801.9699983</v>
      </c>
      <c r="MG16" s="549">
        <v>17425234.515460491</v>
      </c>
      <c r="MH16" s="549">
        <f>MF16+MG16</f>
        <v>380708036.48545879</v>
      </c>
      <c r="MI16" s="549">
        <v>0</v>
      </c>
      <c r="MJ16" s="549">
        <f>MH16+MI16</f>
        <v>380708036.48545879</v>
      </c>
      <c r="MK16" s="549"/>
      <c r="ML16" s="549">
        <f>MJ16+MK16</f>
        <v>380708036.48545879</v>
      </c>
      <c r="MM16" s="549"/>
      <c r="MN16" s="549">
        <f>ML16+MM16</f>
        <v>380708036.48545879</v>
      </c>
      <c r="MO16" s="549"/>
      <c r="MP16" s="549">
        <f>MN16+MO16</f>
        <v>380708036.48545879</v>
      </c>
      <c r="MQ16" s="549"/>
      <c r="MR16" s="549"/>
      <c r="MS16" s="549"/>
      <c r="MT16" s="549"/>
      <c r="MU16" s="22">
        <f>ROW()</f>
        <v>16</v>
      </c>
      <c r="MV16" s="555" t="s">
        <v>202</v>
      </c>
      <c r="MW16" s="549"/>
      <c r="MX16" s="558">
        <v>10777556.530000001</v>
      </c>
      <c r="MY16" s="557">
        <v>3053609.7263499983</v>
      </c>
      <c r="MZ16" s="557">
        <f>SUM(MX16:MY16)</f>
        <v>13831166.256349999</v>
      </c>
      <c r="NA16" s="558"/>
      <c r="NB16" s="557">
        <f>SUM(MZ16:NA16)</f>
        <v>13831166.256349999</v>
      </c>
      <c r="NC16" s="558"/>
      <c r="ND16" s="557">
        <f>SUM(NB16:NC16)</f>
        <v>13831166.256349999</v>
      </c>
      <c r="NE16" s="558"/>
      <c r="NF16" s="557">
        <f>SUM(ND16:NE16)</f>
        <v>13831166.256349999</v>
      </c>
      <c r="NG16" s="558"/>
      <c r="NH16" s="557">
        <f>SUM(NF16:NG16)</f>
        <v>13831166.256349999</v>
      </c>
      <c r="NI16" s="558"/>
      <c r="NJ16" s="558"/>
      <c r="NK16" s="558"/>
      <c r="NL16" s="558">
        <f>SUM(NJ16:NK16)</f>
        <v>0</v>
      </c>
      <c r="NM16" s="22">
        <f>ROW()</f>
        <v>16</v>
      </c>
      <c r="NN16" s="559"/>
      <c r="NO16" s="23"/>
      <c r="NP16" s="560"/>
      <c r="NQ16" s="560"/>
      <c r="NR16" s="560"/>
      <c r="NS16" s="560"/>
      <c r="NT16" s="560"/>
      <c r="NU16" s="560"/>
      <c r="NV16" s="560"/>
      <c r="NW16" s="560"/>
      <c r="NX16" s="560"/>
      <c r="NY16" s="560"/>
      <c r="NZ16" s="560"/>
      <c r="OA16" s="560"/>
      <c r="OB16" s="560"/>
      <c r="OC16" s="560"/>
      <c r="OD16" s="560"/>
      <c r="OE16" s="482">
        <f>ROW()</f>
        <v>16</v>
      </c>
      <c r="OF16" s="549" t="s">
        <v>203</v>
      </c>
      <c r="OG16" s="549"/>
      <c r="OH16" s="561"/>
      <c r="OI16" s="561"/>
      <c r="OJ16" s="561"/>
      <c r="OK16" s="561"/>
      <c r="OL16" s="561"/>
      <c r="OM16" s="549"/>
      <c r="ON16" s="549"/>
      <c r="OO16" s="549"/>
      <c r="OP16" s="549"/>
      <c r="OQ16" s="549"/>
      <c r="OR16" s="549"/>
      <c r="OS16" s="549"/>
      <c r="OT16" s="549"/>
      <c r="OU16" s="549"/>
      <c r="OV16" s="549"/>
      <c r="OW16" s="22">
        <f>ROW()</f>
        <v>16</v>
      </c>
      <c r="OX16" s="562" t="s">
        <v>203</v>
      </c>
      <c r="OY16" s="562"/>
      <c r="OZ16" s="563" t="s">
        <v>204</v>
      </c>
      <c r="PA16" s="561"/>
      <c r="PB16" s="561"/>
      <c r="PC16" s="561"/>
      <c r="PD16" s="561"/>
      <c r="PE16" s="549"/>
      <c r="PF16" s="549"/>
      <c r="PG16" s="549"/>
      <c r="PH16" s="549"/>
      <c r="PI16" s="549"/>
      <c r="PJ16" s="549"/>
      <c r="PK16" s="549"/>
      <c r="PL16" s="549"/>
      <c r="PM16" s="549"/>
      <c r="PN16" s="549"/>
      <c r="PO16" s="7"/>
      <c r="PP16" s="7"/>
      <c r="PQ16" s="7"/>
      <c r="PR16" s="7"/>
      <c r="PS16" s="22">
        <f>ROW()</f>
        <v>16</v>
      </c>
      <c r="PT16" s="564"/>
      <c r="PU16" s="565"/>
      <c r="PV16" s="565"/>
      <c r="PW16" s="565"/>
      <c r="PX16" s="566"/>
      <c r="PY16" s="567"/>
      <c r="PZ16" s="567"/>
      <c r="QA16" s="567"/>
      <c r="QB16" s="567"/>
      <c r="QC16" s="567"/>
      <c r="QD16" s="567"/>
      <c r="QE16" s="567"/>
      <c r="QF16" s="567"/>
      <c r="QG16" s="567"/>
      <c r="QH16" s="567"/>
      <c r="QI16" s="567"/>
      <c r="QJ16" s="567"/>
      <c r="QK16" s="22">
        <f>ROW()</f>
        <v>16</v>
      </c>
      <c r="QN16" s="568"/>
      <c r="QO16" s="568"/>
      <c r="QP16" s="568"/>
      <c r="QQ16" s="569"/>
      <c r="QR16" s="569"/>
      <c r="QS16" s="569"/>
      <c r="QT16" s="569"/>
      <c r="QU16" s="569"/>
      <c r="QV16" s="569"/>
      <c r="QW16" s="569"/>
      <c r="QX16" s="569"/>
      <c r="QY16" s="569"/>
      <c r="QZ16" s="569"/>
      <c r="RA16" s="569"/>
      <c r="RB16" s="569"/>
      <c r="RC16" s="22">
        <f>ROW()</f>
        <v>16</v>
      </c>
      <c r="RH16" s="1"/>
      <c r="RI16" s="1"/>
      <c r="RJ16" s="1"/>
      <c r="RK16" s="1"/>
      <c r="RL16" s="1"/>
      <c r="RM16" s="1"/>
      <c r="RN16" s="1"/>
      <c r="RO16" s="1"/>
      <c r="RP16" s="1"/>
      <c r="RU16" s="521">
        <f>ROW()</f>
        <v>16</v>
      </c>
      <c r="RV16" s="520" t="s">
        <v>201</v>
      </c>
      <c r="RW16" s="520"/>
      <c r="RX16" s="570"/>
      <c r="RY16" s="570"/>
      <c r="RZ16" s="570"/>
      <c r="SA16" s="576">
        <v>-174784.55000000002</v>
      </c>
      <c r="SB16" s="576">
        <f>SA16+RZ16</f>
        <v>-174784.55000000002</v>
      </c>
      <c r="SC16" s="576">
        <v>-1552531.0100000002</v>
      </c>
      <c r="SD16" s="576">
        <f>SC16+SB16</f>
        <v>-1727315.5600000003</v>
      </c>
      <c r="SE16" s="576">
        <v>-1738872.7199999981</v>
      </c>
      <c r="SF16" s="576">
        <f>SE16+SD16</f>
        <v>-3466188.2799999984</v>
      </c>
      <c r="SG16" s="576">
        <v>-1738872.7200000081</v>
      </c>
      <c r="SH16" s="576">
        <f>SG16+SF16</f>
        <v>-5205061.0000000065</v>
      </c>
      <c r="SI16" s="571"/>
      <c r="SJ16" s="571">
        <f>SI16+SH16</f>
        <v>-5205061.0000000065</v>
      </c>
      <c r="SK16" s="571"/>
      <c r="SL16" s="571">
        <f>SK16+SJ16</f>
        <v>-5205061.0000000065</v>
      </c>
      <c r="SM16" s="521">
        <f>ROW()</f>
        <v>16</v>
      </c>
      <c r="SN16" s="102" t="s">
        <v>201</v>
      </c>
      <c r="SP16" s="571"/>
      <c r="SQ16" s="571"/>
      <c r="SR16" s="571"/>
      <c r="SS16" s="98">
        <v>3031344.6900000004</v>
      </c>
      <c r="ST16" s="98">
        <f>SS16</f>
        <v>3031344.6900000004</v>
      </c>
      <c r="SU16" s="98">
        <v>10957173.789999995</v>
      </c>
      <c r="SV16" s="98">
        <f>SU16+ST16</f>
        <v>13988518.479999997</v>
      </c>
      <c r="SW16" s="98">
        <v>13672938.01</v>
      </c>
      <c r="SX16" s="98">
        <f>SW16+SV16</f>
        <v>27661456.489999995</v>
      </c>
      <c r="SY16" s="98">
        <v>17959711.220000014</v>
      </c>
      <c r="SZ16" s="98">
        <f>SY16+SX16</f>
        <v>45621167.710000008</v>
      </c>
      <c r="TA16" s="570"/>
      <c r="TB16" s="570">
        <f>TA16+SZ16</f>
        <v>45621167.710000008</v>
      </c>
      <c r="TC16" s="571"/>
      <c r="TD16" s="570">
        <f>TC16+TB16</f>
        <v>45621167.710000008</v>
      </c>
      <c r="TF16" s="521">
        <f>ROW()</f>
        <v>16</v>
      </c>
      <c r="TG16" s="477" t="s">
        <v>205</v>
      </c>
      <c r="TH16" s="20"/>
      <c r="TI16" s="573"/>
      <c r="TJ16" s="573"/>
      <c r="TK16" s="573"/>
      <c r="TL16" s="574"/>
      <c r="TM16" s="574"/>
      <c r="TN16" s="574"/>
      <c r="TO16" s="574"/>
      <c r="TP16" s="574"/>
      <c r="TQ16" s="574"/>
      <c r="TR16" s="574"/>
      <c r="TS16" s="574"/>
      <c r="TU16" s="521">
        <f>ROW()</f>
        <v>16</v>
      </c>
      <c r="TV16" s="575"/>
      <c r="TW16" s="575"/>
      <c r="TX16" s="575"/>
      <c r="TY16" s="575"/>
      <c r="TZ16" s="575"/>
      <c r="UA16" s="575"/>
      <c r="UB16" s="575"/>
      <c r="UC16" s="575"/>
      <c r="UD16" s="575"/>
      <c r="UE16" s="575"/>
      <c r="UF16" s="575"/>
      <c r="UG16" s="575"/>
      <c r="UH16" s="575"/>
      <c r="UJ16" s="521">
        <f>ROW()</f>
        <v>16</v>
      </c>
      <c r="UK16" s="477"/>
      <c r="UL16" s="20"/>
      <c r="UM16" s="573"/>
      <c r="UN16" s="573"/>
      <c r="UO16" s="573"/>
      <c r="UP16" s="574"/>
      <c r="UQ16" s="574"/>
      <c r="UR16" s="574"/>
      <c r="US16" s="574"/>
      <c r="UT16" s="574"/>
      <c r="UU16" s="574"/>
      <c r="UV16" s="574"/>
      <c r="UW16" s="574"/>
      <c r="UY16" s="521">
        <f>ROW()</f>
        <v>16</v>
      </c>
      <c r="UZ16" s="102" t="s">
        <v>206</v>
      </c>
      <c r="VB16" s="570">
        <v>-138703.19</v>
      </c>
      <c r="VC16" s="570">
        <v>138703.19</v>
      </c>
      <c r="VD16" s="576">
        <f>VB16+VC16</f>
        <v>0</v>
      </c>
      <c r="VN16" s="521">
        <f>ROW()</f>
        <v>16</v>
      </c>
      <c r="VO16" s="480" t="s">
        <v>207</v>
      </c>
      <c r="VX16" s="570">
        <f>VY16-VW16</f>
        <v>563096.68671530671</v>
      </c>
      <c r="VY16" s="570">
        <v>563096.68671530671</v>
      </c>
      <c r="VZ16" s="570">
        <f>WA16-VY16</f>
        <v>19708.384035035502</v>
      </c>
      <c r="WA16" s="570">
        <v>582805.07075034222</v>
      </c>
      <c r="WC16" s="521">
        <f>ROW()</f>
        <v>16</v>
      </c>
      <c r="WD16" s="480" t="s">
        <v>208</v>
      </c>
      <c r="WM16" s="577">
        <v>2539368.3461099998</v>
      </c>
      <c r="WN16" s="577">
        <f>SUM(WL16:WM16)</f>
        <v>2539368.3461099998</v>
      </c>
      <c r="WO16" s="577">
        <v>1268961.0834900001</v>
      </c>
      <c r="WP16" s="577">
        <f>SUM(WN16:WO16)</f>
        <v>3808329.4295999999</v>
      </c>
    </row>
    <row r="17" spans="1:614" ht="15.75" x14ac:dyDescent="0.25">
      <c r="A17" s="22">
        <f>ROW()</f>
        <v>17</v>
      </c>
      <c r="B17" s="524" t="s">
        <v>209</v>
      </c>
      <c r="C17" s="23"/>
      <c r="D17" s="525">
        <v>-14173244.599999994</v>
      </c>
      <c r="E17" s="525">
        <f>-D17</f>
        <v>14173244.599999994</v>
      </c>
      <c r="F17" s="578">
        <f>D17+E17</f>
        <v>0</v>
      </c>
      <c r="G17" s="579"/>
      <c r="H17" s="578">
        <f>F17+G17</f>
        <v>0</v>
      </c>
      <c r="I17" s="578"/>
      <c r="J17" s="578">
        <f>H17+I17</f>
        <v>0</v>
      </c>
      <c r="K17" s="578"/>
      <c r="L17" s="578">
        <f>J17+K17</f>
        <v>0</v>
      </c>
      <c r="M17" s="578"/>
      <c r="N17" s="578">
        <f>L17+M17</f>
        <v>0</v>
      </c>
      <c r="O17" s="578"/>
      <c r="P17" s="578">
        <f>N17+O17</f>
        <v>0</v>
      </c>
      <c r="Q17" s="578"/>
      <c r="R17" s="578">
        <f>P17+Q17</f>
        <v>0</v>
      </c>
      <c r="S17" s="529">
        <f>ROW()</f>
        <v>17</v>
      </c>
      <c r="T17" s="580" t="s">
        <v>210</v>
      </c>
      <c r="U17" s="581"/>
      <c r="V17" s="582">
        <v>108286041.05000001</v>
      </c>
      <c r="W17" s="582">
        <f t="shared" ref="W17:W24" si="10">-V17</f>
        <v>-108286041.05000001</v>
      </c>
      <c r="X17" s="51">
        <f>+W17+V17</f>
        <v>0</v>
      </c>
      <c r="Z17" s="51">
        <f>+Y17+X17</f>
        <v>0</v>
      </c>
      <c r="AB17" s="51">
        <f>+AA17+Z17</f>
        <v>0</v>
      </c>
      <c r="AD17" s="51">
        <f>+AC17+AB17</f>
        <v>0</v>
      </c>
      <c r="AF17" s="51">
        <f>+AE17+AD17</f>
        <v>0</v>
      </c>
      <c r="AG17" s="20"/>
      <c r="AH17" s="21"/>
      <c r="AI17" s="20"/>
      <c r="AJ17" s="21"/>
      <c r="AK17" s="22">
        <f>ROW()</f>
        <v>17</v>
      </c>
      <c r="AL17" s="583"/>
      <c r="AM17" s="584"/>
      <c r="AN17" s="584"/>
      <c r="AO17" s="584"/>
      <c r="AP17" s="584"/>
      <c r="AQ17" s="584"/>
      <c r="AR17" s="584"/>
      <c r="AS17" s="584"/>
      <c r="AT17" s="584"/>
      <c r="AU17" s="584"/>
      <c r="AV17" s="584"/>
      <c r="AW17" s="584"/>
      <c r="AX17" s="584"/>
      <c r="AY17" s="584"/>
      <c r="AZ17" s="584"/>
      <c r="BA17" s="22">
        <f>ROW()</f>
        <v>17</v>
      </c>
      <c r="BB17" s="28" t="s">
        <v>211</v>
      </c>
      <c r="BD17" s="729">
        <v>-92361480.74000001</v>
      </c>
      <c r="BE17" s="729">
        <v>67081450.63598001</v>
      </c>
      <c r="BF17" s="729">
        <f t="shared" si="0"/>
        <v>-25280030.10402</v>
      </c>
      <c r="BG17" s="729">
        <v>0</v>
      </c>
      <c r="BH17" s="729">
        <f>SUM(BF17:BG17)</f>
        <v>-25280030.10402</v>
      </c>
      <c r="BI17" s="729">
        <v>0</v>
      </c>
      <c r="BJ17" s="729">
        <f t="shared" si="1"/>
        <v>-25280030.10402</v>
      </c>
      <c r="BK17" s="729">
        <v>0</v>
      </c>
      <c r="BL17" s="729">
        <f>SUM(BJ17:BK17)</f>
        <v>-25280030.10402</v>
      </c>
      <c r="BM17" s="729">
        <v>0</v>
      </c>
      <c r="BN17" s="586">
        <f>SUM(BL17:BM17)</f>
        <v>-25280030.10402</v>
      </c>
      <c r="BO17" s="585"/>
      <c r="BP17" s="586">
        <f t="shared" si="2"/>
        <v>-25280030.10402</v>
      </c>
      <c r="BQ17" s="585"/>
      <c r="BR17" s="586">
        <f t="shared" si="3"/>
        <v>-25280030.10402</v>
      </c>
      <c r="BS17" s="22">
        <f>ROW()</f>
        <v>17</v>
      </c>
      <c r="BT17" s="512" t="s">
        <v>212</v>
      </c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2">
        <f>ROW()</f>
        <v>17</v>
      </c>
      <c r="CL17" s="587" t="s">
        <v>213</v>
      </c>
      <c r="CM17" s="588">
        <v>6.4879999999999998E-3</v>
      </c>
      <c r="CN17" s="573">
        <v>17684399.785839997</v>
      </c>
      <c r="CO17" s="573">
        <v>-455334.78583999723</v>
      </c>
      <c r="CP17" s="573">
        <f>SUM(CN17:CO17)</f>
        <v>17229065</v>
      </c>
      <c r="CQ17" s="573"/>
      <c r="CR17" s="573">
        <f>SUM(CP17:CQ17)</f>
        <v>17229065</v>
      </c>
      <c r="CT17" s="573">
        <f>SUM(CR17:CS17)</f>
        <v>17229065</v>
      </c>
      <c r="CV17" s="573">
        <f>SUM(CT17:CU17)</f>
        <v>17229065</v>
      </c>
      <c r="CX17" s="573">
        <f>SUM(CV17:CW17)</f>
        <v>17229065</v>
      </c>
      <c r="CY17" s="573"/>
      <c r="CZ17" s="573"/>
      <c r="DB17" s="573">
        <f>SUM(CZ17:DA17)</f>
        <v>0</v>
      </c>
      <c r="DC17" s="22">
        <f>ROW()</f>
        <v>17</v>
      </c>
      <c r="DD17" s="589" t="s">
        <v>214</v>
      </c>
      <c r="DE17" s="589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22">
        <f>ROW()</f>
        <v>17</v>
      </c>
      <c r="DV17" s="541"/>
      <c r="DW17" s="541"/>
      <c r="DX17" s="78"/>
      <c r="DY17" s="78"/>
      <c r="DZ17" s="42"/>
      <c r="EA17" s="78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22">
        <f>ROW()</f>
        <v>17</v>
      </c>
      <c r="EN17" s="480" t="s">
        <v>215</v>
      </c>
      <c r="EO17" s="28"/>
      <c r="EP17" s="553">
        <v>23997008.813350562</v>
      </c>
      <c r="EQ17" s="553">
        <f>ER17-EP17</f>
        <v>-40466.166800320148</v>
      </c>
      <c r="ER17" s="553">
        <v>23956542.646550242</v>
      </c>
      <c r="ES17" s="553">
        <f>ET17-ER17</f>
        <v>981398.30762175843</v>
      </c>
      <c r="ET17" s="553">
        <v>24937940.954172</v>
      </c>
      <c r="EU17" s="556"/>
      <c r="EV17" s="553">
        <f>SUM(ET17:EU17)</f>
        <v>24937940.954172</v>
      </c>
      <c r="EW17" s="556"/>
      <c r="EX17" s="553">
        <f>SUM(EV17:EW17)</f>
        <v>24937940.954172</v>
      </c>
      <c r="EY17" s="556"/>
      <c r="EZ17" s="553">
        <f>SUM(EX17:EY17)</f>
        <v>24937940.954172</v>
      </c>
      <c r="FA17" s="553"/>
      <c r="FB17" s="553"/>
      <c r="FC17" s="553"/>
      <c r="FD17" s="553">
        <f>SUM(FB17:FC17)</f>
        <v>0</v>
      </c>
      <c r="FE17" s="22">
        <f>ROW()</f>
        <v>17</v>
      </c>
      <c r="FF17" s="23" t="s">
        <v>216</v>
      </c>
      <c r="FG17" s="21"/>
      <c r="FH17" s="21">
        <v>506615.11330728186</v>
      </c>
      <c r="FI17" s="590">
        <v>-77050.654761756305</v>
      </c>
      <c r="FJ17" s="590">
        <f>FH17+FI17</f>
        <v>429564.45854552556</v>
      </c>
      <c r="FK17" s="50">
        <v>0</v>
      </c>
      <c r="FL17" s="590">
        <f>FJ17+FK17</f>
        <v>429564.45854552556</v>
      </c>
      <c r="FM17" s="50">
        <v>0</v>
      </c>
      <c r="FN17" s="590">
        <f>FL17+FM17</f>
        <v>429564.45854552556</v>
      </c>
      <c r="FO17" s="50">
        <v>0</v>
      </c>
      <c r="FP17" s="590">
        <f>FN17+FO17</f>
        <v>429564.45854552556</v>
      </c>
      <c r="FQ17" s="50">
        <v>0</v>
      </c>
      <c r="FR17" s="590">
        <f>FP17+FQ17</f>
        <v>429564.45854552556</v>
      </c>
      <c r="FS17" s="591"/>
      <c r="FT17" s="590"/>
      <c r="FU17" s="50"/>
      <c r="FV17" s="590">
        <f>FT17+FU17</f>
        <v>0</v>
      </c>
      <c r="FW17" s="22">
        <f>ROW()</f>
        <v>17</v>
      </c>
      <c r="FX17" s="592" t="s">
        <v>217</v>
      </c>
      <c r="FZ17" s="543">
        <v>651454.05080341001</v>
      </c>
      <c r="GA17" s="543">
        <v>-225833.96624629776</v>
      </c>
      <c r="GB17" s="593">
        <f>SUM(FZ17:GA17)</f>
        <v>425620.08455711225</v>
      </c>
      <c r="GC17" s="543">
        <v>54208.728968531417</v>
      </c>
      <c r="GD17" s="593">
        <f>SUM(GB17:GC17)</f>
        <v>479828.81352564367</v>
      </c>
      <c r="GE17" s="543">
        <v>22553.278082332166</v>
      </c>
      <c r="GF17" s="593">
        <f>SUM(GD17:GE17)</f>
        <v>502382.09160797583</v>
      </c>
      <c r="GG17" s="543">
        <v>106193.09830109269</v>
      </c>
      <c r="GH17" s="593">
        <f>SUM(GF17:GG17)</f>
        <v>608575.18990906852</v>
      </c>
      <c r="GI17" s="543">
        <v>350.74588561290875</v>
      </c>
      <c r="GJ17" s="593">
        <f>SUM(GH17:GI17)</f>
        <v>608925.93579468143</v>
      </c>
      <c r="GK17" s="542"/>
      <c r="GL17" s="593">
        <f>SUM(GJ17:GK17)</f>
        <v>608925.93579468143</v>
      </c>
      <c r="GM17" s="542"/>
      <c r="GN17" s="593">
        <f>SUM(GL17:GM17)</f>
        <v>608925.93579468143</v>
      </c>
      <c r="GO17" s="22">
        <f>ROW()</f>
        <v>17</v>
      </c>
      <c r="GP17" s="594" t="s">
        <v>218</v>
      </c>
      <c r="GR17" s="51"/>
      <c r="GS17" s="51"/>
      <c r="GT17" s="553"/>
      <c r="GU17" s="51"/>
      <c r="GV17" s="51"/>
      <c r="GW17" s="543"/>
      <c r="GX17" s="543"/>
      <c r="GY17" s="543"/>
      <c r="GZ17" s="543"/>
      <c r="HA17" s="543"/>
      <c r="HB17" s="543"/>
      <c r="HC17" s="543"/>
      <c r="HD17" s="543"/>
      <c r="HE17" s="543"/>
      <c r="HF17" s="543"/>
      <c r="HG17" s="22">
        <f>ROW()</f>
        <v>17</v>
      </c>
      <c r="HH17" s="23"/>
      <c r="HI17" s="23"/>
      <c r="HJ17" s="23"/>
      <c r="HK17" s="23"/>
      <c r="HL17" s="23"/>
      <c r="HY17" s="22">
        <f>ROW()</f>
        <v>17</v>
      </c>
      <c r="HZ17" s="550" t="s">
        <v>219</v>
      </c>
      <c r="IB17" s="550"/>
      <c r="IC17" s="550"/>
      <c r="ID17" s="550">
        <f t="shared" ref="ID17:IP19" si="11">SUM(IB17:IC17)</f>
        <v>0</v>
      </c>
      <c r="IE17" s="550"/>
      <c r="IF17" s="550">
        <f t="shared" si="11"/>
        <v>0</v>
      </c>
      <c r="IG17" s="550"/>
      <c r="IH17" s="550">
        <f t="shared" si="11"/>
        <v>0</v>
      </c>
      <c r="II17" s="550"/>
      <c r="IJ17" s="550">
        <f t="shared" si="11"/>
        <v>0</v>
      </c>
      <c r="IK17" s="550"/>
      <c r="IL17" s="550">
        <f t="shared" si="11"/>
        <v>0</v>
      </c>
      <c r="IM17" s="550"/>
      <c r="IN17" s="550">
        <f t="shared" si="11"/>
        <v>0</v>
      </c>
      <c r="IO17" s="550"/>
      <c r="IP17" s="550">
        <f t="shared" si="11"/>
        <v>0</v>
      </c>
      <c r="IQ17" s="22">
        <f>ROW()</f>
        <v>17</v>
      </c>
      <c r="IR17" s="1" t="s">
        <v>220</v>
      </c>
      <c r="IT17" s="21">
        <v>-298431.94</v>
      </c>
      <c r="IU17" s="21">
        <v>-333409.10000000003</v>
      </c>
      <c r="IV17" s="21">
        <f>SUM(IT17:IU17)</f>
        <v>-631841.04</v>
      </c>
      <c r="IW17" s="21"/>
      <c r="IX17" s="21">
        <f>SUM(IV17:IW17)</f>
        <v>-631841.04</v>
      </c>
      <c r="IY17" s="21"/>
      <c r="IZ17" s="21">
        <f>SUM(IX17:IY17)</f>
        <v>-631841.04</v>
      </c>
      <c r="JA17" s="21">
        <v>-20379.006666666828</v>
      </c>
      <c r="JB17" s="21">
        <f>SUM(IZ17:JA17)</f>
        <v>-652220.04666666687</v>
      </c>
      <c r="JC17" s="21"/>
      <c r="JD17" s="21">
        <f>SUM(JB17:JC17)</f>
        <v>-652220.04666666687</v>
      </c>
      <c r="JE17" s="546"/>
      <c r="JF17" s="21">
        <f>SUM(JD17:JE17)</f>
        <v>-652220.04666666687</v>
      </c>
      <c r="JG17" s="546"/>
      <c r="JH17" s="21">
        <f>SUM(JF17:JG17)</f>
        <v>-652220.04666666687</v>
      </c>
      <c r="JI17" s="22">
        <f>ROW()</f>
        <v>17</v>
      </c>
      <c r="JJ17" s="480"/>
      <c r="JK17" s="28"/>
      <c r="JL17" s="595"/>
      <c r="JM17" s="595"/>
      <c r="JN17" s="596"/>
      <c r="JO17" s="26"/>
      <c r="JP17" s="596"/>
      <c r="JQ17" s="26"/>
      <c r="JR17" s="596"/>
      <c r="JS17" s="26"/>
      <c r="JT17" s="596"/>
      <c r="JU17" s="26"/>
      <c r="JV17" s="596"/>
      <c r="JW17" s="596"/>
      <c r="JX17" s="596"/>
      <c r="JY17" s="26"/>
      <c r="JZ17" s="596"/>
      <c r="KA17" s="22">
        <f>ROW()</f>
        <v>17</v>
      </c>
      <c r="KB17" s="28" t="s">
        <v>221</v>
      </c>
      <c r="KC17" s="28"/>
      <c r="KD17" s="597">
        <f>SUM(KD16:KD16)</f>
        <v>2356222.5176624763</v>
      </c>
      <c r="KE17" s="597">
        <f>SUM(KE16:KE16)</f>
        <v>3717058.1250072368</v>
      </c>
      <c r="KF17" s="597">
        <f>SUM(KF16:KF16)</f>
        <v>6073280.6426697131</v>
      </c>
      <c r="KG17" s="597">
        <f>SUM(KG16)</f>
        <v>0</v>
      </c>
      <c r="KH17" s="597">
        <f>SUM(KH16)</f>
        <v>6073280.6426697131</v>
      </c>
      <c r="KI17" s="597">
        <f t="shared" ref="KI17:KR17" si="12">SUM(KI16)</f>
        <v>0</v>
      </c>
      <c r="KJ17" s="597">
        <f t="shared" si="12"/>
        <v>6073280.6426697131</v>
      </c>
      <c r="KK17" s="597">
        <f t="shared" si="12"/>
        <v>0</v>
      </c>
      <c r="KL17" s="597">
        <f t="shared" si="12"/>
        <v>6073280.6426697131</v>
      </c>
      <c r="KM17" s="597">
        <f t="shared" si="12"/>
        <v>0</v>
      </c>
      <c r="KN17" s="597">
        <f t="shared" si="12"/>
        <v>6073280.6426697131</v>
      </c>
      <c r="KO17" s="597">
        <f t="shared" si="12"/>
        <v>0</v>
      </c>
      <c r="KP17" s="597">
        <f t="shared" si="12"/>
        <v>0</v>
      </c>
      <c r="KQ17" s="597">
        <f t="shared" si="12"/>
        <v>0</v>
      </c>
      <c r="KR17" s="597">
        <f t="shared" si="12"/>
        <v>0</v>
      </c>
      <c r="KS17" s="22">
        <f>ROW()</f>
        <v>17</v>
      </c>
      <c r="KT17" s="598" t="s">
        <v>217</v>
      </c>
      <c r="KU17" s="480"/>
      <c r="KV17" s="51">
        <v>8121855.3979800204</v>
      </c>
      <c r="KW17" s="51">
        <v>561855.38854729664</v>
      </c>
      <c r="KX17" s="553">
        <f>SUM(KV17:KW17)</f>
        <v>8683710.786527317</v>
      </c>
      <c r="KY17" s="553">
        <v>0</v>
      </c>
      <c r="KZ17" s="553">
        <f>SUM(KX17:KY17)</f>
        <v>8683710.786527317</v>
      </c>
      <c r="LA17" s="553">
        <v>0</v>
      </c>
      <c r="LB17" s="553">
        <f>SUM(KZ17:LA17)</f>
        <v>8683710.786527317</v>
      </c>
      <c r="LC17" s="553"/>
      <c r="LD17" s="553">
        <f>SUM(LB17:LC17)</f>
        <v>8683710.786527317</v>
      </c>
      <c r="LE17" s="553"/>
      <c r="LF17" s="553">
        <f>SUM(LD17:LE17)</f>
        <v>8683710.786527317</v>
      </c>
      <c r="LG17" s="553"/>
      <c r="LH17" s="553"/>
      <c r="LI17" s="553"/>
      <c r="LJ17" s="553">
        <f>SUM(LH17:LI17)</f>
        <v>0</v>
      </c>
      <c r="LK17" s="22">
        <f>ROW()</f>
        <v>17</v>
      </c>
      <c r="LL17" s="555" t="s">
        <v>113</v>
      </c>
      <c r="LN17" s="724">
        <v>-5578520718.5254803</v>
      </c>
      <c r="LO17" s="724">
        <v>-55333202.814609528</v>
      </c>
      <c r="LP17" s="50">
        <f t="shared" si="4"/>
        <v>-5633853921.3400898</v>
      </c>
      <c r="LQ17" s="78">
        <v>0</v>
      </c>
      <c r="LR17" s="50">
        <f t="shared" si="5"/>
        <v>-5633853921.3400898</v>
      </c>
      <c r="LS17" s="78">
        <v>0</v>
      </c>
      <c r="LT17" s="50">
        <f t="shared" si="6"/>
        <v>-5633853921.3400898</v>
      </c>
      <c r="LU17" s="78">
        <v>0</v>
      </c>
      <c r="LV17" s="50">
        <f t="shared" si="7"/>
        <v>-5633853921.3400898</v>
      </c>
      <c r="LW17" s="78">
        <v>0</v>
      </c>
      <c r="LX17" s="50">
        <f t="shared" si="8"/>
        <v>-5633853921.3400898</v>
      </c>
      <c r="LY17" s="78">
        <v>0</v>
      </c>
      <c r="LZ17" s="50"/>
      <c r="MA17" s="78">
        <v>0</v>
      </c>
      <c r="MB17" s="50">
        <f t="shared" si="9"/>
        <v>0</v>
      </c>
      <c r="MC17" s="22">
        <f>ROW()</f>
        <v>17</v>
      </c>
      <c r="MD17" s="555" t="s">
        <v>222</v>
      </c>
      <c r="MF17" s="78">
        <v>19060442.141895004</v>
      </c>
      <c r="MG17" s="78">
        <v>-1251183.2488858998</v>
      </c>
      <c r="MH17" s="78">
        <f>MF17+MG17</f>
        <v>17809258.893009104</v>
      </c>
      <c r="MI17" s="78">
        <v>0</v>
      </c>
      <c r="MJ17" s="78">
        <f>MH17+MI17</f>
        <v>17809258.893009104</v>
      </c>
      <c r="MK17" s="78"/>
      <c r="ML17" s="78">
        <f>MJ17+MK17</f>
        <v>17809258.893009104</v>
      </c>
      <c r="MM17" s="78"/>
      <c r="MN17" s="78">
        <f>ML17+MM17</f>
        <v>17809258.893009104</v>
      </c>
      <c r="MO17" s="78"/>
      <c r="MP17" s="78">
        <f>MN17+MO17</f>
        <v>17809258.893009104</v>
      </c>
      <c r="MQ17" s="78"/>
      <c r="MR17" s="78"/>
      <c r="MS17" s="78"/>
      <c r="MT17" s="78"/>
      <c r="MU17" s="22">
        <f>ROW()</f>
        <v>17</v>
      </c>
      <c r="MV17" s="555" t="s">
        <v>223</v>
      </c>
      <c r="MW17" s="78"/>
      <c r="MX17" s="51">
        <f t="shared" ref="MX17:NF17" si="13">SUM(MX16)</f>
        <v>10777556.530000001</v>
      </c>
      <c r="MY17" s="95">
        <f t="shared" si="13"/>
        <v>3053609.7263499983</v>
      </c>
      <c r="MZ17" s="95">
        <f t="shared" si="13"/>
        <v>13831166.256349999</v>
      </c>
      <c r="NA17" s="51">
        <f t="shared" si="13"/>
        <v>0</v>
      </c>
      <c r="NB17" s="95">
        <f t="shared" si="13"/>
        <v>13831166.256349999</v>
      </c>
      <c r="NC17" s="51">
        <f t="shared" si="13"/>
        <v>0</v>
      </c>
      <c r="ND17" s="95">
        <f t="shared" si="13"/>
        <v>13831166.256349999</v>
      </c>
      <c r="NE17" s="51">
        <f t="shared" si="13"/>
        <v>0</v>
      </c>
      <c r="NF17" s="95">
        <f t="shared" si="13"/>
        <v>13831166.256349999</v>
      </c>
      <c r="NG17" s="51">
        <f t="shared" ref="NG17:NL17" si="14">SUM(NG16)</f>
        <v>0</v>
      </c>
      <c r="NH17" s="95">
        <f t="shared" si="14"/>
        <v>13831166.256349999</v>
      </c>
      <c r="NI17" s="51">
        <f t="shared" si="14"/>
        <v>0</v>
      </c>
      <c r="NJ17" s="51">
        <f t="shared" si="14"/>
        <v>0</v>
      </c>
      <c r="NK17" s="51">
        <f t="shared" si="14"/>
        <v>0</v>
      </c>
      <c r="NL17" s="51">
        <f t="shared" si="14"/>
        <v>0</v>
      </c>
      <c r="NM17" s="22">
        <f>ROW()</f>
        <v>17</v>
      </c>
      <c r="NN17" s="599" t="s">
        <v>224</v>
      </c>
      <c r="NO17" s="23"/>
      <c r="NP17" s="550"/>
      <c r="NQ17" s="550"/>
      <c r="NR17" s="550"/>
      <c r="NS17" s="550"/>
      <c r="NT17" s="550"/>
      <c r="NU17" s="550"/>
      <c r="NV17" s="550"/>
      <c r="NW17" s="550"/>
      <c r="NX17" s="550"/>
      <c r="NY17" s="550"/>
      <c r="NZ17" s="550"/>
      <c r="OA17" s="550"/>
      <c r="OB17" s="550"/>
      <c r="OC17" s="550"/>
      <c r="OD17" s="550"/>
      <c r="OE17" s="482">
        <f>ROW()</f>
        <v>17</v>
      </c>
      <c r="OF17" s="78" t="s">
        <v>225</v>
      </c>
      <c r="OG17" s="78"/>
      <c r="OH17" s="600"/>
      <c r="OI17" s="600"/>
      <c r="OJ17" s="600"/>
      <c r="OK17" s="600"/>
      <c r="OL17" s="600"/>
      <c r="OM17" s="601"/>
      <c r="ON17" s="601"/>
      <c r="OO17" s="601"/>
      <c r="OP17" s="601"/>
      <c r="OQ17" s="601"/>
      <c r="OR17" s="601"/>
      <c r="OS17" s="601"/>
      <c r="OT17" s="601"/>
      <c r="OU17" s="601"/>
      <c r="OV17" s="601"/>
      <c r="OW17" s="22">
        <f>ROW()</f>
        <v>17</v>
      </c>
      <c r="OX17" s="562" t="s">
        <v>226</v>
      </c>
      <c r="OY17" s="562"/>
      <c r="OZ17" s="602"/>
      <c r="PA17" s="561"/>
      <c r="PB17" s="561"/>
      <c r="PC17" s="561"/>
      <c r="PD17" s="561"/>
      <c r="PE17" s="78"/>
      <c r="PF17" s="78"/>
      <c r="PG17" s="78"/>
      <c r="PH17" s="78"/>
      <c r="PI17" s="78"/>
      <c r="PJ17" s="78"/>
      <c r="PK17" s="78"/>
      <c r="PL17" s="78"/>
      <c r="PM17" s="78"/>
      <c r="PN17" s="78"/>
      <c r="PO17" s="7"/>
      <c r="PP17" s="7"/>
      <c r="PQ17" s="7"/>
      <c r="PR17" s="7"/>
      <c r="PS17" s="22">
        <f>ROW()</f>
        <v>17</v>
      </c>
      <c r="PT17" s="603" t="s">
        <v>227</v>
      </c>
      <c r="PU17" s="545"/>
      <c r="PV17" s="51">
        <v>846674.35000000009</v>
      </c>
      <c r="PW17" s="51">
        <f>PX17-PV17</f>
        <v>53379.854342309758</v>
      </c>
      <c r="PX17" s="51">
        <v>900054.20434230985</v>
      </c>
      <c r="PY17" s="51">
        <f>PZ17-PX17</f>
        <v>-2720.4305089763366</v>
      </c>
      <c r="PZ17" s="51">
        <v>897333.77383333351</v>
      </c>
      <c r="QA17" s="51">
        <f>QB17-PZ17</f>
        <v>2723.7321666665375</v>
      </c>
      <c r="QB17" s="51">
        <v>900057.50600000005</v>
      </c>
      <c r="QC17" s="51">
        <f>QD17-QB17</f>
        <v>-289207.72884027404</v>
      </c>
      <c r="QD17" s="51">
        <v>610849.77715972601</v>
      </c>
      <c r="QE17" s="51">
        <f>QF17-QD17</f>
        <v>-495824.02999999997</v>
      </c>
      <c r="QF17" s="51">
        <v>115025.74715972603</v>
      </c>
      <c r="QG17" s="51"/>
      <c r="QH17" s="51">
        <f>SUM(QF17:QG17)</f>
        <v>115025.74715972603</v>
      </c>
      <c r="QI17" s="51"/>
      <c r="QJ17" s="51">
        <f>SUM(QH17:QI17)</f>
        <v>115025.74715972603</v>
      </c>
      <c r="QK17" s="22">
        <f>ROW()</f>
        <v>17</v>
      </c>
      <c r="QN17" s="604"/>
      <c r="QO17" s="604"/>
      <c r="QP17" s="604"/>
      <c r="QQ17" s="605"/>
      <c r="QR17" s="605"/>
      <c r="QS17" s="605"/>
      <c r="QT17" s="605"/>
      <c r="QU17" s="605"/>
      <c r="QV17" s="605"/>
      <c r="QW17" s="605"/>
      <c r="QX17" s="605"/>
      <c r="QY17" s="605"/>
      <c r="QZ17" s="605"/>
      <c r="RA17" s="605"/>
      <c r="RB17" s="605"/>
      <c r="RC17" s="22">
        <f>ROW()</f>
        <v>17</v>
      </c>
      <c r="RD17" s="102" t="s">
        <v>201</v>
      </c>
      <c r="RF17" s="568"/>
      <c r="RG17" s="568"/>
      <c r="RH17" s="98">
        <v>360963266.22846788</v>
      </c>
      <c r="RI17" s="98">
        <f>RJ17-RH17</f>
        <v>1153244.5001822114</v>
      </c>
      <c r="RJ17" s="98">
        <v>362116510.72865009</v>
      </c>
      <c r="RK17" s="98">
        <f>RL17-RJ17</f>
        <v>-1613.9095500707626</v>
      </c>
      <c r="RL17" s="98">
        <v>362114896.81910002</v>
      </c>
      <c r="RM17" s="98">
        <f>RN17-RL17</f>
        <v>-27441.329999983311</v>
      </c>
      <c r="RN17" s="98">
        <v>362087455.48910004</v>
      </c>
      <c r="RO17" s="98">
        <f>RP17-RN17</f>
        <v>-13572607.091725051</v>
      </c>
      <c r="RP17" s="98">
        <v>348514848.39737499</v>
      </c>
      <c r="RQ17" s="570"/>
      <c r="RR17" s="571"/>
      <c r="RS17" s="570">
        <f>RT17-RR17</f>
        <v>0</v>
      </c>
      <c r="RT17" s="571"/>
      <c r="RU17" s="521">
        <f>ROW()</f>
        <v>17</v>
      </c>
      <c r="RV17" s="520" t="s">
        <v>222</v>
      </c>
      <c r="RW17" s="520"/>
      <c r="RX17" s="606"/>
      <c r="RY17" s="606"/>
      <c r="RZ17" s="606"/>
      <c r="SA17" s="74">
        <v>0</v>
      </c>
      <c r="SB17" s="74">
        <f t="shared" ref="SB17:SL19" si="15">SA17+RZ17</f>
        <v>0</v>
      </c>
      <c r="SC17" s="74">
        <v>0</v>
      </c>
      <c r="SD17" s="74">
        <f t="shared" si="15"/>
        <v>0</v>
      </c>
      <c r="SE17" s="74">
        <v>0</v>
      </c>
      <c r="SF17" s="74">
        <f t="shared" si="15"/>
        <v>0</v>
      </c>
      <c r="SG17" s="74">
        <v>0</v>
      </c>
      <c r="SH17" s="74">
        <f t="shared" si="15"/>
        <v>0</v>
      </c>
      <c r="SI17" s="607"/>
      <c r="SJ17" s="607">
        <f t="shared" si="15"/>
        <v>0</v>
      </c>
      <c r="SK17" s="607"/>
      <c r="SL17" s="607">
        <f t="shared" si="15"/>
        <v>0</v>
      </c>
      <c r="SM17" s="521">
        <f>ROW()</f>
        <v>17</v>
      </c>
      <c r="SN17" s="102" t="s">
        <v>222</v>
      </c>
      <c r="SO17" s="608"/>
      <c r="SP17" s="607"/>
      <c r="SQ17" s="607"/>
      <c r="SR17" s="607"/>
      <c r="SS17" s="39">
        <v>99058.640449999992</v>
      </c>
      <c r="ST17" s="39">
        <f>SS17</f>
        <v>99058.640449999992</v>
      </c>
      <c r="SU17" s="39">
        <v>2287694.8529050006</v>
      </c>
      <c r="SV17" s="39">
        <f t="shared" ref="SV17:TD19" si="16">SU17+ST17</f>
        <v>2386753.4933550004</v>
      </c>
      <c r="SW17" s="39">
        <v>1012053.2518249997</v>
      </c>
      <c r="SX17" s="39">
        <f t="shared" si="16"/>
        <v>3398806.7451800001</v>
      </c>
      <c r="SY17" s="39">
        <v>1022585.5443649995</v>
      </c>
      <c r="SZ17" s="39">
        <f t="shared" si="16"/>
        <v>4421392.2895449996</v>
      </c>
      <c r="TA17" s="606"/>
      <c r="TB17" s="606">
        <f t="shared" si="16"/>
        <v>4421392.2895449996</v>
      </c>
      <c r="TC17" s="607"/>
      <c r="TD17" s="606">
        <f t="shared" si="16"/>
        <v>4421392.2895449996</v>
      </c>
      <c r="TF17" s="521">
        <f>ROW()</f>
        <v>17</v>
      </c>
      <c r="TG17" s="609" t="s">
        <v>228</v>
      </c>
      <c r="TH17" s="610"/>
      <c r="TI17" s="611">
        <v>42710.67</v>
      </c>
      <c r="TJ17" s="611">
        <f>-TI17</f>
        <v>-42710.67</v>
      </c>
      <c r="TK17" s="20"/>
      <c r="TL17" s="611">
        <f>-TK17</f>
        <v>0</v>
      </c>
      <c r="TM17" s="20"/>
      <c r="TN17" s="611">
        <f>-TM17</f>
        <v>0</v>
      </c>
      <c r="TO17" s="20"/>
      <c r="TP17" s="611">
        <f>-TO17</f>
        <v>0</v>
      </c>
      <c r="TQ17" s="20"/>
      <c r="TR17" s="611">
        <f>-TQ17</f>
        <v>0</v>
      </c>
      <c r="TS17" s="20"/>
      <c r="TU17" s="521">
        <f>ROW()</f>
        <v>17</v>
      </c>
      <c r="TV17" s="575"/>
      <c r="TW17" s="575"/>
      <c r="TX17" s="575"/>
      <c r="TY17" s="575"/>
      <c r="TZ17" s="575"/>
      <c r="UA17" s="575"/>
      <c r="UB17" s="575"/>
      <c r="UC17" s="575"/>
      <c r="UD17" s="575"/>
      <c r="UE17" s="575"/>
      <c r="UF17" s="575"/>
      <c r="UG17" s="575"/>
      <c r="UH17" s="575"/>
      <c r="UJ17" s="22">
        <f>ROW()</f>
        <v>17</v>
      </c>
      <c r="UK17" s="612" t="s">
        <v>229</v>
      </c>
      <c r="UL17" s="613"/>
      <c r="UM17" s="614"/>
      <c r="UN17" s="615"/>
      <c r="UO17" s="616"/>
      <c r="UP17" s="616"/>
      <c r="UQ17" s="616"/>
      <c r="UR17" s="616"/>
      <c r="US17" s="616"/>
      <c r="UT17" s="616"/>
      <c r="UU17" s="616"/>
      <c r="UV17" s="616"/>
      <c r="UW17" s="616"/>
      <c r="UY17" s="521">
        <f>ROW()</f>
        <v>17</v>
      </c>
      <c r="UZ17" s="102"/>
      <c r="VN17" s="521">
        <f>ROW()</f>
        <v>17</v>
      </c>
      <c r="VO17" s="102"/>
      <c r="WC17" s="521">
        <f>ROW()</f>
        <v>17</v>
      </c>
      <c r="WD17" s="102"/>
      <c r="WM17" s="88"/>
      <c r="WN17" s="88"/>
      <c r="WO17" s="88"/>
      <c r="WP17" s="88"/>
    </row>
    <row r="18" spans="1:614" ht="16.5" thickBot="1" x14ac:dyDescent="0.3">
      <c r="A18" s="22">
        <f>ROW()</f>
        <v>18</v>
      </c>
      <c r="B18" s="617" t="s">
        <v>230</v>
      </c>
      <c r="C18" s="23"/>
      <c r="D18" s="618">
        <v>37289685.730000012</v>
      </c>
      <c r="E18" s="618">
        <f>-D18</f>
        <v>-37289685.730000012</v>
      </c>
      <c r="F18" s="618">
        <f t="shared" ref="F18:N45" si="17">D18+E18</f>
        <v>0</v>
      </c>
      <c r="G18" s="619"/>
      <c r="H18" s="618">
        <f t="shared" si="17"/>
        <v>0</v>
      </c>
      <c r="I18" s="618"/>
      <c r="J18" s="618">
        <f t="shared" si="17"/>
        <v>0</v>
      </c>
      <c r="K18" s="23"/>
      <c r="L18" s="618">
        <f t="shared" si="17"/>
        <v>0</v>
      </c>
      <c r="M18" s="23"/>
      <c r="N18" s="618">
        <f t="shared" si="17"/>
        <v>0</v>
      </c>
      <c r="O18" s="23"/>
      <c r="P18" s="618">
        <f t="shared" ref="P18:P31" si="18">N18+O18</f>
        <v>0</v>
      </c>
      <c r="Q18" s="23"/>
      <c r="R18" s="618">
        <f t="shared" ref="R18:R31" si="19">P18+Q18</f>
        <v>0</v>
      </c>
      <c r="S18" s="529">
        <f>ROW()</f>
        <v>18</v>
      </c>
      <c r="T18" s="603" t="s">
        <v>231</v>
      </c>
      <c r="U18" s="581"/>
      <c r="V18" s="620">
        <v>52796511.959999993</v>
      </c>
      <c r="W18" s="620">
        <f t="shared" si="10"/>
        <v>-52796511.959999993</v>
      </c>
      <c r="X18" s="74">
        <f>+W18+V18</f>
        <v>0</v>
      </c>
      <c r="Z18" s="74">
        <f>+Y18+X18</f>
        <v>0</v>
      </c>
      <c r="AB18" s="74">
        <f>+AA18+Z18</f>
        <v>0</v>
      </c>
      <c r="AD18" s="74">
        <f>+AC18+AB18</f>
        <v>0</v>
      </c>
      <c r="AF18" s="74">
        <f>+AE18+AD18</f>
        <v>0</v>
      </c>
      <c r="AG18" s="20"/>
      <c r="AH18" s="42"/>
      <c r="AI18" s="20"/>
      <c r="AJ18" s="42"/>
      <c r="AK18" s="22">
        <f>ROW()</f>
        <v>18</v>
      </c>
      <c r="AL18" s="532" t="s">
        <v>232</v>
      </c>
      <c r="AM18" s="621"/>
      <c r="AN18" s="622">
        <f>AO18</f>
        <v>0.10417755400783039</v>
      </c>
      <c r="AO18" s="622">
        <f>AO20/AO16</f>
        <v>0.10417755400783039</v>
      </c>
      <c r="AP18" s="622">
        <f>AP20/AP16</f>
        <v>0.10417755400783041</v>
      </c>
      <c r="AQ18" s="623"/>
      <c r="AR18" s="623">
        <f>AR20/AR16</f>
        <v>0</v>
      </c>
      <c r="AS18" s="623">
        <f>AT18-AR18</f>
        <v>0</v>
      </c>
      <c r="AT18" s="623">
        <f>AT20/AT16</f>
        <v>0</v>
      </c>
      <c r="AU18" s="623">
        <f>AV18-AT18</f>
        <v>0</v>
      </c>
      <c r="AV18" s="623">
        <f>AV20/AV16</f>
        <v>0</v>
      </c>
      <c r="AW18" s="623">
        <f>AX18-AV18</f>
        <v>0</v>
      </c>
      <c r="AX18" s="623">
        <f>AX20/AX16</f>
        <v>0</v>
      </c>
      <c r="AY18" s="623"/>
      <c r="AZ18" s="623"/>
      <c r="BA18" s="22">
        <f>ROW()</f>
        <v>18</v>
      </c>
      <c r="BB18" s="28" t="s">
        <v>233</v>
      </c>
      <c r="BD18" s="729">
        <v>0</v>
      </c>
      <c r="BE18" s="729">
        <v>-864206.95620000002</v>
      </c>
      <c r="BF18" s="729">
        <f t="shared" si="0"/>
        <v>-864206.95620000002</v>
      </c>
      <c r="BG18" s="729">
        <v>0</v>
      </c>
      <c r="BH18" s="729">
        <f>SUM(BF18:BG18)</f>
        <v>-864206.95620000002</v>
      </c>
      <c r="BI18" s="729">
        <v>0</v>
      </c>
      <c r="BJ18" s="729">
        <f t="shared" si="1"/>
        <v>-864206.95620000002</v>
      </c>
      <c r="BK18" s="729">
        <v>0</v>
      </c>
      <c r="BL18" s="729">
        <f>SUM(BJ18:BK18)</f>
        <v>-864206.95620000002</v>
      </c>
      <c r="BM18" s="729">
        <v>0</v>
      </c>
      <c r="BN18" s="586">
        <f>SUM(BL18:BM18)</f>
        <v>-864206.95620000002</v>
      </c>
      <c r="BO18" s="585"/>
      <c r="BP18" s="586">
        <f t="shared" si="2"/>
        <v>-864206.95620000002</v>
      </c>
      <c r="BQ18" s="585"/>
      <c r="BR18" s="586">
        <f t="shared" si="3"/>
        <v>-864206.95620000002</v>
      </c>
      <c r="BS18" s="22">
        <f>ROW()</f>
        <v>18</v>
      </c>
      <c r="BT18" s="516"/>
      <c r="BV18" s="624"/>
      <c r="BW18" s="624"/>
      <c r="BX18" s="624"/>
      <c r="BY18" s="624"/>
      <c r="BZ18" s="20"/>
      <c r="CA18" s="624"/>
      <c r="CB18" s="20"/>
      <c r="CC18" s="624"/>
      <c r="CD18" s="20"/>
      <c r="CE18" s="624"/>
      <c r="CF18" s="20"/>
      <c r="CG18" s="20"/>
      <c r="CH18" s="20"/>
      <c r="CI18" s="624"/>
      <c r="CJ18" s="20"/>
      <c r="CK18" s="22">
        <f>ROW()</f>
        <v>18</v>
      </c>
      <c r="CL18" s="482"/>
      <c r="CM18" s="482"/>
      <c r="CN18" s="625"/>
      <c r="CO18" s="626"/>
      <c r="CP18" s="626"/>
      <c r="CQ18" s="625"/>
      <c r="CR18" s="626"/>
      <c r="CS18" s="627"/>
      <c r="CT18" s="626"/>
      <c r="CU18" s="627"/>
      <c r="CV18" s="626"/>
      <c r="CW18" s="627"/>
      <c r="CX18" s="626"/>
      <c r="CY18" s="626"/>
      <c r="CZ18" s="626"/>
      <c r="DA18" s="627"/>
      <c r="DB18" s="626"/>
      <c r="DC18" s="22">
        <f>ROW()</f>
        <v>18</v>
      </c>
      <c r="DD18" s="28" t="s">
        <v>234</v>
      </c>
      <c r="DE18" s="28"/>
      <c r="DF18" s="42">
        <v>1719429.0914300003</v>
      </c>
      <c r="DG18" s="42">
        <v>-390429.09143000026</v>
      </c>
      <c r="DH18" s="42">
        <f>DF18+DG18</f>
        <v>1329000</v>
      </c>
      <c r="DI18" s="42"/>
      <c r="DJ18" s="42">
        <f>DH18+DI18</f>
        <v>1329000</v>
      </c>
      <c r="DK18" s="42"/>
      <c r="DL18" s="42">
        <f>DJ18+DK18</f>
        <v>1329000</v>
      </c>
      <c r="DM18" s="42"/>
      <c r="DN18" s="42">
        <f>DL18+DM18</f>
        <v>1329000</v>
      </c>
      <c r="DO18" s="42"/>
      <c r="DP18" s="42">
        <f>DN18+DO18</f>
        <v>1329000</v>
      </c>
      <c r="DQ18" s="42"/>
      <c r="DR18" s="42">
        <f t="shared" ref="DR18" si="20">DP18+DQ18</f>
        <v>1329000</v>
      </c>
      <c r="DS18" s="42"/>
      <c r="DT18" s="42">
        <f t="shared" ref="DT18" si="21">DR18+DS18</f>
        <v>1329000</v>
      </c>
      <c r="DU18" s="22">
        <f>ROW()</f>
        <v>18</v>
      </c>
      <c r="DV18" s="541" t="s">
        <v>235</v>
      </c>
      <c r="DW18" s="541"/>
      <c r="DX18" s="629">
        <f>DX16+DX17</f>
        <v>106401075.90899999</v>
      </c>
      <c r="DY18" s="629">
        <f>DY16+DY17</f>
        <v>27398.911120012403</v>
      </c>
      <c r="DZ18" s="629">
        <f>DZ16+DZ17</f>
        <v>106428474.82012001</v>
      </c>
      <c r="EA18" s="629">
        <f>EA16+EA17</f>
        <v>0</v>
      </c>
      <c r="EB18" s="629">
        <f>EB16+EB17</f>
        <v>106428474.82012001</v>
      </c>
      <c r="EC18" s="629">
        <f t="shared" ref="EC18:EK18" si="22">EC16+EC17</f>
        <v>0</v>
      </c>
      <c r="ED18" s="629">
        <f t="shared" si="22"/>
        <v>106428474.82012001</v>
      </c>
      <c r="EE18" s="629">
        <f t="shared" si="22"/>
        <v>0</v>
      </c>
      <c r="EF18" s="629">
        <f t="shared" si="22"/>
        <v>106428474.82012001</v>
      </c>
      <c r="EG18" s="629">
        <f t="shared" si="22"/>
        <v>0</v>
      </c>
      <c r="EH18" s="629">
        <f t="shared" si="22"/>
        <v>106428474.82012001</v>
      </c>
      <c r="EI18" s="629">
        <f t="shared" si="22"/>
        <v>0</v>
      </c>
      <c r="EJ18" s="629">
        <f>EJ16+EJ17</f>
        <v>0</v>
      </c>
      <c r="EK18" s="629">
        <f t="shared" si="22"/>
        <v>0</v>
      </c>
      <c r="EL18" s="629">
        <f>EL16+EL17</f>
        <v>0</v>
      </c>
      <c r="EM18" s="22">
        <f>ROW()</f>
        <v>18</v>
      </c>
      <c r="EN18" s="603" t="s">
        <v>236</v>
      </c>
      <c r="EO18" s="28"/>
      <c r="EP18" s="630">
        <v>10559692.847797442</v>
      </c>
      <c r="EQ18" s="630">
        <f>ER18-EP18</f>
        <v>-57100.42230767943</v>
      </c>
      <c r="ER18" s="553">
        <v>10502592.425489763</v>
      </c>
      <c r="ES18" s="630">
        <f>ET18-ER18</f>
        <v>472856.46784223802</v>
      </c>
      <c r="ET18" s="553">
        <v>10975448.893332001</v>
      </c>
      <c r="EU18" s="631"/>
      <c r="EV18" s="553">
        <f>SUM(ET18:EU18)</f>
        <v>10975448.893332001</v>
      </c>
      <c r="EW18" s="631"/>
      <c r="EX18" s="553">
        <f>SUM(EV18:EW18)</f>
        <v>10975448.893332001</v>
      </c>
      <c r="EY18" s="631"/>
      <c r="EZ18" s="553">
        <f>SUM(EX18:EY18)</f>
        <v>10975448.893332001</v>
      </c>
      <c r="FA18" s="630"/>
      <c r="FB18" s="553"/>
      <c r="FC18" s="630"/>
      <c r="FD18" s="553">
        <f>SUM(FB18:FC18)</f>
        <v>0</v>
      </c>
      <c r="FE18" s="22">
        <f>ROW()</f>
        <v>18</v>
      </c>
      <c r="FF18" s="23" t="s">
        <v>237</v>
      </c>
      <c r="FG18" s="21"/>
      <c r="FH18" s="632">
        <f t="shared" ref="FH18:FU18" si="23">SUM(FH16:FH17)</f>
        <v>491615.11330728186</v>
      </c>
      <c r="FI18" s="632">
        <f t="shared" si="23"/>
        <v>-167050.6547617563</v>
      </c>
      <c r="FJ18" s="632">
        <f t="shared" si="23"/>
        <v>324564.45854552556</v>
      </c>
      <c r="FK18" s="632">
        <f t="shared" si="23"/>
        <v>0</v>
      </c>
      <c r="FL18" s="632">
        <f t="shared" si="23"/>
        <v>324564.45854552556</v>
      </c>
      <c r="FM18" s="632">
        <f t="shared" si="23"/>
        <v>0</v>
      </c>
      <c r="FN18" s="632">
        <f t="shared" si="23"/>
        <v>324564.45854552556</v>
      </c>
      <c r="FO18" s="632">
        <f t="shared" si="23"/>
        <v>0</v>
      </c>
      <c r="FP18" s="632">
        <f t="shared" si="23"/>
        <v>324564.45854552556</v>
      </c>
      <c r="FQ18" s="632">
        <f t="shared" si="23"/>
        <v>0</v>
      </c>
      <c r="FR18" s="632">
        <f t="shared" si="23"/>
        <v>324564.45854552556</v>
      </c>
      <c r="FS18" s="632">
        <f t="shared" si="23"/>
        <v>0</v>
      </c>
      <c r="FT18" s="632">
        <f>SUM(FT16:FT17)</f>
        <v>0</v>
      </c>
      <c r="FU18" s="632">
        <f t="shared" si="23"/>
        <v>0</v>
      </c>
      <c r="FV18" s="632">
        <f>SUM(FV16:FV17)</f>
        <v>0</v>
      </c>
      <c r="FW18" s="22">
        <f>ROW()</f>
        <v>18</v>
      </c>
      <c r="FX18" s="592" t="s">
        <v>238</v>
      </c>
      <c r="FZ18" s="633">
        <v>1815263.309034897</v>
      </c>
      <c r="GA18" s="633">
        <v>-669735.20521848067</v>
      </c>
      <c r="GB18" s="633">
        <f>SUM(FZ18:GA18)</f>
        <v>1145528.1038164163</v>
      </c>
      <c r="GC18" s="633">
        <v>145899.18276586221</v>
      </c>
      <c r="GD18" s="633">
        <f>SUM(GB18:GC18)</f>
        <v>1291427.2865822786</v>
      </c>
      <c r="GE18" s="633">
        <v>60700.645514372038</v>
      </c>
      <c r="GF18" s="633">
        <f>SUM(GD18:GE18)</f>
        <v>1352127.9320966506</v>
      </c>
      <c r="GG18" s="633">
        <v>-1352127.9320966506</v>
      </c>
      <c r="GH18" s="633">
        <f>SUM(GF18:GG18)</f>
        <v>0</v>
      </c>
      <c r="GI18" s="633">
        <v>0</v>
      </c>
      <c r="GJ18" s="633">
        <f>SUM(GH18:GI18)</f>
        <v>0</v>
      </c>
      <c r="GK18" s="628"/>
      <c r="GL18" s="633">
        <f>SUM(GJ18:GK18)</f>
        <v>0</v>
      </c>
      <c r="GM18" s="628"/>
      <c r="GN18" s="633">
        <f>SUM(GL18:GM18)</f>
        <v>0</v>
      </c>
      <c r="GO18" s="22">
        <f>ROW()</f>
        <v>18</v>
      </c>
      <c r="GP18" s="4" t="s">
        <v>239</v>
      </c>
      <c r="GQ18" s="482"/>
      <c r="GR18" s="634">
        <v>14315394.3144</v>
      </c>
      <c r="GS18" s="634">
        <v>996351.4442822393</v>
      </c>
      <c r="GT18" s="634">
        <f>SUM(GR18:GS18)</f>
        <v>15311745.75868224</v>
      </c>
      <c r="GU18" s="51">
        <v>0</v>
      </c>
      <c r="GV18" s="634">
        <f>SUM(GT18:GU18)</f>
        <v>15311745.75868224</v>
      </c>
      <c r="GW18" s="51">
        <v>0</v>
      </c>
      <c r="GX18" s="634">
        <f>SUM(GV18:GW18)</f>
        <v>15311745.75868224</v>
      </c>
      <c r="GY18" s="51">
        <v>0</v>
      </c>
      <c r="GZ18" s="634">
        <f>SUM(GX18:GY18)</f>
        <v>15311745.75868224</v>
      </c>
      <c r="HA18" s="51">
        <v>0</v>
      </c>
      <c r="HB18" s="634">
        <f>SUM(GZ18:HA18)</f>
        <v>15311745.75868224</v>
      </c>
      <c r="HC18" s="634"/>
      <c r="HD18" s="634"/>
      <c r="HE18" s="51"/>
      <c r="HF18" s="634"/>
      <c r="HG18" s="22">
        <f>ROW()</f>
        <v>18</v>
      </c>
      <c r="HH18" s="23" t="s">
        <v>240</v>
      </c>
      <c r="HI18" s="23"/>
      <c r="HJ18" s="635">
        <f t="shared" ref="HJ18:HX18" si="24">-SUM(HJ16:HJ17)</f>
        <v>0</v>
      </c>
      <c r="HK18" s="635">
        <f t="shared" si="24"/>
        <v>-131317.93692733094</v>
      </c>
      <c r="HL18" s="635">
        <f t="shared" si="24"/>
        <v>-131317.93692733094</v>
      </c>
      <c r="HM18" s="635">
        <f t="shared" si="24"/>
        <v>0</v>
      </c>
      <c r="HN18" s="635">
        <f t="shared" si="24"/>
        <v>-131317.93692733094</v>
      </c>
      <c r="HO18" s="635">
        <f t="shared" si="24"/>
        <v>0</v>
      </c>
      <c r="HP18" s="635">
        <f t="shared" si="24"/>
        <v>-131317.93692733094</v>
      </c>
      <c r="HQ18" s="635">
        <f t="shared" si="24"/>
        <v>0</v>
      </c>
      <c r="HR18" s="635">
        <f t="shared" si="24"/>
        <v>-131317.93692733094</v>
      </c>
      <c r="HS18" s="635">
        <f t="shared" si="24"/>
        <v>0</v>
      </c>
      <c r="HT18" s="635">
        <f t="shared" si="24"/>
        <v>-131317.93692733094</v>
      </c>
      <c r="HU18" s="635">
        <f t="shared" si="24"/>
        <v>0</v>
      </c>
      <c r="HV18" s="635">
        <f t="shared" si="24"/>
        <v>0</v>
      </c>
      <c r="HW18" s="635">
        <f t="shared" si="24"/>
        <v>0</v>
      </c>
      <c r="HX18" s="635">
        <f t="shared" si="24"/>
        <v>0</v>
      </c>
      <c r="HY18" s="22">
        <f>ROW()</f>
        <v>18</v>
      </c>
      <c r="HZ18" s="23" t="s">
        <v>241</v>
      </c>
      <c r="IA18" s="636"/>
      <c r="IB18" s="550">
        <v>4943999.0892546494</v>
      </c>
      <c r="IC18" s="550">
        <v>487971.8849453507</v>
      </c>
      <c r="ID18" s="550">
        <f t="shared" si="11"/>
        <v>5431970.9742000001</v>
      </c>
      <c r="IE18" s="550">
        <v>0</v>
      </c>
      <c r="IF18" s="550">
        <f t="shared" si="11"/>
        <v>5431970.9742000001</v>
      </c>
      <c r="IG18" s="550"/>
      <c r="IH18" s="550">
        <f t="shared" si="11"/>
        <v>5431970.9742000001</v>
      </c>
      <c r="II18" s="550"/>
      <c r="IJ18" s="550">
        <f t="shared" si="11"/>
        <v>5431970.9742000001</v>
      </c>
      <c r="IK18" s="550"/>
      <c r="IL18" s="550">
        <f t="shared" si="11"/>
        <v>5431970.9742000001</v>
      </c>
      <c r="IM18" s="550"/>
      <c r="IN18" s="550">
        <f t="shared" si="11"/>
        <v>5431970.9742000001</v>
      </c>
      <c r="IO18" s="550"/>
      <c r="IP18" s="550">
        <f t="shared" si="11"/>
        <v>5431970.9742000001</v>
      </c>
      <c r="IQ18" s="22">
        <f>ROW()</f>
        <v>18</v>
      </c>
      <c r="IR18" s="1" t="s">
        <v>242</v>
      </c>
      <c r="IT18" s="42">
        <v>-1794537.79</v>
      </c>
      <c r="IU18" s="42">
        <v>1803455.83</v>
      </c>
      <c r="IV18" s="42">
        <f>SUM(IT18:IU18)</f>
        <v>8918.0400000000373</v>
      </c>
      <c r="IW18" s="42"/>
      <c r="IX18" s="42">
        <f>SUM(IV18:IW18)</f>
        <v>8918.0400000000373</v>
      </c>
      <c r="IY18" s="42"/>
      <c r="IZ18" s="42">
        <f>SUM(IX18:IY18)</f>
        <v>8918.0400000000373</v>
      </c>
      <c r="JA18" s="42">
        <v>0</v>
      </c>
      <c r="JB18" s="42">
        <f>SUM(IZ18:JA18)</f>
        <v>8918.0400000000373</v>
      </c>
      <c r="JC18" s="42"/>
      <c r="JD18" s="42">
        <f>SUM(JB18:JC18)</f>
        <v>8918.0400000000373</v>
      </c>
      <c r="JE18" s="628"/>
      <c r="JF18" s="42">
        <f>SUM(JD18:JE18)</f>
        <v>8918.0400000000373</v>
      </c>
      <c r="JG18" s="628"/>
      <c r="JH18" s="42">
        <f>SUM(JF18:JG18)</f>
        <v>8918.0400000000373</v>
      </c>
      <c r="JI18" s="22">
        <f>ROW()</f>
        <v>18</v>
      </c>
      <c r="JJ18" s="480" t="s">
        <v>243</v>
      </c>
      <c r="JK18" s="28"/>
      <c r="JL18" s="538">
        <f>+JL16</f>
        <v>140630.85290878784</v>
      </c>
      <c r="JM18" s="552">
        <f>+JN18-JL18</f>
        <v>-23123.585043537663</v>
      </c>
      <c r="JN18" s="538">
        <f>+JN16</f>
        <v>117507.26786525018</v>
      </c>
      <c r="JO18" s="538">
        <f t="shared" ref="JO18:JZ18" si="25">+JO16</f>
        <v>0</v>
      </c>
      <c r="JP18" s="538">
        <f t="shared" si="25"/>
        <v>117507.26786525018</v>
      </c>
      <c r="JQ18" s="538">
        <f t="shared" si="25"/>
        <v>0</v>
      </c>
      <c r="JR18" s="538">
        <f t="shared" si="25"/>
        <v>117507.26786525018</v>
      </c>
      <c r="JS18" s="538">
        <f t="shared" si="25"/>
        <v>0</v>
      </c>
      <c r="JT18" s="538">
        <f t="shared" si="25"/>
        <v>117507.26786525018</v>
      </c>
      <c r="JU18" s="538">
        <f t="shared" si="25"/>
        <v>0</v>
      </c>
      <c r="JV18" s="538">
        <f t="shared" si="25"/>
        <v>117507.26786525018</v>
      </c>
      <c r="JW18" s="538">
        <f t="shared" si="25"/>
        <v>0</v>
      </c>
      <c r="JX18" s="538">
        <f t="shared" si="25"/>
        <v>117507.26786525018</v>
      </c>
      <c r="JY18" s="538">
        <f t="shared" si="25"/>
        <v>0</v>
      </c>
      <c r="JZ18" s="538">
        <f t="shared" si="25"/>
        <v>117507.26786525018</v>
      </c>
      <c r="KA18" s="22">
        <f>ROW()</f>
        <v>18</v>
      </c>
      <c r="KB18" s="28"/>
      <c r="KC18" s="28"/>
      <c r="KD18" s="547"/>
      <c r="KE18" s="547"/>
      <c r="KF18" s="547"/>
      <c r="KG18" s="547"/>
      <c r="KH18" s="547"/>
      <c r="KI18" s="547"/>
      <c r="KJ18" s="547"/>
      <c r="KK18" s="547"/>
      <c r="KL18" s="547"/>
      <c r="KM18" s="547"/>
      <c r="KN18" s="547"/>
      <c r="KO18" s="547"/>
      <c r="KP18" s="547"/>
      <c r="KQ18" s="547"/>
      <c r="KR18" s="547"/>
      <c r="KS18" s="22">
        <f>ROW()</f>
        <v>18</v>
      </c>
      <c r="KT18" s="598" t="s">
        <v>238</v>
      </c>
      <c r="KU18" s="480"/>
      <c r="KV18" s="74">
        <v>22629695.400614172</v>
      </c>
      <c r="KW18" s="74">
        <v>741815.09637195617</v>
      </c>
      <c r="KX18" s="637">
        <f>SUM(KV18:KW18)</f>
        <v>23371510.496986128</v>
      </c>
      <c r="KY18" s="637">
        <v>0</v>
      </c>
      <c r="KZ18" s="637">
        <f>SUM(KX18:KY18)</f>
        <v>23371510.496986128</v>
      </c>
      <c r="LA18" s="637">
        <v>0</v>
      </c>
      <c r="LB18" s="637">
        <f t="shared" ref="LB18:LJ24" si="26">SUM(KZ18:LA18)</f>
        <v>23371510.496986128</v>
      </c>
      <c r="LC18" s="637"/>
      <c r="LD18" s="637">
        <f t="shared" si="26"/>
        <v>23371510.496986128</v>
      </c>
      <c r="LE18" s="637"/>
      <c r="LF18" s="637">
        <f t="shared" si="26"/>
        <v>23371510.496986128</v>
      </c>
      <c r="LG18" s="637"/>
      <c r="LH18" s="637"/>
      <c r="LI18" s="637"/>
      <c r="LJ18" s="637">
        <f t="shared" si="26"/>
        <v>0</v>
      </c>
      <c r="LK18" s="22">
        <f>ROW()</f>
        <v>18</v>
      </c>
      <c r="LL18" s="23" t="s">
        <v>147</v>
      </c>
      <c r="LN18" s="724">
        <v>456443722.27372909</v>
      </c>
      <c r="LO18" s="724">
        <v>7014230.6262709498</v>
      </c>
      <c r="LP18" s="50">
        <f t="shared" si="4"/>
        <v>463457952.90000004</v>
      </c>
      <c r="LQ18" s="78">
        <v>0</v>
      </c>
      <c r="LR18" s="50">
        <f t="shared" si="5"/>
        <v>463457952.90000004</v>
      </c>
      <c r="LS18" s="78">
        <v>0</v>
      </c>
      <c r="LT18" s="50">
        <f t="shared" si="6"/>
        <v>463457952.90000004</v>
      </c>
      <c r="LU18" s="78">
        <v>0</v>
      </c>
      <c r="LV18" s="50">
        <f t="shared" si="7"/>
        <v>463457952.90000004</v>
      </c>
      <c r="LW18" s="78">
        <v>0</v>
      </c>
      <c r="LX18" s="50">
        <f t="shared" si="8"/>
        <v>463457952.90000004</v>
      </c>
      <c r="LY18" s="78">
        <v>0</v>
      </c>
      <c r="LZ18" s="50"/>
      <c r="MA18" s="78">
        <v>0</v>
      </c>
      <c r="MB18" s="50">
        <f t="shared" si="9"/>
        <v>0</v>
      </c>
      <c r="MC18" s="22">
        <f>ROW()</f>
        <v>18</v>
      </c>
      <c r="MD18" s="555" t="s">
        <v>244</v>
      </c>
      <c r="MF18" s="78">
        <v>15918050.189999999</v>
      </c>
      <c r="MG18" s="78">
        <v>-3514050.6299999971</v>
      </c>
      <c r="MH18" s="78">
        <f>MF18+MG18</f>
        <v>12403999.560000002</v>
      </c>
      <c r="MI18" s="78">
        <v>0</v>
      </c>
      <c r="MJ18" s="78">
        <f>MH18+MI18</f>
        <v>12403999.560000002</v>
      </c>
      <c r="MK18" s="78"/>
      <c r="ML18" s="78">
        <f>MJ18+MK18</f>
        <v>12403999.560000002</v>
      </c>
      <c r="MM18" s="78"/>
      <c r="MN18" s="78">
        <f>ML18+MM18</f>
        <v>12403999.560000002</v>
      </c>
      <c r="MO18" s="78"/>
      <c r="MP18" s="78">
        <f>MN18+MO18</f>
        <v>12403999.560000002</v>
      </c>
      <c r="MQ18" s="78"/>
      <c r="MR18" s="78"/>
      <c r="MS18" s="78"/>
      <c r="MT18" s="78"/>
      <c r="MU18" s="22">
        <f>ROW()</f>
        <v>18</v>
      </c>
      <c r="MV18" s="555"/>
      <c r="MW18" s="78"/>
      <c r="MX18" s="78"/>
      <c r="MY18" s="638"/>
      <c r="MZ18" s="638"/>
      <c r="NA18" s="78"/>
      <c r="NB18" s="638"/>
      <c r="NC18" s="78"/>
      <c r="ND18" s="638"/>
      <c r="NE18" s="78"/>
      <c r="NF18" s="638"/>
      <c r="NG18" s="78"/>
      <c r="NH18" s="638"/>
      <c r="NI18" s="78"/>
      <c r="NJ18" s="78"/>
      <c r="NK18" s="78"/>
      <c r="NL18" s="78"/>
      <c r="NM18" s="22">
        <f>ROW()</f>
        <v>18</v>
      </c>
      <c r="NN18" s="639" t="s">
        <v>94</v>
      </c>
      <c r="NP18" s="550"/>
      <c r="NQ18" s="619"/>
      <c r="NR18" s="550"/>
      <c r="NS18" s="619"/>
      <c r="NT18" s="550"/>
      <c r="NU18" s="619"/>
      <c r="NV18" s="619">
        <f>'SEF-30 pg 1'!I30</f>
        <v>95633221.259433717</v>
      </c>
      <c r="NW18" s="640">
        <v>1073448.2126629353</v>
      </c>
      <c r="NX18" s="619">
        <f>NW18+NV18</f>
        <v>96706669.472096652</v>
      </c>
      <c r="NY18" s="640">
        <v>0</v>
      </c>
      <c r="NZ18" s="619">
        <f>NY18+NX18</f>
        <v>96706669.472096652</v>
      </c>
      <c r="OA18" s="641"/>
      <c r="OB18" s="641"/>
      <c r="OC18" s="641"/>
      <c r="OD18" s="641"/>
      <c r="OE18" s="482">
        <f>ROW()</f>
        <v>18</v>
      </c>
      <c r="OF18" s="78" t="s">
        <v>245</v>
      </c>
      <c r="OG18" s="78"/>
      <c r="OH18" s="67">
        <v>28770635.394200001</v>
      </c>
      <c r="OI18" s="67"/>
      <c r="OJ18" s="67">
        <v>28770635.394200001</v>
      </c>
      <c r="OK18" s="67">
        <f>OL18-OJ18</f>
        <v>-28770635.394200001</v>
      </c>
      <c r="OL18" s="67">
        <v>0</v>
      </c>
      <c r="OM18" s="642"/>
      <c r="ON18" s="67"/>
      <c r="OO18" s="642"/>
      <c r="OP18" s="642"/>
      <c r="OQ18" s="642"/>
      <c r="OR18" s="643"/>
      <c r="OS18" s="643"/>
      <c r="OT18" s="643"/>
      <c r="OU18" s="643"/>
      <c r="OV18" s="643"/>
      <c r="OW18" s="22">
        <f>ROW()</f>
        <v>18</v>
      </c>
      <c r="OX18" s="644" t="s">
        <v>246</v>
      </c>
      <c r="OY18" s="644"/>
      <c r="OZ18" s="624">
        <v>210258940.78</v>
      </c>
      <c r="PA18" s="624">
        <v>-135376217.45751399</v>
      </c>
      <c r="PB18" s="624">
        <f>SUM(OZ18:PA18)</f>
        <v>74882723.322486013</v>
      </c>
      <c r="PC18" s="624">
        <v>135376217.45751399</v>
      </c>
      <c r="PD18" s="600">
        <f>SUM(PB18:PC18)</f>
        <v>210258940.78</v>
      </c>
      <c r="PE18" s="624">
        <v>0</v>
      </c>
      <c r="PF18" s="646">
        <f>SUM(PD18:PE18)</f>
        <v>210258940.78</v>
      </c>
      <c r="PG18" s="624">
        <v>0</v>
      </c>
      <c r="PH18" s="647">
        <f>SUM(PF18:PG18)</f>
        <v>210258940.78</v>
      </c>
      <c r="PI18" s="624">
        <v>0</v>
      </c>
      <c r="PJ18" s="647">
        <f>SUM(PH18:PI18)</f>
        <v>210258940.78</v>
      </c>
      <c r="PK18" s="645">
        <v>0</v>
      </c>
      <c r="PL18" s="647">
        <f t="shared" ref="PL18:PL20" si="27">SUM(PJ18:PK18)</f>
        <v>210258940.78</v>
      </c>
      <c r="PM18" s="645">
        <v>0</v>
      </c>
      <c r="PN18" s="647">
        <f t="shared" ref="PN18:PN20" si="28">SUM(PL18:PM18)</f>
        <v>210258940.78</v>
      </c>
      <c r="PO18" s="7"/>
      <c r="PP18" s="7"/>
      <c r="PQ18" s="7"/>
      <c r="PR18" s="7"/>
      <c r="PS18" s="22">
        <f>ROW()</f>
        <v>18</v>
      </c>
      <c r="PT18" s="29" t="s">
        <v>247</v>
      </c>
      <c r="PU18" s="648"/>
      <c r="PV18" s="649">
        <f>PV17</f>
        <v>846674.35000000009</v>
      </c>
      <c r="PW18" s="649">
        <f>PW17</f>
        <v>53379.854342309758</v>
      </c>
      <c r="PX18" s="649">
        <f>PX17</f>
        <v>900054.20434230985</v>
      </c>
      <c r="PY18" s="649">
        <f>PY17</f>
        <v>-2720.4305089763366</v>
      </c>
      <c r="PZ18" s="649">
        <f>PZ17</f>
        <v>897333.77383333351</v>
      </c>
      <c r="QA18" s="649">
        <f t="shared" ref="QA18:QF18" si="29">QA17</f>
        <v>2723.7321666665375</v>
      </c>
      <c r="QB18" s="649">
        <f t="shared" si="29"/>
        <v>900057.50600000005</v>
      </c>
      <c r="QC18" s="649">
        <f t="shared" si="29"/>
        <v>-289207.72884027404</v>
      </c>
      <c r="QD18" s="649">
        <f t="shared" si="29"/>
        <v>610849.77715972601</v>
      </c>
      <c r="QE18" s="649">
        <f t="shared" si="29"/>
        <v>-495824.02999999997</v>
      </c>
      <c r="QF18" s="649">
        <f t="shared" si="29"/>
        <v>115025.74715972603</v>
      </c>
      <c r="QG18" s="649"/>
      <c r="QH18" s="649">
        <f>QH17</f>
        <v>115025.74715972603</v>
      </c>
      <c r="QI18" s="649"/>
      <c r="QJ18" s="649">
        <f>QJ17</f>
        <v>115025.74715972603</v>
      </c>
      <c r="QK18" s="22">
        <f>ROW()</f>
        <v>18</v>
      </c>
      <c r="QL18" s="520" t="s">
        <v>248</v>
      </c>
      <c r="QN18" s="568"/>
      <c r="QO18" s="568"/>
      <c r="QP18" s="568"/>
      <c r="QQ18" s="569"/>
      <c r="QR18" s="569"/>
      <c r="QS18" s="569"/>
      <c r="QT18" s="569"/>
      <c r="QU18" s="569"/>
      <c r="QV18" s="569"/>
      <c r="QW18" s="569"/>
      <c r="QX18" s="569"/>
      <c r="QY18" s="569"/>
      <c r="QZ18" s="569"/>
      <c r="RA18" s="569"/>
      <c r="RB18" s="569"/>
      <c r="RC18" s="22">
        <f>ROW()</f>
        <v>18</v>
      </c>
      <c r="RD18" s="102" t="s">
        <v>222</v>
      </c>
      <c r="RF18" s="568"/>
      <c r="RG18" s="568"/>
      <c r="RH18" s="39">
        <v>0</v>
      </c>
      <c r="RI18" s="39">
        <f t="shared" ref="RI18:RK20" si="30">RJ18-RH18</f>
        <v>0</v>
      </c>
      <c r="RJ18" s="39">
        <v>0</v>
      </c>
      <c r="RK18" s="39">
        <f t="shared" si="30"/>
        <v>0</v>
      </c>
      <c r="RL18" s="39">
        <v>0</v>
      </c>
      <c r="RM18" s="39">
        <f t="shared" ref="RM18:RO20" si="31">RN18-RL18</f>
        <v>0</v>
      </c>
      <c r="RN18" s="39">
        <v>0</v>
      </c>
      <c r="RO18" s="39">
        <f t="shared" si="31"/>
        <v>0</v>
      </c>
      <c r="RP18" s="39">
        <v>0</v>
      </c>
      <c r="RQ18" s="606"/>
      <c r="RR18" s="607"/>
      <c r="RS18" s="606">
        <f t="shared" ref="RS18:RS20" si="32">RT18-RR18</f>
        <v>0</v>
      </c>
      <c r="RT18" s="607"/>
      <c r="RU18" s="521">
        <f>ROW()</f>
        <v>18</v>
      </c>
      <c r="RV18" s="520" t="s">
        <v>244</v>
      </c>
      <c r="RW18" s="520"/>
      <c r="RX18" s="606"/>
      <c r="RY18" s="606"/>
      <c r="RZ18" s="606"/>
      <c r="SA18" s="74">
        <v>0</v>
      </c>
      <c r="SB18" s="74">
        <f t="shared" si="15"/>
        <v>0</v>
      </c>
      <c r="SC18" s="74">
        <v>0</v>
      </c>
      <c r="SD18" s="74">
        <f t="shared" si="15"/>
        <v>0</v>
      </c>
      <c r="SE18" s="74">
        <v>0</v>
      </c>
      <c r="SF18" s="74">
        <f t="shared" si="15"/>
        <v>0</v>
      </c>
      <c r="SG18" s="74">
        <v>0</v>
      </c>
      <c r="SH18" s="74">
        <f t="shared" si="15"/>
        <v>0</v>
      </c>
      <c r="SI18" s="607"/>
      <c r="SJ18" s="607">
        <f t="shared" si="15"/>
        <v>0</v>
      </c>
      <c r="SK18" s="607"/>
      <c r="SL18" s="607">
        <f t="shared" si="15"/>
        <v>0</v>
      </c>
      <c r="SM18" s="521">
        <f>ROW()</f>
        <v>18</v>
      </c>
      <c r="SN18" s="102" t="s">
        <v>244</v>
      </c>
      <c r="SO18" s="608"/>
      <c r="SP18" s="607"/>
      <c r="SQ18" s="607"/>
      <c r="SR18" s="607"/>
      <c r="SS18" s="39">
        <v>8963.83</v>
      </c>
      <c r="ST18" s="39">
        <f>SS18</f>
        <v>8963.83</v>
      </c>
      <c r="SU18" s="39">
        <v>1680364.9</v>
      </c>
      <c r="SV18" s="39">
        <f t="shared" si="16"/>
        <v>1689328.73</v>
      </c>
      <c r="SW18" s="39">
        <v>3366168.6299999994</v>
      </c>
      <c r="SX18" s="39">
        <f t="shared" si="16"/>
        <v>5055497.3599999994</v>
      </c>
      <c r="SY18" s="39">
        <v>768446.99000000022</v>
      </c>
      <c r="SZ18" s="39">
        <f t="shared" si="16"/>
        <v>5823944.3499999996</v>
      </c>
      <c r="TA18" s="606"/>
      <c r="TB18" s="606">
        <f t="shared" si="16"/>
        <v>5823944.3499999996</v>
      </c>
      <c r="TC18" s="607"/>
      <c r="TD18" s="606">
        <f t="shared" si="16"/>
        <v>5823944.3499999996</v>
      </c>
      <c r="TF18" s="521">
        <f>ROW()</f>
        <v>18</v>
      </c>
      <c r="TG18" s="650"/>
      <c r="TH18" s="610"/>
      <c r="TI18" s="651"/>
      <c r="TJ18" s="651"/>
      <c r="TK18" s="17"/>
      <c r="TL18" s="651"/>
      <c r="TM18" s="17"/>
      <c r="TN18" s="651"/>
      <c r="TO18" s="17"/>
      <c r="TP18" s="651"/>
      <c r="TQ18" s="17"/>
      <c r="TR18" s="651"/>
      <c r="TS18" s="17"/>
      <c r="TU18" s="521">
        <f>ROW()</f>
        <v>18</v>
      </c>
      <c r="TV18" s="575"/>
      <c r="TW18" s="575"/>
      <c r="TX18" s="575"/>
      <c r="TY18" s="575"/>
      <c r="TZ18" s="575"/>
      <c r="UA18" s="575"/>
      <c r="UB18" s="575"/>
      <c r="UC18" s="575"/>
      <c r="UD18" s="575"/>
      <c r="UE18" s="575"/>
      <c r="UF18" s="575"/>
      <c r="UG18" s="575"/>
      <c r="UH18" s="575"/>
      <c r="UJ18" s="22">
        <f>ROW()</f>
        <v>18</v>
      </c>
      <c r="UK18" s="349" t="s">
        <v>249</v>
      </c>
      <c r="UL18" s="652"/>
      <c r="UM18" s="653">
        <v>127874</v>
      </c>
      <c r="UN18" s="654">
        <v>-127874</v>
      </c>
      <c r="UO18" s="653">
        <f>UM18+UN18</f>
        <v>0</v>
      </c>
      <c r="UP18" s="653"/>
      <c r="UQ18" s="653">
        <f>UO18+UP18</f>
        <v>0</v>
      </c>
      <c r="UR18" s="653"/>
      <c r="US18" s="653">
        <f>UQ18+UR18</f>
        <v>0</v>
      </c>
      <c r="UT18" s="653">
        <v>138000</v>
      </c>
      <c r="UU18" s="653">
        <f>US18+UT18</f>
        <v>138000</v>
      </c>
      <c r="UV18" s="653"/>
      <c r="UW18" s="653">
        <f>UU18+UV18</f>
        <v>138000</v>
      </c>
      <c r="UY18" s="521">
        <f>ROW()</f>
        <v>18</v>
      </c>
      <c r="UZ18" s="522" t="s">
        <v>250</v>
      </c>
      <c r="VN18" s="521">
        <f>ROW()</f>
        <v>18</v>
      </c>
      <c r="VO18" s="655" t="s">
        <v>251</v>
      </c>
      <c r="VQ18" s="656">
        <f t="shared" ref="VQ18:WA18" si="33">SUM(VQ16:VQ16)</f>
        <v>0</v>
      </c>
      <c r="VR18" s="656">
        <f t="shared" si="33"/>
        <v>0</v>
      </c>
      <c r="VS18" s="656">
        <f t="shared" si="33"/>
        <v>0</v>
      </c>
      <c r="VT18" s="656">
        <f t="shared" si="33"/>
        <v>0</v>
      </c>
      <c r="VU18" s="656">
        <f t="shared" si="33"/>
        <v>0</v>
      </c>
      <c r="VV18" s="656">
        <f t="shared" si="33"/>
        <v>0</v>
      </c>
      <c r="VW18" s="656">
        <f t="shared" si="33"/>
        <v>0</v>
      </c>
      <c r="VX18" s="656">
        <f t="shared" si="33"/>
        <v>563096.68671530671</v>
      </c>
      <c r="VY18" s="656">
        <f t="shared" si="33"/>
        <v>563096.68671530671</v>
      </c>
      <c r="VZ18" s="656">
        <f t="shared" si="33"/>
        <v>19708.384035035502</v>
      </c>
      <c r="WA18" s="656">
        <f t="shared" si="33"/>
        <v>582805.07075034222</v>
      </c>
      <c r="WC18" s="521">
        <f>ROW()</f>
        <v>18</v>
      </c>
      <c r="WD18" s="655" t="s">
        <v>251</v>
      </c>
      <c r="WF18" s="656">
        <f t="shared" ref="WF18:WP18" si="34">SUM(WF16:WF16)</f>
        <v>0</v>
      </c>
      <c r="WG18" s="656">
        <f t="shared" si="34"/>
        <v>0</v>
      </c>
      <c r="WH18" s="656">
        <f t="shared" si="34"/>
        <v>0</v>
      </c>
      <c r="WI18" s="656">
        <f t="shared" si="34"/>
        <v>0</v>
      </c>
      <c r="WJ18" s="656">
        <f t="shared" si="34"/>
        <v>0</v>
      </c>
      <c r="WK18" s="656">
        <f t="shared" si="34"/>
        <v>0</v>
      </c>
      <c r="WL18" s="656">
        <f t="shared" si="34"/>
        <v>0</v>
      </c>
      <c r="WM18" s="657">
        <f t="shared" si="34"/>
        <v>2539368.3461099998</v>
      </c>
      <c r="WN18" s="657">
        <f t="shared" si="34"/>
        <v>2539368.3461099998</v>
      </c>
      <c r="WO18" s="657">
        <f t="shared" si="34"/>
        <v>1268961.0834900001</v>
      </c>
      <c r="WP18" s="657">
        <f t="shared" si="34"/>
        <v>3808329.4295999999</v>
      </c>
    </row>
    <row r="19" spans="1:614" ht="16.5" thickTop="1" x14ac:dyDescent="0.25">
      <c r="A19" s="22">
        <f>ROW()</f>
        <v>19</v>
      </c>
      <c r="B19" s="524" t="s">
        <v>252</v>
      </c>
      <c r="D19" s="618">
        <v>70646.040000000008</v>
      </c>
      <c r="E19" s="618">
        <f>-D19</f>
        <v>-70646.040000000008</v>
      </c>
      <c r="F19" s="618">
        <f t="shared" si="17"/>
        <v>0</v>
      </c>
      <c r="G19" s="618"/>
      <c r="H19" s="618">
        <f t="shared" si="17"/>
        <v>0</v>
      </c>
      <c r="I19" s="618"/>
      <c r="J19" s="618">
        <f t="shared" si="17"/>
        <v>0</v>
      </c>
      <c r="K19" s="618"/>
      <c r="L19" s="618">
        <f t="shared" si="17"/>
        <v>0</v>
      </c>
      <c r="M19" s="618"/>
      <c r="N19" s="618">
        <f t="shared" si="17"/>
        <v>0</v>
      </c>
      <c r="O19" s="618"/>
      <c r="P19" s="618">
        <f t="shared" si="18"/>
        <v>0</v>
      </c>
      <c r="Q19" s="618"/>
      <c r="R19" s="618">
        <f t="shared" si="19"/>
        <v>0</v>
      </c>
      <c r="S19" s="529">
        <f>ROW()</f>
        <v>19</v>
      </c>
      <c r="T19" s="580" t="s">
        <v>253</v>
      </c>
      <c r="U19" s="581"/>
      <c r="V19" s="620">
        <v>103489694.34</v>
      </c>
      <c r="W19" s="620">
        <f t="shared" si="10"/>
        <v>-103489694.34</v>
      </c>
      <c r="X19" s="74">
        <f t="shared" ref="X19:X29" si="35">+W19+V19</f>
        <v>0</v>
      </c>
      <c r="Z19" s="74">
        <f t="shared" ref="Z19:Z30" si="36">+Y19+X19</f>
        <v>0</v>
      </c>
      <c r="AB19" s="74">
        <f t="shared" ref="AB19:AB29" si="37">+AA19+Z19</f>
        <v>0</v>
      </c>
      <c r="AD19" s="74">
        <f t="shared" ref="AD19:AD29" si="38">+AC19+AB19</f>
        <v>0</v>
      </c>
      <c r="AF19" s="74">
        <f t="shared" ref="AF19:AF29" si="39">+AE19+AD19</f>
        <v>0</v>
      </c>
      <c r="AG19" s="20"/>
      <c r="AH19" s="42"/>
      <c r="AI19" s="20"/>
      <c r="AJ19" s="42"/>
      <c r="AK19" s="22">
        <f>ROW()</f>
        <v>19</v>
      </c>
      <c r="AL19" s="621"/>
      <c r="AM19" s="621"/>
      <c r="AN19" s="658"/>
      <c r="AO19" s="658"/>
      <c r="AP19" s="658"/>
      <c r="AQ19" s="658"/>
      <c r="AR19" s="658"/>
      <c r="AS19" s="658"/>
      <c r="AT19" s="658"/>
      <c r="AU19" s="658"/>
      <c r="AV19" s="658"/>
      <c r="AW19" s="658"/>
      <c r="AX19" s="658"/>
      <c r="AY19" s="658"/>
      <c r="AZ19" s="658"/>
      <c r="BA19" s="22">
        <f>ROW()</f>
        <v>19</v>
      </c>
      <c r="BB19" s="28" t="s">
        <v>254</v>
      </c>
      <c r="BD19" s="729">
        <v>0</v>
      </c>
      <c r="BE19" s="729">
        <v>0</v>
      </c>
      <c r="BF19" s="729">
        <f t="shared" si="0"/>
        <v>0</v>
      </c>
      <c r="BG19" s="729">
        <v>-618325.65652072802</v>
      </c>
      <c r="BH19" s="729"/>
      <c r="BI19" s="729">
        <v>-1471119.7971999946</v>
      </c>
      <c r="BJ19" s="729">
        <f t="shared" si="1"/>
        <v>-1471119.7971999946</v>
      </c>
      <c r="BK19" s="729">
        <v>1806.0361999971501</v>
      </c>
      <c r="BL19" s="729"/>
      <c r="BM19" s="729">
        <v>864.5797999985225</v>
      </c>
      <c r="BN19" s="586"/>
      <c r="BO19" s="585"/>
      <c r="BP19" s="586"/>
      <c r="BQ19" s="585"/>
      <c r="BR19" s="586"/>
      <c r="BS19" s="22">
        <f>ROW()</f>
        <v>19</v>
      </c>
      <c r="BT19" s="516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>
        <f>ROW()</f>
        <v>19</v>
      </c>
      <c r="CL19" s="28"/>
      <c r="CM19" s="603"/>
      <c r="CN19" s="659"/>
      <c r="CO19" s="659"/>
      <c r="CP19" s="659"/>
      <c r="CQ19" s="659"/>
      <c r="CR19" s="659"/>
      <c r="CT19" s="659"/>
      <c r="CV19" s="659"/>
      <c r="CX19" s="659"/>
      <c r="CY19" s="659"/>
      <c r="CZ19" s="659"/>
      <c r="DB19" s="659"/>
      <c r="DC19" s="22">
        <f>ROW()</f>
        <v>19</v>
      </c>
      <c r="DD19" s="28"/>
      <c r="DE19" s="28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22">
        <f>ROW()</f>
        <v>19</v>
      </c>
      <c r="DV19" s="541"/>
      <c r="DW19" s="541"/>
      <c r="DX19" s="78"/>
      <c r="DY19" s="42"/>
      <c r="DZ19" s="42"/>
      <c r="EA19" s="42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22">
        <f>ROW()</f>
        <v>19</v>
      </c>
      <c r="EN19" s="29" t="s">
        <v>255</v>
      </c>
      <c r="EO19" s="23"/>
      <c r="EP19" s="660">
        <f t="shared" ref="EP19:EZ19" si="40">SUM(EP17:EP18)</f>
        <v>34556701.661148004</v>
      </c>
      <c r="EQ19" s="660">
        <f t="shared" si="40"/>
        <v>-97566.589107999578</v>
      </c>
      <c r="ER19" s="660">
        <f t="shared" si="40"/>
        <v>34459135.072040007</v>
      </c>
      <c r="ES19" s="660">
        <f t="shared" si="40"/>
        <v>1454254.7754639965</v>
      </c>
      <c r="ET19" s="660">
        <f t="shared" si="40"/>
        <v>35913389.847504005</v>
      </c>
      <c r="EU19" s="660">
        <f>SUM(EU17:EU18)</f>
        <v>0</v>
      </c>
      <c r="EV19" s="660">
        <f t="shared" si="40"/>
        <v>35913389.847504005</v>
      </c>
      <c r="EW19" s="660">
        <f>SUM(EW17:EW18)</f>
        <v>0</v>
      </c>
      <c r="EX19" s="660">
        <f t="shared" si="40"/>
        <v>35913389.847504005</v>
      </c>
      <c r="EY19" s="660">
        <f>SUM(EY17:EY18)</f>
        <v>0</v>
      </c>
      <c r="EZ19" s="660">
        <f t="shared" si="40"/>
        <v>35913389.847504005</v>
      </c>
      <c r="FA19" s="660">
        <f>SUM(FA17:FA18)</f>
        <v>0</v>
      </c>
      <c r="FB19" s="660">
        <f>SUM(FB17:FB18)</f>
        <v>0</v>
      </c>
      <c r="FC19" s="660">
        <f>SUM(FC17:FC18)</f>
        <v>0</v>
      </c>
      <c r="FD19" s="660">
        <f>SUM(FD17:FD18)</f>
        <v>0</v>
      </c>
      <c r="FE19" s="22">
        <f>ROW()</f>
        <v>19</v>
      </c>
      <c r="FF19" s="661"/>
      <c r="FG19" s="661"/>
      <c r="FH19" s="591"/>
      <c r="FI19" s="591"/>
      <c r="FJ19" s="591"/>
      <c r="FK19" s="591" t="s">
        <v>144</v>
      </c>
      <c r="FL19" s="591"/>
      <c r="FM19" s="591" t="s">
        <v>144</v>
      </c>
      <c r="FN19" s="591"/>
      <c r="FO19" s="591" t="s">
        <v>144</v>
      </c>
      <c r="FP19" s="591"/>
      <c r="FQ19" s="591" t="s">
        <v>144</v>
      </c>
      <c r="FR19" s="591"/>
      <c r="FS19" s="591"/>
      <c r="FT19" s="591"/>
      <c r="FU19" s="591"/>
      <c r="FV19" s="591"/>
      <c r="FW19" s="22">
        <f>ROW()</f>
        <v>19</v>
      </c>
      <c r="FX19" s="592" t="s">
        <v>256</v>
      </c>
      <c r="FZ19" s="633">
        <v>942821.23649095744</v>
      </c>
      <c r="GA19" s="633">
        <v>-330553.4827754593</v>
      </c>
      <c r="GB19" s="633">
        <f t="shared" ref="GB19:GB24" si="41">SUM(FZ19:GA19)</f>
        <v>612267.75371549814</v>
      </c>
      <c r="GC19" s="633">
        <v>77980.945734437671</v>
      </c>
      <c r="GD19" s="633">
        <f t="shared" ref="GD19:GD24" si="42">SUM(GB19:GC19)</f>
        <v>690248.69944993581</v>
      </c>
      <c r="GE19" s="633">
        <v>32443.593268770142</v>
      </c>
      <c r="GF19" s="633">
        <f t="shared" ref="GF19:GF24" si="43">SUM(GD19:GE19)</f>
        <v>722692.29271870595</v>
      </c>
      <c r="GG19" s="633">
        <v>152762.08082274965</v>
      </c>
      <c r="GH19" s="633">
        <f t="shared" ref="GH19:GH24" si="44">SUM(GF19:GG19)</f>
        <v>875454.3735414556</v>
      </c>
      <c r="GI19" s="633">
        <v>504.5588854966918</v>
      </c>
      <c r="GJ19" s="633">
        <f t="shared" ref="GJ19:GN24" si="45">SUM(GH19:GI19)</f>
        <v>875958.93242695229</v>
      </c>
      <c r="GK19" s="628"/>
      <c r="GL19" s="633">
        <f t="shared" si="45"/>
        <v>875958.93242695229</v>
      </c>
      <c r="GM19" s="628"/>
      <c r="GN19" s="633">
        <f t="shared" si="45"/>
        <v>875958.93242695229</v>
      </c>
      <c r="GO19" s="22">
        <f>ROW()</f>
        <v>19</v>
      </c>
      <c r="GP19" s="20"/>
      <c r="GQ19" s="662"/>
      <c r="GR19" s="51"/>
      <c r="GS19" s="51"/>
      <c r="GT19" s="553"/>
      <c r="GU19" s="51"/>
      <c r="GV19" s="553"/>
      <c r="GW19" s="51"/>
      <c r="GX19" s="553"/>
      <c r="GY19" s="51"/>
      <c r="GZ19" s="553"/>
      <c r="HA19" s="51"/>
      <c r="HB19" s="553"/>
      <c r="HC19" s="553"/>
      <c r="HD19" s="553"/>
      <c r="HE19" s="51"/>
      <c r="HF19" s="553"/>
      <c r="HG19" s="30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22">
        <f>ROW()</f>
        <v>19</v>
      </c>
      <c r="HZ19" s="550" t="s">
        <v>257</v>
      </c>
      <c r="IB19" s="550"/>
      <c r="IC19" s="550"/>
      <c r="ID19" s="550">
        <f t="shared" si="11"/>
        <v>0</v>
      </c>
      <c r="IE19" s="550"/>
      <c r="IF19" s="550">
        <f t="shared" si="11"/>
        <v>0</v>
      </c>
      <c r="IG19" s="550"/>
      <c r="IH19" s="550">
        <f t="shared" si="11"/>
        <v>0</v>
      </c>
      <c r="II19" s="550"/>
      <c r="IJ19" s="550">
        <f t="shared" si="11"/>
        <v>0</v>
      </c>
      <c r="IK19" s="550"/>
      <c r="IL19" s="550">
        <f t="shared" si="11"/>
        <v>0</v>
      </c>
      <c r="IM19" s="550"/>
      <c r="IN19" s="550">
        <f t="shared" si="11"/>
        <v>0</v>
      </c>
      <c r="IO19" s="550"/>
      <c r="IP19" s="550">
        <f t="shared" si="11"/>
        <v>0</v>
      </c>
      <c r="IQ19" s="22">
        <f>ROW()</f>
        <v>19</v>
      </c>
      <c r="IR19" s="516" t="s">
        <v>258</v>
      </c>
      <c r="IS19" s="29"/>
      <c r="IT19" s="663">
        <f t="shared" ref="IT19:JG19" si="46">SUM(IT17:IT18)</f>
        <v>-2092969.73</v>
      </c>
      <c r="IU19" s="663">
        <f t="shared" si="46"/>
        <v>1470046.73</v>
      </c>
      <c r="IV19" s="663">
        <f t="shared" si="46"/>
        <v>-622923</v>
      </c>
      <c r="IW19" s="663">
        <f t="shared" si="46"/>
        <v>0</v>
      </c>
      <c r="IX19" s="663">
        <f t="shared" si="46"/>
        <v>-622923</v>
      </c>
      <c r="IY19" s="663">
        <f t="shared" si="46"/>
        <v>0</v>
      </c>
      <c r="IZ19" s="663">
        <f t="shared" si="46"/>
        <v>-622923</v>
      </c>
      <c r="JA19" s="663">
        <f t="shared" si="46"/>
        <v>-20379.006666666828</v>
      </c>
      <c r="JB19" s="663">
        <f t="shared" si="46"/>
        <v>-643302.00666666683</v>
      </c>
      <c r="JC19" s="663">
        <f t="shared" si="46"/>
        <v>0</v>
      </c>
      <c r="JD19" s="663">
        <f t="shared" si="46"/>
        <v>-643302.00666666683</v>
      </c>
      <c r="JE19" s="663">
        <f t="shared" si="46"/>
        <v>0</v>
      </c>
      <c r="JF19" s="663">
        <f>SUM(JF17:JF18)</f>
        <v>-643302.00666666683</v>
      </c>
      <c r="JG19" s="663">
        <f t="shared" si="46"/>
        <v>0</v>
      </c>
      <c r="JH19" s="663">
        <f>SUM(JH17:JH18)</f>
        <v>-643302.00666666683</v>
      </c>
      <c r="JI19" s="22">
        <f>ROW()</f>
        <v>19</v>
      </c>
      <c r="JJ19" s="480"/>
      <c r="JK19" s="28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2">
        <f>ROW()</f>
        <v>19</v>
      </c>
      <c r="KB19" s="28" t="s">
        <v>259</v>
      </c>
      <c r="KC19" s="56">
        <v>0.21</v>
      </c>
      <c r="KD19" s="630">
        <f t="shared" ref="KD19:KR19" si="47">-KD17*$KC$19</f>
        <v>-494806.72870912001</v>
      </c>
      <c r="KE19" s="630">
        <f t="shared" si="47"/>
        <v>-780582.20625151973</v>
      </c>
      <c r="KF19" s="630">
        <f t="shared" si="47"/>
        <v>-1275388.9349606398</v>
      </c>
      <c r="KG19" s="630">
        <f t="shared" si="47"/>
        <v>0</v>
      </c>
      <c r="KH19" s="630">
        <f t="shared" si="47"/>
        <v>-1275388.9349606398</v>
      </c>
      <c r="KI19" s="630">
        <f t="shared" si="47"/>
        <v>0</v>
      </c>
      <c r="KJ19" s="630">
        <f t="shared" si="47"/>
        <v>-1275388.9349606398</v>
      </c>
      <c r="KK19" s="630">
        <f t="shared" si="47"/>
        <v>0</v>
      </c>
      <c r="KL19" s="630">
        <f t="shared" si="47"/>
        <v>-1275388.9349606398</v>
      </c>
      <c r="KM19" s="630">
        <f t="shared" si="47"/>
        <v>0</v>
      </c>
      <c r="KN19" s="630">
        <f t="shared" si="47"/>
        <v>-1275388.9349606398</v>
      </c>
      <c r="KO19" s="630">
        <f t="shared" si="47"/>
        <v>0</v>
      </c>
      <c r="KP19" s="630">
        <f t="shared" si="47"/>
        <v>0</v>
      </c>
      <c r="KQ19" s="630">
        <f t="shared" si="47"/>
        <v>0</v>
      </c>
      <c r="KR19" s="630">
        <f t="shared" si="47"/>
        <v>0</v>
      </c>
      <c r="KS19" s="22">
        <f>ROW()</f>
        <v>19</v>
      </c>
      <c r="KT19" s="598" t="s">
        <v>256</v>
      </c>
      <c r="KU19" s="480"/>
      <c r="KV19" s="74">
        <v>11753566.28397432</v>
      </c>
      <c r="KW19" s="74">
        <v>738146.35846232809</v>
      </c>
      <c r="KX19" s="637">
        <f t="shared" ref="KX19:KX24" si="48">SUM(KV19:KW19)</f>
        <v>12491712.642436648</v>
      </c>
      <c r="KY19" s="637">
        <v>0</v>
      </c>
      <c r="KZ19" s="637">
        <f t="shared" ref="KZ19:KZ24" si="49">SUM(KX19:KY19)</f>
        <v>12491712.642436648</v>
      </c>
      <c r="LA19" s="637">
        <v>0</v>
      </c>
      <c r="LB19" s="637">
        <f t="shared" si="26"/>
        <v>12491712.642436648</v>
      </c>
      <c r="LC19" s="637"/>
      <c r="LD19" s="637">
        <f t="shared" si="26"/>
        <v>12491712.642436648</v>
      </c>
      <c r="LE19" s="637"/>
      <c r="LF19" s="637">
        <f t="shared" si="26"/>
        <v>12491712.642436648</v>
      </c>
      <c r="LG19" s="637"/>
      <c r="LH19" s="637"/>
      <c r="LI19" s="637"/>
      <c r="LJ19" s="637">
        <f t="shared" si="26"/>
        <v>0</v>
      </c>
      <c r="LK19" s="22">
        <f>ROW()</f>
        <v>19</v>
      </c>
      <c r="LL19" s="23" t="s">
        <v>148</v>
      </c>
      <c r="LN19" s="724">
        <v>-1224323796.5601618</v>
      </c>
      <c r="LO19" s="724">
        <v>30080211.22532177</v>
      </c>
      <c r="LP19" s="50">
        <f t="shared" si="4"/>
        <v>-1194243585.3348401</v>
      </c>
      <c r="LQ19" s="78">
        <v>0</v>
      </c>
      <c r="LR19" s="50">
        <f t="shared" si="5"/>
        <v>-1194243585.3348401</v>
      </c>
      <c r="LS19" s="78">
        <v>0</v>
      </c>
      <c r="LT19" s="50">
        <f t="shared" si="6"/>
        <v>-1194243585.3348401</v>
      </c>
      <c r="LU19" s="78">
        <v>0</v>
      </c>
      <c r="LV19" s="50">
        <f t="shared" si="7"/>
        <v>-1194243585.3348401</v>
      </c>
      <c r="LW19" s="78">
        <v>0</v>
      </c>
      <c r="LX19" s="50">
        <f t="shared" si="8"/>
        <v>-1194243585.3348401</v>
      </c>
      <c r="LY19" s="78">
        <v>0</v>
      </c>
      <c r="LZ19" s="50"/>
      <c r="MA19" s="78">
        <v>0</v>
      </c>
      <c r="MB19" s="50">
        <f t="shared" si="9"/>
        <v>0</v>
      </c>
      <c r="MC19" s="22">
        <f>ROW()</f>
        <v>19</v>
      </c>
      <c r="MD19" s="555" t="s">
        <v>260</v>
      </c>
      <c r="MF19" s="78">
        <v>47872207.880419999</v>
      </c>
      <c r="MG19" s="651">
        <v>-7024539.9507745057</v>
      </c>
      <c r="MH19" s="78">
        <f>MF19+MG19</f>
        <v>40847667.929645494</v>
      </c>
      <c r="MI19" s="78">
        <v>0</v>
      </c>
      <c r="MJ19" s="78">
        <f>MH19+MI19</f>
        <v>40847667.929645494</v>
      </c>
      <c r="MK19" s="78"/>
      <c r="ML19" s="78">
        <f>MJ19+MK19</f>
        <v>40847667.929645494</v>
      </c>
      <c r="MM19" s="78"/>
      <c r="MN19" s="78">
        <f>ML19+MM19</f>
        <v>40847667.929645494</v>
      </c>
      <c r="MO19" s="78"/>
      <c r="MP19" s="78">
        <f>MN19+MO19</f>
        <v>40847667.929645494</v>
      </c>
      <c r="MQ19" s="78"/>
      <c r="MR19" s="78"/>
      <c r="MS19" s="78"/>
      <c r="MT19" s="78"/>
      <c r="MU19" s="22">
        <f>ROW()</f>
        <v>19</v>
      </c>
      <c r="MV19" s="555" t="s">
        <v>261</v>
      </c>
      <c r="MW19" s="78"/>
      <c r="MX19" s="78">
        <f>MX17</f>
        <v>10777556.530000001</v>
      </c>
      <c r="MY19" s="638">
        <f>MY17</f>
        <v>3053609.7263499983</v>
      </c>
      <c r="MZ19" s="638">
        <f>SUM(MX19:MY19)</f>
        <v>13831166.256349999</v>
      </c>
      <c r="NA19" s="78">
        <f>NA17</f>
        <v>0</v>
      </c>
      <c r="NB19" s="638">
        <f>SUM(MZ19:NA19)</f>
        <v>13831166.256349999</v>
      </c>
      <c r="NC19" s="78">
        <f>NC17</f>
        <v>0</v>
      </c>
      <c r="ND19" s="638">
        <f>SUM(NB19:NC19)</f>
        <v>13831166.256349999</v>
      </c>
      <c r="NE19" s="78">
        <f>NE17</f>
        <v>0</v>
      </c>
      <c r="NF19" s="638">
        <f>SUM(ND19:NE19)</f>
        <v>13831166.256349999</v>
      </c>
      <c r="NG19" s="78">
        <f t="shared" ref="NG19:NL19" si="50">NG17</f>
        <v>0</v>
      </c>
      <c r="NH19" s="638">
        <f t="shared" si="50"/>
        <v>13831166.256349999</v>
      </c>
      <c r="NI19" s="78">
        <f t="shared" si="50"/>
        <v>0</v>
      </c>
      <c r="NJ19" s="78">
        <f t="shared" si="50"/>
        <v>0</v>
      </c>
      <c r="NK19" s="78">
        <f t="shared" si="50"/>
        <v>0</v>
      </c>
      <c r="NL19" s="78">
        <f t="shared" si="50"/>
        <v>0</v>
      </c>
      <c r="NM19" s="22">
        <f>ROW()</f>
        <v>19</v>
      </c>
      <c r="NN19" s="28" t="s">
        <v>95</v>
      </c>
      <c r="NP19" s="550"/>
      <c r="NQ19" s="619"/>
      <c r="NR19" s="550"/>
      <c r="NS19" s="619"/>
      <c r="NT19" s="550"/>
      <c r="NU19" s="619"/>
      <c r="NV19" s="619">
        <f>'SEF-30 pg 1'!I31</f>
        <v>26131080.194690075</v>
      </c>
      <c r="NW19" s="640">
        <v>5671311.7791084088</v>
      </c>
      <c r="NX19" s="619">
        <f t="shared" ref="NX19:NX24" si="51">NW19+NV19</f>
        <v>31802391.973798484</v>
      </c>
      <c r="NY19" s="640">
        <v>4098306.9804259613</v>
      </c>
      <c r="NZ19" s="619">
        <f t="shared" ref="NZ19:NZ24" si="52">NY19+NX19</f>
        <v>35900698.954224445</v>
      </c>
      <c r="OA19" s="641"/>
      <c r="OB19" s="641"/>
      <c r="OC19" s="641"/>
      <c r="OD19" s="641"/>
      <c r="OE19" s="482">
        <f>ROW()</f>
        <v>19</v>
      </c>
      <c r="OF19" s="78" t="s">
        <v>262</v>
      </c>
      <c r="OG19" s="78"/>
      <c r="OH19" s="647">
        <v>52057610.180075027</v>
      </c>
      <c r="OI19" s="647"/>
      <c r="OJ19" s="647">
        <v>52057610.180075027</v>
      </c>
      <c r="OK19" s="647">
        <f>OL19-OJ19</f>
        <v>-52057610.180075027</v>
      </c>
      <c r="OL19" s="647">
        <v>0</v>
      </c>
      <c r="OM19" s="664"/>
      <c r="ON19" s="664"/>
      <c r="OO19" s="664"/>
      <c r="OP19" s="664"/>
      <c r="OQ19" s="664"/>
      <c r="OR19" s="665"/>
      <c r="OS19" s="664">
        <f>OT19-OR19</f>
        <v>0</v>
      </c>
      <c r="OT19" s="665"/>
      <c r="OU19" s="664">
        <f>OV19-OT19</f>
        <v>0</v>
      </c>
      <c r="OV19" s="665"/>
      <c r="OW19" s="22">
        <f>ROW()</f>
        <v>19</v>
      </c>
      <c r="OX19" s="644" t="s">
        <v>263</v>
      </c>
      <c r="OY19" s="644"/>
      <c r="OZ19" s="63">
        <v>40542551.012809999</v>
      </c>
      <c r="PA19" s="63">
        <v>-26103513.990091357</v>
      </c>
      <c r="PB19" s="63">
        <f t="shared" ref="PB19:PJ20" si="53">SUM(OZ19:PA19)</f>
        <v>14439037.022718642</v>
      </c>
      <c r="PC19" s="63">
        <v>26103513.990091357</v>
      </c>
      <c r="PD19" s="600">
        <f t="shared" si="53"/>
        <v>40542551.012809999</v>
      </c>
      <c r="PE19" s="63">
        <v>0</v>
      </c>
      <c r="PF19" s="646">
        <f t="shared" si="53"/>
        <v>40542551.012809999</v>
      </c>
      <c r="PG19" s="63">
        <v>0</v>
      </c>
      <c r="PH19" s="667">
        <f t="shared" si="53"/>
        <v>40542551.012809999</v>
      </c>
      <c r="PI19" s="63">
        <v>0</v>
      </c>
      <c r="PJ19" s="667">
        <f t="shared" si="53"/>
        <v>40542551.012809999</v>
      </c>
      <c r="PK19" s="666">
        <v>0</v>
      </c>
      <c r="PL19" s="667">
        <f t="shared" si="27"/>
        <v>40542551.012809999</v>
      </c>
      <c r="PM19" s="666">
        <v>0</v>
      </c>
      <c r="PN19" s="667">
        <f t="shared" si="28"/>
        <v>40542551.012809999</v>
      </c>
      <c r="PO19" s="7"/>
      <c r="PP19" s="7"/>
      <c r="PQ19" s="7"/>
      <c r="PR19" s="7"/>
      <c r="PS19" s="22">
        <f>ROW()</f>
        <v>19</v>
      </c>
      <c r="PU19" s="516"/>
      <c r="PV19" s="516"/>
      <c r="PW19" s="516"/>
      <c r="PX19" s="668"/>
      <c r="PY19" s="668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22">
        <f>ROW()</f>
        <v>19</v>
      </c>
      <c r="QL19" s="102" t="s">
        <v>264</v>
      </c>
      <c r="QN19" s="287"/>
      <c r="QO19" s="287"/>
      <c r="QP19" s="607">
        <f>QN19+QO19</f>
        <v>0</v>
      </c>
      <c r="QQ19" s="607">
        <v>-16261754.541388333</v>
      </c>
      <c r="QR19" s="607">
        <f>QP19+QQ19</f>
        <v>-16261754.541388333</v>
      </c>
      <c r="QS19" s="607">
        <v>-97245889.008528307</v>
      </c>
      <c r="QT19" s="607">
        <f>QR19+QS19</f>
        <v>-113507643.54991664</v>
      </c>
      <c r="QU19" s="607">
        <v>-27191779.974732563</v>
      </c>
      <c r="QV19" s="607">
        <f>QT19+QU19</f>
        <v>-140699423.5246492</v>
      </c>
      <c r="QW19" s="607">
        <v>-510023142.39473385</v>
      </c>
      <c r="QX19" s="607">
        <f>QV19+QW19</f>
        <v>-650722565.91938305</v>
      </c>
      <c r="QY19" s="607"/>
      <c r="QZ19" s="607"/>
      <c r="RA19" s="607"/>
      <c r="RB19" s="607">
        <f>QZ19+RA19</f>
        <v>0</v>
      </c>
      <c r="RC19" s="22">
        <f>ROW()</f>
        <v>19</v>
      </c>
      <c r="RD19" s="102" t="s">
        <v>244</v>
      </c>
      <c r="RF19" s="568"/>
      <c r="RG19" s="568"/>
      <c r="RH19" s="39">
        <v>53251667.489645496</v>
      </c>
      <c r="RI19" s="39">
        <f t="shared" si="30"/>
        <v>-31809.370972745121</v>
      </c>
      <c r="RJ19" s="39">
        <v>53219858.118672751</v>
      </c>
      <c r="RK19" s="39">
        <f t="shared" si="30"/>
        <v>-4040918.7522380129</v>
      </c>
      <c r="RL19" s="39">
        <v>49178939.366434738</v>
      </c>
      <c r="RM19" s="39">
        <f t="shared" si="31"/>
        <v>-6160680.0980048627</v>
      </c>
      <c r="RN19" s="39">
        <v>43018259.268429875</v>
      </c>
      <c r="RO19" s="39">
        <f t="shared" si="31"/>
        <v>-8400529.4607799351</v>
      </c>
      <c r="RP19" s="39">
        <v>34617729.80764994</v>
      </c>
      <c r="RQ19" s="606"/>
      <c r="RR19" s="607"/>
      <c r="RS19" s="606">
        <f t="shared" si="32"/>
        <v>0</v>
      </c>
      <c r="RT19" s="607"/>
      <c r="RU19" s="521">
        <f>ROW()</f>
        <v>19</v>
      </c>
      <c r="RV19" s="520" t="s">
        <v>260</v>
      </c>
      <c r="RW19" s="520"/>
      <c r="RX19" s="669"/>
      <c r="RY19" s="669"/>
      <c r="RZ19" s="669"/>
      <c r="SA19" s="739">
        <v>0</v>
      </c>
      <c r="SB19" s="739">
        <f t="shared" si="15"/>
        <v>0</v>
      </c>
      <c r="SC19" s="739">
        <v>0</v>
      </c>
      <c r="SD19" s="739">
        <f t="shared" si="15"/>
        <v>0</v>
      </c>
      <c r="SE19" s="739">
        <v>0</v>
      </c>
      <c r="SF19" s="739">
        <f t="shared" si="15"/>
        <v>0</v>
      </c>
      <c r="SG19" s="739">
        <v>0</v>
      </c>
      <c r="SH19" s="739">
        <f t="shared" si="15"/>
        <v>0</v>
      </c>
      <c r="SI19" s="671"/>
      <c r="SJ19" s="671">
        <f t="shared" si="15"/>
        <v>0</v>
      </c>
      <c r="SK19" s="671"/>
      <c r="SL19" s="671">
        <f t="shared" si="15"/>
        <v>0</v>
      </c>
      <c r="SM19" s="521">
        <f>ROW()</f>
        <v>19</v>
      </c>
      <c r="SN19" s="102" t="s">
        <v>260</v>
      </c>
      <c r="SO19" s="608"/>
      <c r="SP19" s="671"/>
      <c r="SQ19" s="671"/>
      <c r="SR19" s="671"/>
      <c r="SS19" s="745">
        <v>352073.69274000003</v>
      </c>
      <c r="ST19" s="745">
        <f>SS19</f>
        <v>352073.69274000003</v>
      </c>
      <c r="SU19" s="745">
        <v>4676546.0449399995</v>
      </c>
      <c r="SV19" s="745">
        <f t="shared" si="16"/>
        <v>5028619.7376799993</v>
      </c>
      <c r="SW19" s="745">
        <v>2992614.5091150012</v>
      </c>
      <c r="SX19" s="745">
        <f t="shared" si="16"/>
        <v>8021234.2467950005</v>
      </c>
      <c r="SY19" s="745">
        <v>6384846.3043749984</v>
      </c>
      <c r="SZ19" s="745">
        <f t="shared" si="16"/>
        <v>14406080.551169999</v>
      </c>
      <c r="TA19" s="669"/>
      <c r="TB19" s="669">
        <f t="shared" si="16"/>
        <v>14406080.551169999</v>
      </c>
      <c r="TC19" s="671"/>
      <c r="TD19" s="669">
        <f t="shared" si="16"/>
        <v>14406080.551169999</v>
      </c>
      <c r="TF19" s="521">
        <f>ROW()</f>
        <v>19</v>
      </c>
      <c r="TG19" s="477" t="s">
        <v>265</v>
      </c>
      <c r="TH19" s="610"/>
      <c r="TI19" s="78">
        <f>SUM(TI17:TI18)</f>
        <v>42710.67</v>
      </c>
      <c r="TJ19" s="78">
        <f>SUM(TJ17:TJ18)</f>
        <v>-42710.67</v>
      </c>
      <c r="TK19" s="1"/>
      <c r="TL19" s="78">
        <f>SUM(TL17:TL18)</f>
        <v>0</v>
      </c>
      <c r="TM19" s="1"/>
      <c r="TN19" s="78">
        <f>SUM(TN17:TN18)</f>
        <v>0</v>
      </c>
      <c r="TO19" s="1"/>
      <c r="TP19" s="78">
        <f>SUM(TP17:TP18)</f>
        <v>0</v>
      </c>
      <c r="TQ19" s="1"/>
      <c r="TR19" s="78">
        <f>SUM(TR17:TR18)</f>
        <v>0</v>
      </c>
      <c r="TS19" s="1"/>
      <c r="TU19" s="521">
        <f>ROW()</f>
        <v>19</v>
      </c>
      <c r="TV19" s="575"/>
      <c r="TW19" s="575"/>
      <c r="TX19" s="575"/>
      <c r="TY19" s="575"/>
      <c r="TZ19" s="575"/>
      <c r="UA19" s="575"/>
      <c r="UB19" s="575"/>
      <c r="UC19" s="575"/>
      <c r="UD19" s="575"/>
      <c r="UE19" s="575"/>
      <c r="UF19" s="575"/>
      <c r="UG19" s="575"/>
      <c r="UH19" s="575"/>
      <c r="UJ19" s="22">
        <f>ROW()</f>
        <v>19</v>
      </c>
      <c r="UK19" s="349"/>
      <c r="UL19" s="652"/>
      <c r="UM19" s="672"/>
      <c r="UN19" s="673"/>
      <c r="UO19" s="674"/>
      <c r="UP19" s="674"/>
      <c r="UQ19" s="674"/>
      <c r="UR19" s="674"/>
      <c r="US19" s="674"/>
      <c r="UT19" s="674"/>
      <c r="UU19" s="674"/>
      <c r="UV19" s="674"/>
      <c r="UW19" s="674"/>
      <c r="UY19" s="521">
        <f>ROW()</f>
        <v>19</v>
      </c>
      <c r="UZ19" s="102" t="s">
        <v>206</v>
      </c>
      <c r="VE19" s="571">
        <f>VF19-VD16</f>
        <v>3657784.8000000003</v>
      </c>
      <c r="VF19" s="571">
        <v>3657784.8000000003</v>
      </c>
      <c r="VG19" s="571">
        <f>VH19-VF19</f>
        <v>11342215.199999901</v>
      </c>
      <c r="VH19" s="571">
        <v>14999999.999999901</v>
      </c>
      <c r="VI19" s="312">
        <f>VJ19-VH19</f>
        <v>0</v>
      </c>
      <c r="VJ19" s="312">
        <v>14999999.999999903</v>
      </c>
      <c r="VK19" s="312">
        <f>VL19-VJ19</f>
        <v>0</v>
      </c>
      <c r="VL19" s="312">
        <v>14999999.999999903</v>
      </c>
      <c r="VN19" s="521">
        <f>ROW()</f>
        <v>19</v>
      </c>
      <c r="VO19" s="655"/>
      <c r="VQ19" s="675"/>
      <c r="VR19" s="675"/>
      <c r="VS19" s="675"/>
      <c r="VT19" s="675"/>
      <c r="VU19" s="675"/>
      <c r="VV19" s="675"/>
      <c r="VW19" s="675"/>
      <c r="VX19" s="675"/>
      <c r="VY19" s="675"/>
      <c r="VZ19" s="675"/>
      <c r="WA19" s="675"/>
      <c r="WC19" s="521">
        <f>ROW()</f>
        <v>19</v>
      </c>
      <c r="WD19" s="655"/>
      <c r="WF19" s="675"/>
      <c r="WG19" s="675"/>
      <c r="WH19" s="675"/>
      <c r="WI19" s="675"/>
      <c r="WJ19" s="675"/>
      <c r="WK19" s="675"/>
      <c r="WL19" s="675"/>
      <c r="WM19" s="676"/>
      <c r="WN19" s="676"/>
      <c r="WO19" s="676"/>
      <c r="WP19" s="676"/>
    </row>
    <row r="20" spans="1:614" ht="16.5" thickBot="1" x14ac:dyDescent="0.3">
      <c r="A20" s="22">
        <f>ROW()</f>
        <v>20</v>
      </c>
      <c r="B20" s="617" t="s">
        <v>266</v>
      </c>
      <c r="C20" s="23"/>
      <c r="D20" s="618"/>
      <c r="E20" s="618"/>
      <c r="F20" s="618">
        <f t="shared" si="17"/>
        <v>0</v>
      </c>
      <c r="G20" s="619"/>
      <c r="H20" s="618">
        <f t="shared" si="17"/>
        <v>0</v>
      </c>
      <c r="I20" s="677"/>
      <c r="J20" s="618">
        <f t="shared" si="17"/>
        <v>0</v>
      </c>
      <c r="K20" s="677"/>
      <c r="L20" s="618">
        <f t="shared" si="17"/>
        <v>0</v>
      </c>
      <c r="M20" s="677"/>
      <c r="N20" s="618">
        <f t="shared" si="17"/>
        <v>0</v>
      </c>
      <c r="O20" s="677"/>
      <c r="P20" s="618">
        <f t="shared" si="18"/>
        <v>0</v>
      </c>
      <c r="Q20" s="677"/>
      <c r="R20" s="618">
        <f t="shared" si="19"/>
        <v>0</v>
      </c>
      <c r="S20" s="529">
        <f>ROW()</f>
        <v>20</v>
      </c>
      <c r="T20" s="580" t="s">
        <v>267</v>
      </c>
      <c r="U20" s="581"/>
      <c r="V20" s="620">
        <v>0</v>
      </c>
      <c r="W20" s="620">
        <f t="shared" si="10"/>
        <v>0</v>
      </c>
      <c r="X20" s="74">
        <f t="shared" si="35"/>
        <v>0</v>
      </c>
      <c r="Z20" s="74">
        <f t="shared" si="36"/>
        <v>0</v>
      </c>
      <c r="AB20" s="74">
        <f t="shared" si="37"/>
        <v>0</v>
      </c>
      <c r="AD20" s="74">
        <f t="shared" si="38"/>
        <v>0</v>
      </c>
      <c r="AF20" s="74">
        <f t="shared" si="39"/>
        <v>0</v>
      </c>
      <c r="AG20" s="20"/>
      <c r="AH20" s="42"/>
      <c r="AI20" s="20"/>
      <c r="AJ20" s="42"/>
      <c r="AK20" s="22">
        <f>ROW()</f>
        <v>20</v>
      </c>
      <c r="AL20" s="532" t="s">
        <v>268</v>
      </c>
      <c r="AM20" s="621"/>
      <c r="AN20" s="95">
        <f>AN16*AN18</f>
        <v>2489411430.2151451</v>
      </c>
      <c r="AO20" s="95">
        <v>-60863048</v>
      </c>
      <c r="AP20" s="678">
        <f>SUM(AN20:AO20)</f>
        <v>2428548382.2151451</v>
      </c>
      <c r="AQ20" s="51"/>
      <c r="AR20" s="538"/>
      <c r="AS20" s="538">
        <v>0</v>
      </c>
      <c r="AT20" s="538">
        <f>SUM(AR20:AS20)</f>
        <v>0</v>
      </c>
      <c r="AU20" s="538">
        <v>0</v>
      </c>
      <c r="AV20" s="538">
        <f>SUM(AT20:AU20)</f>
        <v>0</v>
      </c>
      <c r="AW20" s="538">
        <v>0</v>
      </c>
      <c r="AX20" s="538">
        <f>SUM(AV20:AW20)</f>
        <v>0</v>
      </c>
      <c r="AY20" s="538"/>
      <c r="AZ20" s="538"/>
      <c r="BA20" s="22">
        <f>ROW()</f>
        <v>20</v>
      </c>
      <c r="BB20" s="28" t="s">
        <v>269</v>
      </c>
      <c r="BD20" s="729">
        <v>0</v>
      </c>
      <c r="BE20" s="729">
        <v>-20256855.516589999</v>
      </c>
      <c r="BF20" s="729">
        <f t="shared" si="0"/>
        <v>-20256855.516589999</v>
      </c>
      <c r="BG20" s="729">
        <v>-2882650.8558890298</v>
      </c>
      <c r="BH20" s="729">
        <f>SUM(BF20:BG20)</f>
        <v>-23139506.372479029</v>
      </c>
      <c r="BI20" s="729">
        <v>2771283.0283784568</v>
      </c>
      <c r="BJ20" s="729">
        <f t="shared" si="1"/>
        <v>-20368223.344100572</v>
      </c>
      <c r="BK20" s="729">
        <v>-421680.9916019775</v>
      </c>
      <c r="BL20" s="729">
        <f>SUM(BJ20:BK20)</f>
        <v>-20789904.33570255</v>
      </c>
      <c r="BM20" s="729">
        <v>-473619.97829787806</v>
      </c>
      <c r="BN20" s="586">
        <f>SUM(BL20:BM20)</f>
        <v>-21263524.314000428</v>
      </c>
      <c r="BO20" s="585"/>
      <c r="BP20" s="586">
        <f t="shared" ref="BP20:BP21" si="54">SUM(BN20:BO20)</f>
        <v>-21263524.314000428</v>
      </c>
      <c r="BQ20" s="585"/>
      <c r="BR20" s="586">
        <f t="shared" ref="BR20:BR21" si="55">SUM(BP20:BQ20)</f>
        <v>-21263524.314000428</v>
      </c>
      <c r="BS20" s="22">
        <f>ROW()</f>
        <v>20</v>
      </c>
      <c r="BT20" s="512" t="s">
        <v>270</v>
      </c>
      <c r="BV20" s="662"/>
      <c r="BW20" s="32">
        <f>+'SEF-29 pg 1-2'!$K$13</f>
        <v>2.6299999999999997E-2</v>
      </c>
      <c r="BX20" s="32">
        <f>+'SEF-29 pg 1-2'!$K$13</f>
        <v>2.6299999999999997E-2</v>
      </c>
      <c r="BY20" s="32">
        <f>+'SEF-29 pg 1-2'!$K$13</f>
        <v>2.6299999999999997E-2</v>
      </c>
      <c r="BZ20" s="32">
        <f>+'SEF-29 pg 1-2'!$K$13</f>
        <v>2.6299999999999997E-2</v>
      </c>
      <c r="CA20" s="32">
        <f>+'SEF-29 pg 1-2'!$K$13</f>
        <v>2.6299999999999997E-2</v>
      </c>
      <c r="CB20" s="32">
        <f>+CA20</f>
        <v>2.6299999999999997E-2</v>
      </c>
      <c r="CC20" s="32">
        <f>+'SEF-29 pg 1-2'!K22</f>
        <v>2.6699999999999998E-2</v>
      </c>
      <c r="CD20" s="32">
        <f>+CC20</f>
        <v>2.6699999999999998E-2</v>
      </c>
      <c r="CE20" s="32">
        <f>+'SEF-29 pg 1-2'!K31</f>
        <v>2.63E-2</v>
      </c>
      <c r="CF20" s="32">
        <f>+CE20</f>
        <v>2.63E-2</v>
      </c>
      <c r="CG20" s="32"/>
      <c r="CH20" s="32"/>
      <c r="CI20" s="32"/>
      <c r="CJ20" s="32"/>
      <c r="CK20" s="22">
        <f>ROW()</f>
        <v>20</v>
      </c>
      <c r="CL20" s="679" t="s">
        <v>259</v>
      </c>
      <c r="CM20" s="610">
        <v>0.21</v>
      </c>
      <c r="CN20" s="573">
        <f>-CN17*$CM$20</f>
        <v>-3713723.9550263993</v>
      </c>
      <c r="CO20" s="573">
        <f>-CO17*$CM$20</f>
        <v>95620.305026399408</v>
      </c>
      <c r="CP20" s="573">
        <f t="shared" ref="CP20:DB20" si="56">SUM(CN20:CO20)</f>
        <v>-3618103.65</v>
      </c>
      <c r="CQ20" s="573"/>
      <c r="CR20" s="573">
        <f t="shared" si="56"/>
        <v>-3618103.65</v>
      </c>
      <c r="CT20" s="573">
        <f t="shared" si="56"/>
        <v>-3618103.65</v>
      </c>
      <c r="CV20" s="573">
        <f t="shared" si="56"/>
        <v>-3618103.65</v>
      </c>
      <c r="CX20" s="573">
        <f t="shared" si="56"/>
        <v>-3618103.65</v>
      </c>
      <c r="CY20" s="573"/>
      <c r="CZ20" s="573"/>
      <c r="DB20" s="573">
        <f t="shared" si="56"/>
        <v>0</v>
      </c>
      <c r="DC20" s="22">
        <f>ROW()</f>
        <v>20</v>
      </c>
      <c r="DD20" s="589" t="s">
        <v>271</v>
      </c>
      <c r="DE20" s="589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22">
        <f>ROW()</f>
        <v>20</v>
      </c>
      <c r="DV20" s="4" t="s">
        <v>261</v>
      </c>
      <c r="DW20" s="4"/>
      <c r="DX20" s="63">
        <f>DX18</f>
        <v>106401075.90899999</v>
      </c>
      <c r="DY20" s="63">
        <f>DY18</f>
        <v>27398.911120012403</v>
      </c>
      <c r="DZ20" s="42">
        <f>DX20+DY20</f>
        <v>106428474.82012001</v>
      </c>
      <c r="EA20" s="63">
        <f>EA18</f>
        <v>0</v>
      </c>
      <c r="EB20" s="63">
        <f>DZ20+EA20</f>
        <v>106428474.82012001</v>
      </c>
      <c r="EC20" s="63">
        <f>EC18</f>
        <v>0</v>
      </c>
      <c r="ED20" s="63">
        <f>SUM(EB20:EC20)</f>
        <v>106428474.82012001</v>
      </c>
      <c r="EE20" s="63">
        <f>EE18</f>
        <v>0</v>
      </c>
      <c r="EF20" s="63">
        <f>SUM(ED20:EE20)</f>
        <v>106428474.82012001</v>
      </c>
      <c r="EG20" s="63">
        <f>EG18</f>
        <v>0</v>
      </c>
      <c r="EH20" s="63">
        <f>SUM(EF20:EG20)</f>
        <v>106428474.82012001</v>
      </c>
      <c r="EI20" s="63"/>
      <c r="EJ20" s="63"/>
      <c r="EK20" s="63"/>
      <c r="EL20" s="63">
        <f>SUM(EJ20:EK20)</f>
        <v>0</v>
      </c>
      <c r="EM20" s="22">
        <f>ROW()</f>
        <v>20</v>
      </c>
      <c r="EN20" s="603"/>
      <c r="EO20" s="23"/>
      <c r="EP20" s="23"/>
      <c r="EQ20" s="23"/>
      <c r="ER20" s="1"/>
      <c r="ES20" s="23"/>
      <c r="ET20" s="1"/>
      <c r="EU20" s="23"/>
      <c r="EV20" s="1"/>
      <c r="EW20" s="23"/>
      <c r="EX20" s="1"/>
      <c r="EY20" s="23"/>
      <c r="EZ20" s="1"/>
      <c r="FA20" s="23"/>
      <c r="FB20" s="1"/>
      <c r="FC20" s="23"/>
      <c r="FD20" s="1"/>
      <c r="FE20" s="22">
        <f>ROW()</f>
        <v>20</v>
      </c>
      <c r="FF20" s="23" t="s">
        <v>237</v>
      </c>
      <c r="FG20" s="21"/>
      <c r="FH20" s="21">
        <f>FH18</f>
        <v>491615.11330728186</v>
      </c>
      <c r="FI20" s="21">
        <f>FI18</f>
        <v>-167050.6547617563</v>
      </c>
      <c r="FJ20" s="21">
        <f>FH20+FI20</f>
        <v>324564.45854552556</v>
      </c>
      <c r="FK20" s="21">
        <f>FK18</f>
        <v>0</v>
      </c>
      <c r="FL20" s="21">
        <f>FJ20+FK20</f>
        <v>324564.45854552556</v>
      </c>
      <c r="FM20" s="21">
        <f>FM18</f>
        <v>0</v>
      </c>
      <c r="FN20" s="21">
        <f>FL20+FM20</f>
        <v>324564.45854552556</v>
      </c>
      <c r="FO20" s="21">
        <f>FO18</f>
        <v>0</v>
      </c>
      <c r="FP20" s="21">
        <f>FN20+FO20</f>
        <v>324564.45854552556</v>
      </c>
      <c r="FQ20" s="21">
        <f>FQ18</f>
        <v>0</v>
      </c>
      <c r="FR20" s="21">
        <f>FP20+FQ20</f>
        <v>324564.45854552556</v>
      </c>
      <c r="FS20" s="21">
        <f>FS18</f>
        <v>0</v>
      </c>
      <c r="FT20" s="21"/>
      <c r="FU20" s="21">
        <f>FU18</f>
        <v>0</v>
      </c>
      <c r="FV20" s="21">
        <f>FT20+FU20</f>
        <v>0</v>
      </c>
      <c r="FW20" s="22">
        <f>ROW()</f>
        <v>20</v>
      </c>
      <c r="FX20" s="592" t="s">
        <v>272</v>
      </c>
      <c r="FZ20" s="633">
        <v>2973243.096008379</v>
      </c>
      <c r="GA20" s="633">
        <v>-1103596.4606248948</v>
      </c>
      <c r="GB20" s="633">
        <f t="shared" si="41"/>
        <v>1869646.6353834842</v>
      </c>
      <c r="GC20" s="633">
        <v>238125.90477231075</v>
      </c>
      <c r="GD20" s="633">
        <f t="shared" si="42"/>
        <v>2107772.5401557949</v>
      </c>
      <c r="GE20" s="633">
        <v>99071.124727062415</v>
      </c>
      <c r="GF20" s="633">
        <f t="shared" si="43"/>
        <v>2206843.6648828574</v>
      </c>
      <c r="GG20" s="633">
        <v>466480.73280231608</v>
      </c>
      <c r="GH20" s="633">
        <f t="shared" si="44"/>
        <v>2673324.3976851734</v>
      </c>
      <c r="GI20" s="633">
        <v>1540.7422927264124</v>
      </c>
      <c r="GJ20" s="633">
        <f t="shared" si="45"/>
        <v>2674865.1399778998</v>
      </c>
      <c r="GK20" s="628"/>
      <c r="GL20" s="633">
        <f t="shared" si="45"/>
        <v>2674865.1399778998</v>
      </c>
      <c r="GM20" s="628"/>
      <c r="GN20" s="633">
        <f t="shared" si="45"/>
        <v>2674865.1399778998</v>
      </c>
      <c r="GO20" s="22">
        <f>ROW()</f>
        <v>20</v>
      </c>
      <c r="GP20" s="594" t="s">
        <v>273</v>
      </c>
      <c r="GQ20" s="680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22">
        <f>ROW()</f>
        <v>20</v>
      </c>
      <c r="HZ20" s="28" t="s">
        <v>221</v>
      </c>
      <c r="IA20" s="681"/>
      <c r="IB20" s="626">
        <f>SUM(IB16:IB19)</f>
        <v>9870663.1523544006</v>
      </c>
      <c r="IC20" s="626">
        <f t="shared" ref="IC20:IP20" si="57">SUM(IC16:IC19)</f>
        <v>1035921.8112948509</v>
      </c>
      <c r="ID20" s="626">
        <f t="shared" si="57"/>
        <v>10906584.963649251</v>
      </c>
      <c r="IE20" s="626">
        <f t="shared" si="57"/>
        <v>0</v>
      </c>
      <c r="IF20" s="626">
        <f t="shared" si="57"/>
        <v>10906584.963649251</v>
      </c>
      <c r="IG20" s="626">
        <f t="shared" si="57"/>
        <v>0</v>
      </c>
      <c r="IH20" s="626">
        <f t="shared" si="57"/>
        <v>10906584.963649251</v>
      </c>
      <c r="II20" s="626">
        <f t="shared" si="57"/>
        <v>0</v>
      </c>
      <c r="IJ20" s="626">
        <f t="shared" si="57"/>
        <v>10906584.963649251</v>
      </c>
      <c r="IK20" s="626">
        <f t="shared" si="57"/>
        <v>0</v>
      </c>
      <c r="IL20" s="626">
        <f t="shared" si="57"/>
        <v>10906584.963649251</v>
      </c>
      <c r="IM20" s="626">
        <f t="shared" si="57"/>
        <v>0</v>
      </c>
      <c r="IN20" s="626">
        <f t="shared" si="57"/>
        <v>10906584.963649251</v>
      </c>
      <c r="IO20" s="626">
        <f t="shared" si="57"/>
        <v>0</v>
      </c>
      <c r="IP20" s="626">
        <f t="shared" si="57"/>
        <v>10906584.963649251</v>
      </c>
      <c r="IQ20" s="22">
        <f>ROW()</f>
        <v>20</v>
      </c>
      <c r="JI20" s="22">
        <f>ROW()</f>
        <v>20</v>
      </c>
      <c r="JJ20" s="480" t="s">
        <v>274</v>
      </c>
      <c r="JK20" s="480"/>
      <c r="JL20" s="51">
        <f t="shared" ref="JL20:JZ20" si="58">+JL18</f>
        <v>140630.85290878784</v>
      </c>
      <c r="JM20" s="51">
        <f t="shared" si="58"/>
        <v>-23123.585043537663</v>
      </c>
      <c r="JN20" s="51">
        <f t="shared" si="58"/>
        <v>117507.26786525018</v>
      </c>
      <c r="JO20" s="51">
        <f t="shared" si="58"/>
        <v>0</v>
      </c>
      <c r="JP20" s="51">
        <f t="shared" si="58"/>
        <v>117507.26786525018</v>
      </c>
      <c r="JQ20" s="51">
        <f t="shared" si="58"/>
        <v>0</v>
      </c>
      <c r="JR20" s="51">
        <f t="shared" si="58"/>
        <v>117507.26786525018</v>
      </c>
      <c r="JS20" s="51">
        <f t="shared" si="58"/>
        <v>0</v>
      </c>
      <c r="JT20" s="51">
        <f t="shared" si="58"/>
        <v>117507.26786525018</v>
      </c>
      <c r="JU20" s="51">
        <f t="shared" si="58"/>
        <v>0</v>
      </c>
      <c r="JV20" s="51">
        <f t="shared" si="58"/>
        <v>117507.26786525018</v>
      </c>
      <c r="JW20" s="51">
        <f t="shared" si="58"/>
        <v>0</v>
      </c>
      <c r="JX20" s="51">
        <f t="shared" si="58"/>
        <v>117507.26786525018</v>
      </c>
      <c r="JY20" s="51">
        <f t="shared" si="58"/>
        <v>0</v>
      </c>
      <c r="JZ20" s="51">
        <f t="shared" si="58"/>
        <v>117507.26786525018</v>
      </c>
      <c r="KA20" s="22">
        <f>ROW()</f>
        <v>20</v>
      </c>
      <c r="KB20" s="28" t="s">
        <v>240</v>
      </c>
      <c r="KC20" s="28"/>
      <c r="KD20" s="682">
        <f t="shared" ref="KD20:KR20" si="59">-KD17-KD19</f>
        <v>-1861415.7889533562</v>
      </c>
      <c r="KE20" s="682">
        <f t="shared" si="59"/>
        <v>-2936475.9187557171</v>
      </c>
      <c r="KF20" s="682">
        <f t="shared" si="59"/>
        <v>-4797891.7077090731</v>
      </c>
      <c r="KG20" s="682">
        <f t="shared" si="59"/>
        <v>0</v>
      </c>
      <c r="KH20" s="682">
        <f t="shared" si="59"/>
        <v>-4797891.7077090731</v>
      </c>
      <c r="KI20" s="682">
        <f t="shared" si="59"/>
        <v>0</v>
      </c>
      <c r="KJ20" s="682">
        <f t="shared" si="59"/>
        <v>-4797891.7077090731</v>
      </c>
      <c r="KK20" s="682">
        <f t="shared" si="59"/>
        <v>0</v>
      </c>
      <c r="KL20" s="682">
        <f t="shared" si="59"/>
        <v>-4797891.7077090731</v>
      </c>
      <c r="KM20" s="682">
        <f t="shared" si="59"/>
        <v>0</v>
      </c>
      <c r="KN20" s="682">
        <f t="shared" si="59"/>
        <v>-4797891.7077090731</v>
      </c>
      <c r="KO20" s="682">
        <f t="shared" si="59"/>
        <v>0</v>
      </c>
      <c r="KP20" s="682">
        <f t="shared" si="59"/>
        <v>0</v>
      </c>
      <c r="KQ20" s="682">
        <f t="shared" si="59"/>
        <v>0</v>
      </c>
      <c r="KR20" s="682">
        <f t="shared" si="59"/>
        <v>0</v>
      </c>
      <c r="KS20" s="22">
        <f>ROW()</f>
        <v>20</v>
      </c>
      <c r="KT20" s="598" t="s">
        <v>272</v>
      </c>
      <c r="KU20" s="480"/>
      <c r="KV20" s="74">
        <v>37065933.523821466</v>
      </c>
      <c r="KW20" s="74">
        <v>1079252.4153634533</v>
      </c>
      <c r="KX20" s="637">
        <f t="shared" si="48"/>
        <v>38145185.939184919</v>
      </c>
      <c r="KY20" s="637">
        <v>0</v>
      </c>
      <c r="KZ20" s="637">
        <f t="shared" si="49"/>
        <v>38145185.939184919</v>
      </c>
      <c r="LA20" s="637">
        <v>0</v>
      </c>
      <c r="LB20" s="637">
        <f t="shared" si="26"/>
        <v>38145185.939184919</v>
      </c>
      <c r="LC20" s="637"/>
      <c r="LD20" s="637">
        <f t="shared" si="26"/>
        <v>38145185.939184919</v>
      </c>
      <c r="LE20" s="637"/>
      <c r="LF20" s="637">
        <f t="shared" si="26"/>
        <v>38145185.939184919</v>
      </c>
      <c r="LG20" s="637"/>
      <c r="LH20" s="637"/>
      <c r="LI20" s="637"/>
      <c r="LJ20" s="637">
        <f t="shared" si="26"/>
        <v>0</v>
      </c>
      <c r="LK20" s="22">
        <f>ROW()</f>
        <v>20</v>
      </c>
      <c r="LL20" s="23" t="s">
        <v>149</v>
      </c>
      <c r="LN20" s="724">
        <v>240993567.33373606</v>
      </c>
      <c r="LO20" s="724">
        <v>-18474761.505783617</v>
      </c>
      <c r="LP20" s="50">
        <f t="shared" si="4"/>
        <v>222518805.82795244</v>
      </c>
      <c r="LQ20" s="78">
        <v>0</v>
      </c>
      <c r="LR20" s="50">
        <f t="shared" si="5"/>
        <v>222518805.82795244</v>
      </c>
      <c r="LS20" s="78">
        <v>0</v>
      </c>
      <c r="LT20" s="50">
        <f t="shared" si="6"/>
        <v>222518805.82795244</v>
      </c>
      <c r="LU20" s="78">
        <v>0</v>
      </c>
      <c r="LV20" s="50">
        <f t="shared" si="7"/>
        <v>222518805.82795244</v>
      </c>
      <c r="LW20" s="78">
        <v>0</v>
      </c>
      <c r="LX20" s="50">
        <f t="shared" si="8"/>
        <v>222518805.82795244</v>
      </c>
      <c r="LY20" s="78">
        <v>0</v>
      </c>
      <c r="LZ20" s="50"/>
      <c r="MA20" s="78">
        <v>0</v>
      </c>
      <c r="MB20" s="50">
        <f t="shared" si="9"/>
        <v>0</v>
      </c>
      <c r="MC20" s="22">
        <f>ROW()</f>
        <v>20</v>
      </c>
      <c r="MD20" s="555" t="s">
        <v>275</v>
      </c>
      <c r="MF20" s="663">
        <f t="shared" ref="MF20:MT20" si="60">SUM(MF16:MF19)</f>
        <v>446133502.18231332</v>
      </c>
      <c r="MG20" s="663">
        <f t="shared" si="60"/>
        <v>5635460.6858000886</v>
      </c>
      <c r="MH20" s="663">
        <f t="shared" si="60"/>
        <v>451768962.8681134</v>
      </c>
      <c r="MI20" s="663">
        <f t="shared" si="60"/>
        <v>0</v>
      </c>
      <c r="MJ20" s="663">
        <f t="shared" si="60"/>
        <v>451768962.8681134</v>
      </c>
      <c r="MK20" s="663">
        <f t="shared" si="60"/>
        <v>0</v>
      </c>
      <c r="ML20" s="663">
        <f t="shared" si="60"/>
        <v>451768962.8681134</v>
      </c>
      <c r="MM20" s="663">
        <f t="shared" si="60"/>
        <v>0</v>
      </c>
      <c r="MN20" s="663">
        <f t="shared" si="60"/>
        <v>451768962.8681134</v>
      </c>
      <c r="MO20" s="663">
        <f t="shared" si="60"/>
        <v>0</v>
      </c>
      <c r="MP20" s="663">
        <f t="shared" si="60"/>
        <v>451768962.8681134</v>
      </c>
      <c r="MQ20" s="663">
        <f t="shared" si="60"/>
        <v>0</v>
      </c>
      <c r="MR20" s="663">
        <f t="shared" si="60"/>
        <v>0</v>
      </c>
      <c r="MS20" s="663">
        <f t="shared" si="60"/>
        <v>0</v>
      </c>
      <c r="MT20" s="663">
        <f t="shared" si="60"/>
        <v>0</v>
      </c>
      <c r="MU20" s="22">
        <f>ROW()</f>
        <v>20</v>
      </c>
      <c r="MV20" s="555" t="s">
        <v>276</v>
      </c>
      <c r="MW20" s="610">
        <v>0.21</v>
      </c>
      <c r="MX20" s="78">
        <f>-$MW$20*MX19</f>
        <v>-2263286.8713000002</v>
      </c>
      <c r="MY20" s="638">
        <f>-$MW$20*MY19</f>
        <v>-641258.04253349965</v>
      </c>
      <c r="MZ20" s="638">
        <f>SUM(MX20:MY20)</f>
        <v>-2904544.9138334999</v>
      </c>
      <c r="NA20" s="78">
        <f>-$MW$20*NA19</f>
        <v>0</v>
      </c>
      <c r="NB20" s="638">
        <f>SUM(MZ20:NA20)</f>
        <v>-2904544.9138334999</v>
      </c>
      <c r="NC20" s="78">
        <f>-$MW$20*NC19</f>
        <v>0</v>
      </c>
      <c r="ND20" s="638">
        <f>SUM(NB20:NC20)</f>
        <v>-2904544.9138334999</v>
      </c>
      <c r="NE20" s="78">
        <f>-$MW$20*NE19</f>
        <v>0</v>
      </c>
      <c r="NF20" s="638">
        <f>SUM(ND20:NE20)</f>
        <v>-2904544.9138334999</v>
      </c>
      <c r="NG20" s="78">
        <f t="shared" ref="NG20:NL20" si="61">-$MW$20*NG19</f>
        <v>0</v>
      </c>
      <c r="NH20" s="638">
        <f t="shared" si="61"/>
        <v>-2904544.9138334999</v>
      </c>
      <c r="NI20" s="78">
        <f t="shared" si="61"/>
        <v>0</v>
      </c>
      <c r="NJ20" s="78">
        <f t="shared" si="61"/>
        <v>0</v>
      </c>
      <c r="NK20" s="78">
        <f t="shared" si="61"/>
        <v>0</v>
      </c>
      <c r="NL20" s="78">
        <f t="shared" si="61"/>
        <v>0</v>
      </c>
      <c r="NM20" s="22">
        <f>ROW()</f>
        <v>20</v>
      </c>
      <c r="NN20" s="28" t="s">
        <v>96</v>
      </c>
      <c r="NP20" s="550"/>
      <c r="NQ20" s="619"/>
      <c r="NR20" s="550"/>
      <c r="NS20" s="619"/>
      <c r="NT20" s="550"/>
      <c r="NU20" s="619"/>
      <c r="NV20" s="619">
        <f>'SEF-30 pg 1'!I32</f>
        <v>104735377.98590459</v>
      </c>
      <c r="NW20" s="640">
        <v>17553322.66394411</v>
      </c>
      <c r="NX20" s="619">
        <f t="shared" si="51"/>
        <v>122288700.6498487</v>
      </c>
      <c r="NY20" s="640">
        <v>6949344.2104498893</v>
      </c>
      <c r="NZ20" s="619">
        <f t="shared" si="52"/>
        <v>129238044.86029859</v>
      </c>
      <c r="OA20" s="641"/>
      <c r="OB20" s="641"/>
      <c r="OC20" s="641"/>
      <c r="OD20" s="641"/>
      <c r="OE20" s="482">
        <f>ROW()</f>
        <v>20</v>
      </c>
      <c r="OF20" s="78" t="s">
        <v>277</v>
      </c>
      <c r="OG20" s="78"/>
      <c r="OH20" s="683">
        <v>-20170578.811597474</v>
      </c>
      <c r="OI20" s="683"/>
      <c r="OJ20" s="683">
        <v>-20170578.811597474</v>
      </c>
      <c r="OK20" s="683">
        <f>OL20-OJ20</f>
        <v>20170578.811597474</v>
      </c>
      <c r="OL20" s="683">
        <v>0</v>
      </c>
      <c r="OM20" s="684"/>
      <c r="ON20" s="684"/>
      <c r="OO20" s="684"/>
      <c r="OP20" s="684"/>
      <c r="OQ20" s="684"/>
      <c r="OR20" s="685"/>
      <c r="OS20" s="685"/>
      <c r="OT20" s="685"/>
      <c r="OU20" s="685"/>
      <c r="OV20" s="685"/>
      <c r="OW20" s="22">
        <f>ROW()</f>
        <v>20</v>
      </c>
      <c r="OX20" s="644"/>
      <c r="OY20" s="644"/>
      <c r="OZ20" s="63">
        <f>-PA20</f>
        <v>0</v>
      </c>
      <c r="PA20" s="63"/>
      <c r="PB20" s="63">
        <f t="shared" si="53"/>
        <v>0</v>
      </c>
      <c r="PC20" s="600"/>
      <c r="PD20" s="600">
        <f t="shared" si="53"/>
        <v>0</v>
      </c>
      <c r="PE20" s="600"/>
      <c r="PF20" s="646">
        <f t="shared" si="53"/>
        <v>0</v>
      </c>
      <c r="PG20" s="600"/>
      <c r="PH20" s="42">
        <f t="shared" si="53"/>
        <v>0</v>
      </c>
      <c r="PI20" s="600"/>
      <c r="PJ20" s="42">
        <f t="shared" si="53"/>
        <v>0</v>
      </c>
      <c r="PK20" s="600"/>
      <c r="PL20" s="42">
        <f t="shared" si="27"/>
        <v>0</v>
      </c>
      <c r="PM20" s="600"/>
      <c r="PN20" s="42">
        <f t="shared" si="28"/>
        <v>0</v>
      </c>
      <c r="PO20" s="7"/>
      <c r="PP20" s="7"/>
      <c r="PQ20" s="7"/>
      <c r="PR20" s="7"/>
      <c r="PS20" s="22">
        <f>ROW()</f>
        <v>20</v>
      </c>
      <c r="PT20" s="29" t="s">
        <v>278</v>
      </c>
      <c r="PU20" s="56">
        <v>0.21</v>
      </c>
      <c r="PV20" s="686">
        <f t="shared" ref="PV20:QJ20" si="62">-PV18*$PU$20</f>
        <v>-177801.61350000001</v>
      </c>
      <c r="PW20" s="686">
        <f t="shared" si="62"/>
        <v>-11209.769411885049</v>
      </c>
      <c r="PX20" s="686">
        <f t="shared" si="62"/>
        <v>-189011.38291188507</v>
      </c>
      <c r="PY20" s="686">
        <f t="shared" si="62"/>
        <v>571.29040688503062</v>
      </c>
      <c r="PZ20" s="686">
        <f t="shared" si="62"/>
        <v>-188440.09250500004</v>
      </c>
      <c r="QA20" s="686">
        <f t="shared" si="62"/>
        <v>-571.9837549999728</v>
      </c>
      <c r="QB20" s="686">
        <f t="shared" si="62"/>
        <v>-189012.07626</v>
      </c>
      <c r="QC20" s="686">
        <f t="shared" si="62"/>
        <v>60733.623056457545</v>
      </c>
      <c r="QD20" s="686">
        <f t="shared" si="62"/>
        <v>-128278.45320354246</v>
      </c>
      <c r="QE20" s="686">
        <f t="shared" si="62"/>
        <v>104123.04629999999</v>
      </c>
      <c r="QF20" s="686">
        <f t="shared" si="62"/>
        <v>-24155.406903542465</v>
      </c>
      <c r="QG20" s="686">
        <f t="shared" si="62"/>
        <v>0</v>
      </c>
      <c r="QH20" s="686">
        <f t="shared" si="62"/>
        <v>-24155.406903542465</v>
      </c>
      <c r="QI20" s="686">
        <f t="shared" si="62"/>
        <v>0</v>
      </c>
      <c r="QJ20" s="686">
        <f t="shared" si="62"/>
        <v>-24155.406903542465</v>
      </c>
      <c r="QK20" s="22">
        <f>ROW()</f>
        <v>20</v>
      </c>
      <c r="QL20" s="102" t="s">
        <v>279</v>
      </c>
      <c r="QN20" s="687"/>
      <c r="QO20" s="687"/>
      <c r="QP20" s="607">
        <f>QN20+QO20</f>
        <v>0</v>
      </c>
      <c r="QQ20" s="607">
        <v>16261754.541388333</v>
      </c>
      <c r="QR20" s="607">
        <f>QP20+QQ20</f>
        <v>16261754.541388333</v>
      </c>
      <c r="QS20" s="607">
        <v>97245889.008528307</v>
      </c>
      <c r="QT20" s="607">
        <f>QR20+QS20</f>
        <v>113507643.54991664</v>
      </c>
      <c r="QU20" s="607">
        <v>27191779.974732563</v>
      </c>
      <c r="QV20" s="607">
        <f>QT20+QU20</f>
        <v>140699423.5246492</v>
      </c>
      <c r="QW20" s="607">
        <v>510023142.39473385</v>
      </c>
      <c r="QX20" s="607">
        <f>QV20+QW20</f>
        <v>650722565.91938305</v>
      </c>
      <c r="QY20" s="607"/>
      <c r="QZ20" s="607"/>
      <c r="RA20" s="607"/>
      <c r="RB20" s="607">
        <f>QZ20+RA20</f>
        <v>0</v>
      </c>
      <c r="RC20" s="22">
        <f>ROW()</f>
        <v>20</v>
      </c>
      <c r="RD20" s="102" t="s">
        <v>260</v>
      </c>
      <c r="RF20" s="604"/>
      <c r="RG20" s="604"/>
      <c r="RH20" s="745">
        <v>0</v>
      </c>
      <c r="RI20" s="745">
        <f t="shared" si="30"/>
        <v>0</v>
      </c>
      <c r="RJ20" s="745">
        <v>0</v>
      </c>
      <c r="RK20" s="745">
        <f t="shared" si="30"/>
        <v>0</v>
      </c>
      <c r="RL20" s="745">
        <v>0</v>
      </c>
      <c r="RM20" s="745">
        <f t="shared" si="31"/>
        <v>0</v>
      </c>
      <c r="RN20" s="745">
        <v>0</v>
      </c>
      <c r="RO20" s="745">
        <f t="shared" si="31"/>
        <v>0</v>
      </c>
      <c r="RP20" s="745">
        <v>0</v>
      </c>
      <c r="RQ20" s="669"/>
      <c r="RR20" s="671"/>
      <c r="RS20" s="669">
        <f t="shared" si="32"/>
        <v>0</v>
      </c>
      <c r="RT20" s="671"/>
      <c r="RU20" s="521">
        <f>ROW()</f>
        <v>20</v>
      </c>
      <c r="RV20" s="102" t="s">
        <v>275</v>
      </c>
      <c r="RW20" s="520"/>
      <c r="RX20" s="688"/>
      <c r="RY20" s="688"/>
      <c r="RZ20" s="688">
        <f>SUM(RZ16:RZ19)</f>
        <v>0</v>
      </c>
      <c r="SA20" s="633">
        <f t="shared" ref="SA20:SL20" si="63">SUM(SA16:SA19)</f>
        <v>-174784.55000000002</v>
      </c>
      <c r="SB20" s="633">
        <f t="shared" si="63"/>
        <v>-174784.55000000002</v>
      </c>
      <c r="SC20" s="633">
        <f>SUM(SC16:SC19)</f>
        <v>-1552531.0100000002</v>
      </c>
      <c r="SD20" s="633">
        <f t="shared" si="63"/>
        <v>-1727315.5600000003</v>
      </c>
      <c r="SE20" s="633">
        <f>SUM(SE16:SE19)</f>
        <v>-1738872.7199999981</v>
      </c>
      <c r="SF20" s="633">
        <f t="shared" si="63"/>
        <v>-3466188.2799999984</v>
      </c>
      <c r="SG20" s="633">
        <f>SUM(SG16:SG19)</f>
        <v>-1738872.7200000081</v>
      </c>
      <c r="SH20" s="633">
        <f t="shared" si="63"/>
        <v>-5205061.0000000065</v>
      </c>
      <c r="SI20" s="688">
        <f t="shared" si="63"/>
        <v>0</v>
      </c>
      <c r="SJ20" s="688">
        <f t="shared" si="63"/>
        <v>-5205061.0000000065</v>
      </c>
      <c r="SK20" s="688">
        <f t="shared" si="63"/>
        <v>0</v>
      </c>
      <c r="SL20" s="688">
        <f t="shared" si="63"/>
        <v>-5205061.0000000065</v>
      </c>
      <c r="SM20" s="521">
        <f>ROW()</f>
        <v>20</v>
      </c>
      <c r="SN20" s="102" t="s">
        <v>280</v>
      </c>
      <c r="SO20" s="608"/>
      <c r="SP20" s="606"/>
      <c r="SQ20" s="606"/>
      <c r="SR20" s="606"/>
      <c r="SS20" s="39">
        <f t="shared" ref="SS20:TD20" si="64">SUM(SS16:SS19)</f>
        <v>3491440.8531900002</v>
      </c>
      <c r="ST20" s="39">
        <f t="shared" si="64"/>
        <v>3491440.8531900002</v>
      </c>
      <c r="SU20" s="39">
        <f t="shared" si="64"/>
        <v>19601779.587844998</v>
      </c>
      <c r="SV20" s="39">
        <f t="shared" si="64"/>
        <v>23093220.441034995</v>
      </c>
      <c r="SW20" s="39">
        <f t="shared" si="64"/>
        <v>21043774.400940001</v>
      </c>
      <c r="SX20" s="39">
        <f t="shared" si="64"/>
        <v>44136994.841974989</v>
      </c>
      <c r="SY20" s="39">
        <f t="shared" si="64"/>
        <v>26135590.058740012</v>
      </c>
      <c r="SZ20" s="39">
        <f t="shared" si="64"/>
        <v>70272584.900715008</v>
      </c>
      <c r="TA20" s="606">
        <f t="shared" si="64"/>
        <v>0</v>
      </c>
      <c r="TB20" s="606">
        <f t="shared" si="64"/>
        <v>70272584.900715008</v>
      </c>
      <c r="TC20" s="606">
        <f t="shared" si="64"/>
        <v>0</v>
      </c>
      <c r="TD20" s="606">
        <f t="shared" si="64"/>
        <v>70272584.900715008</v>
      </c>
      <c r="TF20" s="521">
        <f>ROW()</f>
        <v>20</v>
      </c>
      <c r="TG20" s="689" t="s">
        <v>281</v>
      </c>
      <c r="TH20" s="690"/>
      <c r="TI20" s="78"/>
      <c r="TJ20" s="78"/>
      <c r="TK20" s="1"/>
      <c r="TL20" s="78"/>
      <c r="TM20" s="1"/>
      <c r="TN20" s="78"/>
      <c r="TO20" s="1"/>
      <c r="TP20" s="78"/>
      <c r="TQ20" s="1"/>
      <c r="TR20" s="78"/>
      <c r="TS20" s="1"/>
      <c r="TU20" s="521">
        <f>ROW()</f>
        <v>20</v>
      </c>
      <c r="TV20" s="575"/>
      <c r="UJ20" s="22">
        <f>ROW()</f>
        <v>20</v>
      </c>
      <c r="UK20" s="349"/>
      <c r="UL20" s="652"/>
      <c r="UM20" s="691"/>
      <c r="UN20" s="692"/>
      <c r="UO20" s="693"/>
      <c r="UP20" s="693"/>
      <c r="UQ20" s="693"/>
      <c r="UR20" s="693"/>
      <c r="US20" s="693"/>
      <c r="UT20" s="693"/>
      <c r="UU20" s="693"/>
      <c r="UV20" s="693"/>
      <c r="UW20" s="693"/>
      <c r="UY20" s="521">
        <f>ROW()</f>
        <v>20</v>
      </c>
      <c r="UZ20" s="102" t="s">
        <v>282</v>
      </c>
      <c r="VE20" s="571">
        <f>VF20-VD17</f>
        <v>0</v>
      </c>
      <c r="VF20" s="102">
        <v>0</v>
      </c>
      <c r="VG20" s="102"/>
      <c r="VH20" s="312"/>
      <c r="VI20" s="312">
        <f>VJ20-VH20</f>
        <v>-3749999.9999999758</v>
      </c>
      <c r="VJ20" s="312">
        <v>-3749999.9999999758</v>
      </c>
      <c r="VK20" s="312">
        <f>VL20-VJ20</f>
        <v>-7499999.9999999553</v>
      </c>
      <c r="VL20" s="312">
        <v>-11249999.999999931</v>
      </c>
      <c r="VN20" s="521">
        <f>ROW()</f>
        <v>20</v>
      </c>
      <c r="VO20" s="694" t="s">
        <v>283</v>
      </c>
      <c r="VP20" s="695">
        <v>0.21</v>
      </c>
      <c r="VQ20" s="633">
        <f t="shared" ref="VQ20:WA20" si="65">-VQ18*$VA$30</f>
        <v>0</v>
      </c>
      <c r="VR20" s="633">
        <f t="shared" si="65"/>
        <v>0</v>
      </c>
      <c r="VS20" s="633">
        <f t="shared" si="65"/>
        <v>0</v>
      </c>
      <c r="VT20" s="633">
        <f t="shared" si="65"/>
        <v>0</v>
      </c>
      <c r="VU20" s="633">
        <f t="shared" si="65"/>
        <v>0</v>
      </c>
      <c r="VV20" s="633">
        <f t="shared" si="65"/>
        <v>0</v>
      </c>
      <c r="VW20" s="633">
        <f t="shared" si="65"/>
        <v>0</v>
      </c>
      <c r="VX20" s="633">
        <f t="shared" si="65"/>
        <v>-118250.30421021441</v>
      </c>
      <c r="VY20" s="633">
        <f t="shared" si="65"/>
        <v>-118250.30421021441</v>
      </c>
      <c r="VZ20" s="633">
        <f t="shared" si="65"/>
        <v>-4138.7606473574551</v>
      </c>
      <c r="WA20" s="633">
        <f t="shared" si="65"/>
        <v>-122389.06485757187</v>
      </c>
      <c r="WC20" s="521">
        <f>ROW()</f>
        <v>20</v>
      </c>
      <c r="WD20" s="694" t="s">
        <v>283</v>
      </c>
      <c r="WE20" s="695">
        <v>0.21</v>
      </c>
      <c r="WF20" s="633">
        <f t="shared" ref="WF20:WP20" si="66">-WF18*$VA$30</f>
        <v>0</v>
      </c>
      <c r="WG20" s="633">
        <f t="shared" si="66"/>
        <v>0</v>
      </c>
      <c r="WH20" s="633">
        <f t="shared" si="66"/>
        <v>0</v>
      </c>
      <c r="WI20" s="633">
        <f t="shared" si="66"/>
        <v>0</v>
      </c>
      <c r="WJ20" s="633">
        <f t="shared" si="66"/>
        <v>0</v>
      </c>
      <c r="WK20" s="633">
        <f t="shared" si="66"/>
        <v>0</v>
      </c>
      <c r="WL20" s="633">
        <f t="shared" si="66"/>
        <v>0</v>
      </c>
      <c r="WM20" s="696">
        <f t="shared" si="66"/>
        <v>-533267.35268309992</v>
      </c>
      <c r="WN20" s="696">
        <f t="shared" si="66"/>
        <v>-533267.35268309992</v>
      </c>
      <c r="WO20" s="696">
        <f t="shared" si="66"/>
        <v>-266481.82753290003</v>
      </c>
      <c r="WP20" s="696">
        <f t="shared" si="66"/>
        <v>-799749.18021599995</v>
      </c>
    </row>
    <row r="21" spans="1:614" ht="17.25" thickTop="1" thickBot="1" x14ac:dyDescent="0.3">
      <c r="A21" s="22">
        <f>ROW()</f>
        <v>21</v>
      </c>
      <c r="B21" s="617"/>
      <c r="C21" s="23"/>
      <c r="D21" s="618"/>
      <c r="E21" s="618"/>
      <c r="F21" s="618"/>
      <c r="G21" s="640"/>
      <c r="H21" s="618"/>
      <c r="I21" s="618"/>
      <c r="J21" s="618"/>
      <c r="K21" s="618"/>
      <c r="L21" s="618"/>
      <c r="M21" s="618"/>
      <c r="N21" s="618"/>
      <c r="O21" s="618"/>
      <c r="P21" s="618">
        <f t="shared" si="18"/>
        <v>0</v>
      </c>
      <c r="Q21" s="618"/>
      <c r="R21" s="618">
        <f t="shared" si="19"/>
        <v>0</v>
      </c>
      <c r="S21" s="529">
        <f>ROW()</f>
        <v>21</v>
      </c>
      <c r="T21" s="580" t="s">
        <v>284</v>
      </c>
      <c r="U21" s="690"/>
      <c r="V21" s="620">
        <v>49280129.740000002</v>
      </c>
      <c r="W21" s="620">
        <f t="shared" si="10"/>
        <v>-49280129.740000002</v>
      </c>
      <c r="X21" s="74">
        <f t="shared" si="35"/>
        <v>0</v>
      </c>
      <c r="Z21" s="74">
        <f t="shared" si="36"/>
        <v>0</v>
      </c>
      <c r="AB21" s="74">
        <f t="shared" si="37"/>
        <v>0</v>
      </c>
      <c r="AD21" s="74">
        <f t="shared" si="38"/>
        <v>0</v>
      </c>
      <c r="AF21" s="74">
        <f t="shared" si="39"/>
        <v>0</v>
      </c>
      <c r="AG21" s="20"/>
      <c r="AH21" s="42"/>
      <c r="AI21" s="20"/>
      <c r="AJ21" s="42"/>
      <c r="AK21" s="22">
        <f>ROW()</f>
        <v>21</v>
      </c>
      <c r="AL21" s="621"/>
      <c r="AM21" s="621"/>
      <c r="AN21" s="658"/>
      <c r="AO21" s="658"/>
      <c r="AP21" s="658"/>
      <c r="AQ21" s="658"/>
      <c r="AR21" s="658"/>
      <c r="AS21" s="658"/>
      <c r="AT21" s="658"/>
      <c r="AU21" s="658"/>
      <c r="AV21" s="658"/>
      <c r="AW21" s="658"/>
      <c r="AX21" s="658"/>
      <c r="AY21" s="658"/>
      <c r="AZ21" s="658"/>
      <c r="BA21" s="22">
        <f>ROW()</f>
        <v>21</v>
      </c>
      <c r="BB21" s="28" t="s">
        <v>285</v>
      </c>
      <c r="BC21" s="535"/>
      <c r="BD21" s="729">
        <v>0</v>
      </c>
      <c r="BE21" s="729">
        <v>2984133.2865099995</v>
      </c>
      <c r="BF21" s="729">
        <f t="shared" si="0"/>
        <v>2984133.2865099995</v>
      </c>
      <c r="BG21" s="729">
        <v>-331366.25415273942</v>
      </c>
      <c r="BH21" s="729">
        <f>SUM(BF21:BG21)</f>
        <v>2652767.0323572601</v>
      </c>
      <c r="BI21" s="729">
        <v>-929.84237136039883</v>
      </c>
      <c r="BJ21" s="729">
        <f t="shared" si="1"/>
        <v>2651837.1899858997</v>
      </c>
      <c r="BK21" s="729">
        <v>-35255.583953520283</v>
      </c>
      <c r="BL21" s="729">
        <f>SUM(BJ21:BK21)</f>
        <v>2616581.6060323794</v>
      </c>
      <c r="BM21" s="729">
        <v>-87289.052902379539</v>
      </c>
      <c r="BN21" s="586">
        <f>SUM(BL21:BM21)</f>
        <v>2529292.5531299999</v>
      </c>
      <c r="BO21" s="585"/>
      <c r="BP21" s="586">
        <f t="shared" si="54"/>
        <v>2529292.5531299999</v>
      </c>
      <c r="BQ21" s="585"/>
      <c r="BR21" s="586">
        <f t="shared" si="55"/>
        <v>2529292.5531299999</v>
      </c>
      <c r="BS21" s="22">
        <f>ROW()</f>
        <v>21</v>
      </c>
      <c r="BT21" s="512" t="s">
        <v>286</v>
      </c>
      <c r="BV21" s="697">
        <v>0</v>
      </c>
      <c r="BW21" s="697">
        <f>BX21-BV21</f>
        <v>147056732.35389382</v>
      </c>
      <c r="BX21" s="697">
        <f>+BX16*BX20</f>
        <v>147056732.35389382</v>
      </c>
      <c r="BY21" s="697">
        <f>BZ21-BX21</f>
        <v>13636173.859805316</v>
      </c>
      <c r="BZ21" s="697">
        <f>+BZ16*BZ20</f>
        <v>160692906.21369913</v>
      </c>
      <c r="CA21" s="697">
        <f>CB21-BZ21</f>
        <v>11717872.855515152</v>
      </c>
      <c r="CB21" s="697">
        <f>+CB16*CB20</f>
        <v>172410779.06921428</v>
      </c>
      <c r="CC21" s="697">
        <f>CD21-CB21</f>
        <v>3980174.3974610567</v>
      </c>
      <c r="CD21" s="697">
        <f>+CD16*CD20</f>
        <v>176390953.46667534</v>
      </c>
      <c r="CE21" s="697">
        <f>CF21-CD21</f>
        <v>18675752.471095532</v>
      </c>
      <c r="CF21" s="697">
        <f>+CF16*CF20</f>
        <v>195066705.93777087</v>
      </c>
      <c r="CG21" s="697"/>
      <c r="CH21" s="697">
        <f>+CH16*CH20</f>
        <v>0</v>
      </c>
      <c r="CI21" s="697">
        <f>CJ21-CH21</f>
        <v>0</v>
      </c>
      <c r="CJ21" s="697">
        <f>+CJ16*CJ20</f>
        <v>0</v>
      </c>
      <c r="CK21" s="22">
        <f>ROW()</f>
        <v>21</v>
      </c>
      <c r="CL21" s="679" t="s">
        <v>240</v>
      </c>
      <c r="CM21" s="679"/>
      <c r="CN21" s="698">
        <f t="shared" ref="CN21:DA21" si="67">-CN17-CN20</f>
        <v>-13970675.830813598</v>
      </c>
      <c r="CO21" s="698">
        <f t="shared" si="67"/>
        <v>359714.48081359779</v>
      </c>
      <c r="CP21" s="698">
        <f t="shared" si="67"/>
        <v>-13610961.35</v>
      </c>
      <c r="CQ21" s="698">
        <f t="shared" si="67"/>
        <v>0</v>
      </c>
      <c r="CR21" s="698">
        <f t="shared" si="67"/>
        <v>-13610961.35</v>
      </c>
      <c r="CS21" s="698">
        <f t="shared" si="67"/>
        <v>0</v>
      </c>
      <c r="CT21" s="698">
        <f t="shared" si="67"/>
        <v>-13610961.35</v>
      </c>
      <c r="CU21" s="698">
        <f t="shared" si="67"/>
        <v>0</v>
      </c>
      <c r="CV21" s="698">
        <f t="shared" si="67"/>
        <v>-13610961.35</v>
      </c>
      <c r="CW21" s="698">
        <f t="shared" si="67"/>
        <v>0</v>
      </c>
      <c r="CX21" s="698">
        <f t="shared" si="67"/>
        <v>-13610961.35</v>
      </c>
      <c r="CY21" s="698">
        <f t="shared" si="67"/>
        <v>0</v>
      </c>
      <c r="CZ21" s="698">
        <f>-CZ17-CZ20</f>
        <v>0</v>
      </c>
      <c r="DA21" s="698">
        <f t="shared" si="67"/>
        <v>0</v>
      </c>
      <c r="DB21" s="698">
        <f>-DB17-DB20</f>
        <v>0</v>
      </c>
      <c r="DC21" s="22">
        <f>ROW()</f>
        <v>21</v>
      </c>
      <c r="DD21" s="28" t="s">
        <v>287</v>
      </c>
      <c r="DE21" s="28"/>
      <c r="DF21" s="42">
        <v>0</v>
      </c>
      <c r="DG21" s="42">
        <v>168800</v>
      </c>
      <c r="DH21" s="42">
        <f>DF21+DG21</f>
        <v>168800</v>
      </c>
      <c r="DI21" s="42"/>
      <c r="DJ21" s="42">
        <f>DH21+DI21</f>
        <v>168800</v>
      </c>
      <c r="DK21" s="42"/>
      <c r="DL21" s="42">
        <f>DJ21+DK21</f>
        <v>168800</v>
      </c>
      <c r="DM21" s="42"/>
      <c r="DN21" s="42">
        <f>DL21+DM21</f>
        <v>168800</v>
      </c>
      <c r="DO21" s="42"/>
      <c r="DP21" s="42">
        <f>DN21+DO21</f>
        <v>168800</v>
      </c>
      <c r="DQ21" s="42"/>
      <c r="DR21" s="42">
        <f t="shared" ref="DR21:DR22" si="68">DP21+DQ21</f>
        <v>168800</v>
      </c>
      <c r="DS21" s="42"/>
      <c r="DT21" s="42">
        <f t="shared" ref="DT21:DT22" si="69">DR21+DS21</f>
        <v>168800</v>
      </c>
      <c r="DU21" s="22">
        <f>ROW()</f>
        <v>21</v>
      </c>
      <c r="DV21" s="4" t="s">
        <v>276</v>
      </c>
      <c r="DW21" s="699">
        <v>0.21</v>
      </c>
      <c r="DX21" s="700">
        <f t="shared" ref="DX21:EH21" si="70">-$DW$21*DX20</f>
        <v>-22344225.940889999</v>
      </c>
      <c r="DY21" s="700">
        <f t="shared" si="70"/>
        <v>-5753.771335202604</v>
      </c>
      <c r="DZ21" s="700">
        <f t="shared" si="70"/>
        <v>-22349979.712225199</v>
      </c>
      <c r="EA21" s="700">
        <f t="shared" si="70"/>
        <v>0</v>
      </c>
      <c r="EB21" s="700">
        <f t="shared" si="70"/>
        <v>-22349979.712225199</v>
      </c>
      <c r="EC21" s="700">
        <f t="shared" si="70"/>
        <v>0</v>
      </c>
      <c r="ED21" s="700">
        <f t="shared" si="70"/>
        <v>-22349979.712225199</v>
      </c>
      <c r="EE21" s="700">
        <f t="shared" si="70"/>
        <v>0</v>
      </c>
      <c r="EF21" s="700">
        <f t="shared" si="70"/>
        <v>-22349979.712225199</v>
      </c>
      <c r="EG21" s="700">
        <f t="shared" si="70"/>
        <v>0</v>
      </c>
      <c r="EH21" s="700">
        <f t="shared" si="70"/>
        <v>-22349979.712225199</v>
      </c>
      <c r="EI21" s="700"/>
      <c r="EJ21" s="700"/>
      <c r="EK21" s="700"/>
      <c r="EL21" s="700">
        <f>-$DW$21*EL20</f>
        <v>0</v>
      </c>
      <c r="EM21" s="22">
        <f>ROW()</f>
        <v>21</v>
      </c>
      <c r="EN21" s="701" t="s">
        <v>288</v>
      </c>
      <c r="EO21" s="702">
        <v>0.46577095547807479</v>
      </c>
      <c r="EP21" s="630">
        <f>EP19*EO21</f>
        <v>16095507.950883681</v>
      </c>
      <c r="EQ21" s="630">
        <f>ER21-EP21</f>
        <v>-45443.683431569487</v>
      </c>
      <c r="ER21" s="553">
        <f>ER19*EO21</f>
        <v>16050064.267452111</v>
      </c>
      <c r="ES21" s="630">
        <f>ET21-ER21</f>
        <v>677349.63627642021</v>
      </c>
      <c r="ET21" s="553">
        <f>ET19*EO21</f>
        <v>16727413.903728532</v>
      </c>
      <c r="EU21" s="631"/>
      <c r="EV21" s="553">
        <f>SUM(ET21:EU21)</f>
        <v>16727413.903728532</v>
      </c>
      <c r="EW21" s="631"/>
      <c r="EX21" s="553">
        <f>SUM(EV21:EW21)</f>
        <v>16727413.903728532</v>
      </c>
      <c r="EY21" s="631"/>
      <c r="EZ21" s="553">
        <f>SUM(EX21:EY21)</f>
        <v>16727413.903728532</v>
      </c>
      <c r="FA21" s="630"/>
      <c r="FB21" s="553"/>
      <c r="FC21" s="630"/>
      <c r="FD21" s="553">
        <f>SUM(FB21:FC21)</f>
        <v>0</v>
      </c>
      <c r="FE21" s="22">
        <f>ROW()</f>
        <v>21</v>
      </c>
      <c r="FF21" s="23" t="s">
        <v>283</v>
      </c>
      <c r="FG21" s="703">
        <v>0.21</v>
      </c>
      <c r="FH21" s="590">
        <f>-FH20*$FG$21</f>
        <v>-103239.17379452918</v>
      </c>
      <c r="FI21" s="590">
        <f>-FI20*$FG$21</f>
        <v>35080.63749996882</v>
      </c>
      <c r="FJ21" s="590">
        <f>FH21+FI21</f>
        <v>-68158.536294560356</v>
      </c>
      <c r="FK21" s="590">
        <f>-FK20*$FG$21</f>
        <v>0</v>
      </c>
      <c r="FL21" s="590">
        <f>FJ21+FK21</f>
        <v>-68158.536294560356</v>
      </c>
      <c r="FM21" s="590">
        <f>-FM20*$FG$21</f>
        <v>0</v>
      </c>
      <c r="FN21" s="590">
        <f>FL21+FM21</f>
        <v>-68158.536294560356</v>
      </c>
      <c r="FO21" s="590">
        <f>-FO20*$FG$21</f>
        <v>0</v>
      </c>
      <c r="FP21" s="590">
        <f>FN21+FO21</f>
        <v>-68158.536294560356</v>
      </c>
      <c r="FQ21" s="590">
        <f>-FQ20*$FG$21</f>
        <v>0</v>
      </c>
      <c r="FR21" s="590">
        <f>FP21+FQ21</f>
        <v>-68158.536294560356</v>
      </c>
      <c r="FS21" s="590"/>
      <c r="FT21" s="590"/>
      <c r="FU21" s="590"/>
      <c r="FV21" s="590">
        <f>FT21+FU21</f>
        <v>0</v>
      </c>
      <c r="FW21" s="22">
        <f>ROW()</f>
        <v>21</v>
      </c>
      <c r="FX21" s="592" t="s">
        <v>289</v>
      </c>
      <c r="FZ21" s="633">
        <v>717727.05433876673</v>
      </c>
      <c r="GA21" s="633">
        <v>-266154.77771776367</v>
      </c>
      <c r="GB21" s="633">
        <f t="shared" si="41"/>
        <v>451572.27662100305</v>
      </c>
      <c r="GC21" s="633">
        <v>57514.107160903688</v>
      </c>
      <c r="GD21" s="633">
        <f t="shared" si="42"/>
        <v>509086.38378190674</v>
      </c>
      <c r="GE21" s="633">
        <v>23928.464605947665</v>
      </c>
      <c r="GF21" s="633">
        <f t="shared" si="43"/>
        <v>533014.84838785441</v>
      </c>
      <c r="GG21" s="633">
        <v>112668.22431831853</v>
      </c>
      <c r="GH21" s="633">
        <f t="shared" si="44"/>
        <v>645683.07270617294</v>
      </c>
      <c r="GI21" s="633">
        <v>372.13262209284585</v>
      </c>
      <c r="GJ21" s="633">
        <f t="shared" si="45"/>
        <v>646055.20532826579</v>
      </c>
      <c r="GK21" s="628"/>
      <c r="GL21" s="633">
        <f t="shared" si="45"/>
        <v>646055.20532826579</v>
      </c>
      <c r="GM21" s="628"/>
      <c r="GN21" s="633">
        <f t="shared" si="45"/>
        <v>646055.20532826579</v>
      </c>
      <c r="GO21" s="22">
        <f>ROW()</f>
        <v>21</v>
      </c>
      <c r="GP21" s="4" t="s">
        <v>290</v>
      </c>
      <c r="GQ21" s="482"/>
      <c r="GR21" s="634">
        <v>4853544.4716000007</v>
      </c>
      <c r="GS21" s="634">
        <v>72803.167074000463</v>
      </c>
      <c r="GT21" s="634">
        <f>SUM(GR21:GS21)</f>
        <v>4926347.6386740012</v>
      </c>
      <c r="GU21" s="51"/>
      <c r="GV21" s="634">
        <f>SUM(GT21:GU21)</f>
        <v>4926347.6386740012</v>
      </c>
      <c r="GW21" s="51"/>
      <c r="GX21" s="634">
        <f>SUM(GV21:GW21)</f>
        <v>4926347.6386740012</v>
      </c>
      <c r="GY21" s="51"/>
      <c r="GZ21" s="634">
        <f>SUM(GX21:GY21)</f>
        <v>4926347.6386740012</v>
      </c>
      <c r="HA21" s="51"/>
      <c r="HB21" s="634">
        <f>SUM(GZ21:HA21)</f>
        <v>4926347.6386740012</v>
      </c>
      <c r="HC21" s="634"/>
      <c r="HD21" s="634"/>
      <c r="HE21" s="51"/>
      <c r="HF21" s="634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22">
        <f>ROW()</f>
        <v>21</v>
      </c>
      <c r="HZ21" s="28"/>
      <c r="IA21" s="23"/>
      <c r="IB21" s="23"/>
      <c r="IC21" s="23"/>
      <c r="ID21" s="23"/>
      <c r="IE21" s="23"/>
      <c r="IF21" s="66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22">
        <f>ROW()</f>
        <v>21</v>
      </c>
      <c r="IR21" s="29" t="s">
        <v>259</v>
      </c>
      <c r="IS21" s="56">
        <v>0.21</v>
      </c>
      <c r="IT21" s="50">
        <f t="shared" ref="IT21:JD21" si="71">-$IS$21*IT19</f>
        <v>439523.6433</v>
      </c>
      <c r="IU21" s="50">
        <f t="shared" si="71"/>
        <v>-308709.81329999998</v>
      </c>
      <c r="IV21" s="50">
        <f t="shared" si="71"/>
        <v>130813.83</v>
      </c>
      <c r="IW21" s="50">
        <f t="shared" si="71"/>
        <v>0</v>
      </c>
      <c r="IX21" s="50">
        <f t="shared" si="71"/>
        <v>130813.83</v>
      </c>
      <c r="IY21" s="50">
        <f t="shared" si="71"/>
        <v>0</v>
      </c>
      <c r="IZ21" s="50">
        <f t="shared" si="71"/>
        <v>130813.83</v>
      </c>
      <c r="JA21" s="50">
        <f t="shared" si="71"/>
        <v>4279.5914000000339</v>
      </c>
      <c r="JB21" s="50">
        <f t="shared" si="71"/>
        <v>135093.42140000002</v>
      </c>
      <c r="JC21" s="50">
        <f t="shared" si="71"/>
        <v>0</v>
      </c>
      <c r="JD21" s="50">
        <f t="shared" si="71"/>
        <v>135093.42140000002</v>
      </c>
      <c r="JE21" s="50"/>
      <c r="JF21" s="50">
        <f>-$IS$21*JF19</f>
        <v>135093.42140000002</v>
      </c>
      <c r="JG21" s="50"/>
      <c r="JH21" s="50">
        <f>-$IS$21*JH19</f>
        <v>135093.42140000002</v>
      </c>
      <c r="JI21" s="22">
        <f>ROW()</f>
        <v>21</v>
      </c>
      <c r="JJ21" s="480"/>
      <c r="KA21" s="30"/>
      <c r="KS21" s="22">
        <f>ROW()</f>
        <v>21</v>
      </c>
      <c r="KT21" s="598" t="s">
        <v>289</v>
      </c>
      <c r="KU21" s="480"/>
      <c r="KV21" s="74">
        <v>8947920.2326263264</v>
      </c>
      <c r="KW21" s="74">
        <v>265251.98206803203</v>
      </c>
      <c r="KX21" s="637">
        <f t="shared" si="48"/>
        <v>9213172.2146943584</v>
      </c>
      <c r="KY21" s="637">
        <v>0</v>
      </c>
      <c r="KZ21" s="637">
        <f t="shared" si="49"/>
        <v>9213172.2146943584</v>
      </c>
      <c r="LA21" s="637">
        <v>0</v>
      </c>
      <c r="LB21" s="637">
        <f t="shared" si="26"/>
        <v>9213172.2146943584</v>
      </c>
      <c r="LC21" s="637"/>
      <c r="LD21" s="637">
        <f t="shared" si="26"/>
        <v>9213172.2146943584</v>
      </c>
      <c r="LE21" s="637"/>
      <c r="LF21" s="637">
        <f t="shared" si="26"/>
        <v>9213172.2146943584</v>
      </c>
      <c r="LG21" s="637"/>
      <c r="LH21" s="637"/>
      <c r="LI21" s="637"/>
      <c r="LJ21" s="637">
        <f t="shared" si="26"/>
        <v>0</v>
      </c>
      <c r="LK21" s="22">
        <f>ROW()</f>
        <v>21</v>
      </c>
      <c r="LL21" s="23" t="s">
        <v>150</v>
      </c>
      <c r="LN21" s="1192">
        <v>-135953118.1016821</v>
      </c>
      <c r="LO21" s="1192">
        <v>-6040411.6689128876</v>
      </c>
      <c r="LP21" s="651">
        <f t="shared" si="4"/>
        <v>-141993529.77059498</v>
      </c>
      <c r="LQ21" s="651">
        <v>0</v>
      </c>
      <c r="LR21" s="651">
        <f t="shared" si="5"/>
        <v>-141993529.77059498</v>
      </c>
      <c r="LS21" s="651">
        <v>0</v>
      </c>
      <c r="LT21" s="651">
        <f t="shared" si="6"/>
        <v>-141993529.77059498</v>
      </c>
      <c r="LU21" s="651">
        <v>0</v>
      </c>
      <c r="LV21" s="651">
        <f t="shared" si="7"/>
        <v>-141993529.77059498</v>
      </c>
      <c r="LW21" s="651">
        <v>0</v>
      </c>
      <c r="LX21" s="651">
        <f t="shared" si="8"/>
        <v>-141993529.77059498</v>
      </c>
      <c r="LY21" s="651">
        <v>0</v>
      </c>
      <c r="LZ21" s="651"/>
      <c r="MA21" s="651">
        <v>0</v>
      </c>
      <c r="MB21" s="651">
        <f t="shared" si="9"/>
        <v>0</v>
      </c>
      <c r="MC21" s="22">
        <f>ROW()</f>
        <v>21</v>
      </c>
      <c r="MD21" s="555" t="s">
        <v>291</v>
      </c>
      <c r="MF21" s="50">
        <v>6277133.7799999993</v>
      </c>
      <c r="MG21" s="78">
        <v>-6277133.7799999993</v>
      </c>
      <c r="MH21" s="50">
        <f>MF21+MG21</f>
        <v>0</v>
      </c>
      <c r="MI21" s="50">
        <v>0</v>
      </c>
      <c r="MJ21" s="50">
        <f>MH21+MI21</f>
        <v>0</v>
      </c>
      <c r="MK21" s="50"/>
      <c r="ML21" s="50">
        <f>MJ21+MK21</f>
        <v>0</v>
      </c>
      <c r="MM21" s="50"/>
      <c r="MN21" s="50">
        <f>ML21+MM21</f>
        <v>0</v>
      </c>
      <c r="MO21" s="50"/>
      <c r="MP21" s="50">
        <f>MN21+MO21</f>
        <v>0</v>
      </c>
      <c r="MQ21" s="50"/>
      <c r="MR21" s="50">
        <f>MP21+MQ21</f>
        <v>0</v>
      </c>
      <c r="MS21" s="50"/>
      <c r="MT21" s="50">
        <f>MR21+MS21</f>
        <v>0</v>
      </c>
      <c r="MU21" s="22">
        <f>ROW()</f>
        <v>21</v>
      </c>
      <c r="MV21" s="555" t="s">
        <v>292</v>
      </c>
      <c r="MW21" s="50"/>
      <c r="MX21" s="635">
        <f>-MX19-MX20</f>
        <v>-8514269.6587000005</v>
      </c>
      <c r="MY21" s="704">
        <f>-MY19-MY20</f>
        <v>-2412351.6838164986</v>
      </c>
      <c r="MZ21" s="704">
        <f>SUM(MX21:MY21)</f>
        <v>-10926621.342516499</v>
      </c>
      <c r="NA21" s="635">
        <f>-NA19-NA20</f>
        <v>0</v>
      </c>
      <c r="NB21" s="704">
        <f>SUM(MZ21:NA21)</f>
        <v>-10926621.342516499</v>
      </c>
      <c r="NC21" s="635">
        <f>-NC19-NC20</f>
        <v>0</v>
      </c>
      <c r="ND21" s="704">
        <f>SUM(NB21:NC21)</f>
        <v>-10926621.342516499</v>
      </c>
      <c r="NE21" s="635">
        <f>-NE19-NE20</f>
        <v>0</v>
      </c>
      <c r="NF21" s="704">
        <f>SUM(ND21:NE21)</f>
        <v>-10926621.342516499</v>
      </c>
      <c r="NG21" s="635">
        <f t="shared" ref="NG21:NL21" si="72">-NG19-NG20</f>
        <v>0</v>
      </c>
      <c r="NH21" s="704">
        <f t="shared" si="72"/>
        <v>-10926621.342516501</v>
      </c>
      <c r="NI21" s="635">
        <f t="shared" si="72"/>
        <v>0</v>
      </c>
      <c r="NJ21" s="635">
        <f t="shared" si="72"/>
        <v>0</v>
      </c>
      <c r="NK21" s="635">
        <f t="shared" si="72"/>
        <v>0</v>
      </c>
      <c r="NL21" s="635">
        <f t="shared" si="72"/>
        <v>0</v>
      </c>
      <c r="NM21" s="22">
        <f>ROW()</f>
        <v>21</v>
      </c>
      <c r="NN21" s="28" t="s">
        <v>97</v>
      </c>
      <c r="NP21" s="550"/>
      <c r="NQ21" s="619"/>
      <c r="NR21" s="550"/>
      <c r="NS21" s="619"/>
      <c r="NT21" s="550"/>
      <c r="NU21" s="619"/>
      <c r="NV21" s="619">
        <f>'SEF-30 pg 1'!I33</f>
        <v>52818585.446661174</v>
      </c>
      <c r="NW21" s="640">
        <v>-10694852.311386861</v>
      </c>
      <c r="NX21" s="619">
        <f t="shared" si="51"/>
        <v>42123733.135274313</v>
      </c>
      <c r="NY21" s="640">
        <v>-629248.44066616148</v>
      </c>
      <c r="NZ21" s="619">
        <f t="shared" si="52"/>
        <v>41494484.694608152</v>
      </c>
      <c r="OA21" s="641"/>
      <c r="OB21" s="641"/>
      <c r="OC21" s="641"/>
      <c r="OD21" s="641"/>
      <c r="OE21" s="482">
        <f>ROW()</f>
        <v>21</v>
      </c>
      <c r="OF21" s="78" t="s">
        <v>293</v>
      </c>
      <c r="OG21" s="78"/>
      <c r="OH21" s="705">
        <f>SUM(OH18:OH20)</f>
        <v>60657666.762677558</v>
      </c>
      <c r="OI21" s="705">
        <f>SUM(OI18:OI20)</f>
        <v>0</v>
      </c>
      <c r="OJ21" s="705">
        <f>SUM(OJ18:OJ20)</f>
        <v>60657666.762677558</v>
      </c>
      <c r="OK21" s="705">
        <f>SUM(OK18:OK20)</f>
        <v>-60657666.762677558</v>
      </c>
      <c r="OL21" s="705">
        <f>SUM(OL18:OL20)</f>
        <v>0</v>
      </c>
      <c r="OM21" s="705"/>
      <c r="ON21" s="705"/>
      <c r="OO21" s="705"/>
      <c r="OP21" s="705"/>
      <c r="OQ21" s="705"/>
      <c r="OR21" s="705"/>
      <c r="OS21" s="705">
        <f>SUM(OS18:OS20)</f>
        <v>0</v>
      </c>
      <c r="OT21" s="705">
        <f>SUM(OT18:OT20)</f>
        <v>0</v>
      </c>
      <c r="OU21" s="705">
        <f>SUM(OU18:OU20)</f>
        <v>0</v>
      </c>
      <c r="OV21" s="705">
        <f>SUM(OV18:OV20)</f>
        <v>0</v>
      </c>
      <c r="OW21" s="22">
        <f>ROW()</f>
        <v>21</v>
      </c>
      <c r="OX21" s="480" t="s">
        <v>294</v>
      </c>
      <c r="OY21" s="644"/>
      <c r="OZ21" s="1199">
        <f t="shared" ref="OZ21:PN21" si="73">SUM(OZ18:OZ20)</f>
        <v>250801491.79280999</v>
      </c>
      <c r="PA21" s="1199">
        <f t="shared" si="73"/>
        <v>-161479731.44760534</v>
      </c>
      <c r="PB21" s="1200">
        <f t="shared" si="73"/>
        <v>89321760.345204651</v>
      </c>
      <c r="PC21" s="1200">
        <f t="shared" si="73"/>
        <v>161479731.44760534</v>
      </c>
      <c r="PD21" s="1200">
        <f t="shared" si="73"/>
        <v>250801491.79280999</v>
      </c>
      <c r="PE21" s="1200">
        <f t="shared" si="73"/>
        <v>0</v>
      </c>
      <c r="PF21" s="1200">
        <f t="shared" si="73"/>
        <v>250801491.79280999</v>
      </c>
      <c r="PG21" s="1200">
        <f>SUM(PG18:PG20)</f>
        <v>0</v>
      </c>
      <c r="PH21" s="1199">
        <f t="shared" si="73"/>
        <v>250801491.79280999</v>
      </c>
      <c r="PI21" s="1200">
        <f>SUM(PI18:PI20)</f>
        <v>0</v>
      </c>
      <c r="PJ21" s="1199">
        <f t="shared" si="73"/>
        <v>250801491.79280999</v>
      </c>
      <c r="PK21" s="707">
        <f t="shared" si="73"/>
        <v>0</v>
      </c>
      <c r="PL21" s="706">
        <f t="shared" si="73"/>
        <v>250801491.79280999</v>
      </c>
      <c r="PM21" s="707">
        <f t="shared" si="73"/>
        <v>0</v>
      </c>
      <c r="PN21" s="706">
        <f t="shared" si="73"/>
        <v>250801491.79280999</v>
      </c>
      <c r="PO21" s="7"/>
      <c r="PP21" s="7"/>
      <c r="PQ21" s="7"/>
      <c r="PR21" s="7"/>
      <c r="PS21" s="22">
        <f>ROW()</f>
        <v>21</v>
      </c>
      <c r="PT21" s="679" t="s">
        <v>240</v>
      </c>
      <c r="PU21" s="565"/>
      <c r="PV21" s="708">
        <f t="shared" ref="PV21:QJ21" si="74">-PV18-PV20</f>
        <v>-668872.73650000012</v>
      </c>
      <c r="PW21" s="708">
        <f t="shared" si="74"/>
        <v>-42170.084930424709</v>
      </c>
      <c r="PX21" s="708">
        <f t="shared" si="74"/>
        <v>-711042.82143042481</v>
      </c>
      <c r="PY21" s="708">
        <f t="shared" si="74"/>
        <v>2149.1401020913058</v>
      </c>
      <c r="PZ21" s="708">
        <f t="shared" si="74"/>
        <v>-708893.68132833345</v>
      </c>
      <c r="QA21" s="708">
        <f t="shared" si="74"/>
        <v>-2151.7484116665646</v>
      </c>
      <c r="QB21" s="708">
        <f t="shared" si="74"/>
        <v>-711045.42974000005</v>
      </c>
      <c r="QC21" s="708">
        <f t="shared" si="74"/>
        <v>228474.10578381649</v>
      </c>
      <c r="QD21" s="708">
        <f t="shared" si="74"/>
        <v>-482571.32395618357</v>
      </c>
      <c r="QE21" s="708">
        <f t="shared" si="74"/>
        <v>391700.98369999998</v>
      </c>
      <c r="QF21" s="708">
        <f t="shared" si="74"/>
        <v>-90870.340256183568</v>
      </c>
      <c r="QG21" s="708">
        <f t="shared" si="74"/>
        <v>0</v>
      </c>
      <c r="QH21" s="708">
        <f t="shared" si="74"/>
        <v>-90870.340256183568</v>
      </c>
      <c r="QI21" s="708">
        <f t="shared" si="74"/>
        <v>0</v>
      </c>
      <c r="QJ21" s="708">
        <f t="shared" si="74"/>
        <v>-90870.340256183568</v>
      </c>
      <c r="QK21" s="22">
        <f>ROW()</f>
        <v>21</v>
      </c>
      <c r="QL21" s="520" t="s">
        <v>295</v>
      </c>
      <c r="QN21" s="709">
        <f>QN19+QN20</f>
        <v>0</v>
      </c>
      <c r="QO21" s="709">
        <f t="shared" ref="QO21:RA21" si="75">QO19+QO20</f>
        <v>0</v>
      </c>
      <c r="QP21" s="709">
        <f t="shared" si="75"/>
        <v>0</v>
      </c>
      <c r="QQ21" s="709">
        <f t="shared" si="75"/>
        <v>0</v>
      </c>
      <c r="QR21" s="709">
        <f t="shared" si="75"/>
        <v>0</v>
      </c>
      <c r="QS21" s="709">
        <f t="shared" si="75"/>
        <v>0</v>
      </c>
      <c r="QT21" s="709">
        <f t="shared" si="75"/>
        <v>0</v>
      </c>
      <c r="QU21" s="709">
        <f t="shared" si="75"/>
        <v>0</v>
      </c>
      <c r="QV21" s="709">
        <f t="shared" si="75"/>
        <v>0</v>
      </c>
      <c r="QW21" s="709">
        <f t="shared" si="75"/>
        <v>0</v>
      </c>
      <c r="QX21" s="709">
        <f t="shared" si="75"/>
        <v>0</v>
      </c>
      <c r="QY21" s="709"/>
      <c r="QZ21" s="709">
        <f>QZ19+QZ20</f>
        <v>0</v>
      </c>
      <c r="RA21" s="709">
        <f t="shared" si="75"/>
        <v>0</v>
      </c>
      <c r="RB21" s="709">
        <f>RB19+RB20</f>
        <v>0</v>
      </c>
      <c r="RC21" s="22">
        <f>ROW()</f>
        <v>21</v>
      </c>
      <c r="RD21" s="102" t="s">
        <v>275</v>
      </c>
      <c r="RF21" s="568"/>
      <c r="RG21" s="568"/>
      <c r="RH21" s="39">
        <f t="shared" ref="RH21:RP21" si="76">SUM(RH17:RH20)</f>
        <v>414214933.71811336</v>
      </c>
      <c r="RI21" s="39">
        <f t="shared" si="76"/>
        <v>1121435.1292094663</v>
      </c>
      <c r="RJ21" s="39">
        <f t="shared" si="76"/>
        <v>415336368.84732282</v>
      </c>
      <c r="RK21" s="39">
        <f t="shared" si="76"/>
        <v>-4042532.6617880836</v>
      </c>
      <c r="RL21" s="39">
        <f t="shared" si="76"/>
        <v>411293836.18553478</v>
      </c>
      <c r="RM21" s="39">
        <f t="shared" si="76"/>
        <v>-6188121.428004846</v>
      </c>
      <c r="RN21" s="39">
        <f t="shared" si="76"/>
        <v>405105714.75752991</v>
      </c>
      <c r="RO21" s="39">
        <f>SUM(RO17:RO20)</f>
        <v>-21973136.552504987</v>
      </c>
      <c r="RP21" s="39">
        <f t="shared" si="76"/>
        <v>383132578.20502496</v>
      </c>
      <c r="RQ21" s="606">
        <f>SUM(RQ17:RQ20)</f>
        <v>0</v>
      </c>
      <c r="RR21" s="606">
        <f>SUM(RR17:RR20)</f>
        <v>0</v>
      </c>
      <c r="RS21" s="606">
        <f>SUM(RS17:RS20)</f>
        <v>0</v>
      </c>
      <c r="RT21" s="606">
        <f>SUM(RT17:RT20)</f>
        <v>0</v>
      </c>
      <c r="RU21" s="521">
        <f>ROW()</f>
        <v>21</v>
      </c>
      <c r="RV21" s="102" t="s">
        <v>291</v>
      </c>
      <c r="RW21" s="520"/>
      <c r="RX21" s="688"/>
      <c r="RY21" s="688"/>
      <c r="RZ21" s="688"/>
      <c r="SA21" s="74">
        <v>0</v>
      </c>
      <c r="SB21" s="42">
        <f t="shared" ref="SB21:SL23" si="77">SA21+RZ21</f>
        <v>0</v>
      </c>
      <c r="SC21" s="74">
        <v>0</v>
      </c>
      <c r="SD21" s="42">
        <f t="shared" si="77"/>
        <v>0</v>
      </c>
      <c r="SE21" s="74">
        <v>0</v>
      </c>
      <c r="SF21" s="42">
        <f t="shared" si="77"/>
        <v>0</v>
      </c>
      <c r="SG21" s="74">
        <v>0</v>
      </c>
      <c r="SH21" s="42">
        <f t="shared" si="77"/>
        <v>0</v>
      </c>
      <c r="SI21" s="710"/>
      <c r="SJ21" s="710">
        <f t="shared" si="77"/>
        <v>0</v>
      </c>
      <c r="SK21" s="607"/>
      <c r="SL21" s="710">
        <f t="shared" si="77"/>
        <v>0</v>
      </c>
      <c r="SM21" s="521">
        <f>ROW()</f>
        <v>21</v>
      </c>
      <c r="SO21" s="608"/>
      <c r="SP21" s="606"/>
      <c r="SQ21" s="606"/>
      <c r="SR21" s="606"/>
      <c r="SS21" s="39"/>
      <c r="ST21" s="39"/>
      <c r="SU21" s="39"/>
      <c r="SV21" s="39"/>
      <c r="SW21" s="39"/>
      <c r="SX21" s="39"/>
      <c r="SY21" s="39"/>
      <c r="SZ21" s="39"/>
      <c r="TA21" s="606"/>
      <c r="TB21" s="606"/>
      <c r="TC21" s="606"/>
      <c r="TD21" s="606"/>
      <c r="TF21" s="950">
        <f>ROW()</f>
        <v>21</v>
      </c>
      <c r="TG21" s="679" t="s">
        <v>17</v>
      </c>
      <c r="TH21" s="711">
        <f>+'SEF-31'!$E$12</f>
        <v>6.4879999999999998E-3</v>
      </c>
      <c r="TI21" s="78">
        <f>+$TI$19*TH21</f>
        <v>277.10682695999998</v>
      </c>
      <c r="TJ21" s="78">
        <f>-TI21</f>
        <v>-277.10682695999998</v>
      </c>
      <c r="TK21" s="1"/>
      <c r="TL21" s="78"/>
      <c r="TM21" s="1"/>
      <c r="TN21" s="78"/>
      <c r="TO21" s="1"/>
      <c r="TP21" s="78"/>
      <c r="TQ21" s="1"/>
      <c r="TR21" s="78"/>
      <c r="TS21" s="1"/>
      <c r="TU21" s="521">
        <f>ROW()</f>
        <v>21</v>
      </c>
      <c r="TV21" s="712" t="s">
        <v>296</v>
      </c>
      <c r="UJ21" s="22">
        <f>ROW()</f>
        <v>21</v>
      </c>
      <c r="UK21" s="349" t="s">
        <v>297</v>
      </c>
      <c r="UL21" s="652"/>
      <c r="UM21" s="672">
        <f t="shared" ref="UM21:UW21" si="78">SUM(UM18:UM20)</f>
        <v>127874</v>
      </c>
      <c r="UN21" s="672">
        <f t="shared" si="78"/>
        <v>-127874</v>
      </c>
      <c r="UO21" s="672">
        <f t="shared" si="78"/>
        <v>0</v>
      </c>
      <c r="UP21" s="672">
        <f t="shared" si="78"/>
        <v>0</v>
      </c>
      <c r="UQ21" s="672">
        <f t="shared" si="78"/>
        <v>0</v>
      </c>
      <c r="UR21" s="672">
        <f t="shared" si="78"/>
        <v>0</v>
      </c>
      <c r="US21" s="672">
        <f t="shared" si="78"/>
        <v>0</v>
      </c>
      <c r="UT21" s="672">
        <f t="shared" si="78"/>
        <v>138000</v>
      </c>
      <c r="UU21" s="672">
        <f t="shared" si="78"/>
        <v>138000</v>
      </c>
      <c r="UV21" s="672">
        <f t="shared" si="78"/>
        <v>0</v>
      </c>
      <c r="UW21" s="672">
        <f t="shared" si="78"/>
        <v>138000</v>
      </c>
      <c r="UY21" s="521">
        <f>ROW()</f>
        <v>21</v>
      </c>
      <c r="UZ21" s="102" t="s">
        <v>298</v>
      </c>
      <c r="VB21" s="687"/>
      <c r="VC21" s="687"/>
      <c r="VD21" s="687"/>
      <c r="VE21" s="713">
        <f>VF21-VD18</f>
        <v>-768134.80799999996</v>
      </c>
      <c r="VF21" s="714">
        <v>-768134.80799999996</v>
      </c>
      <c r="VG21" s="713">
        <f>VH21-VF21</f>
        <v>-2381865.1919999802</v>
      </c>
      <c r="VH21" s="714">
        <v>-3149999.99999998</v>
      </c>
      <c r="VI21" s="713">
        <f>VJ21-VH21</f>
        <v>787499.99999999441</v>
      </c>
      <c r="VJ21" s="714">
        <v>-2362499.9999999856</v>
      </c>
      <c r="VK21" s="713">
        <f>VL21-VJ21</f>
        <v>1574999.9999999888</v>
      </c>
      <c r="VL21" s="714">
        <v>-787499.99999999674</v>
      </c>
      <c r="VN21" s="521">
        <f>ROW()</f>
        <v>21</v>
      </c>
      <c r="VO21" s="694" t="s">
        <v>240</v>
      </c>
      <c r="VQ21" s="715">
        <f>-VQ18-VQ20</f>
        <v>0</v>
      </c>
      <c r="VR21" s="715">
        <f t="shared" ref="VR21:WA21" si="79">-VR18-VR20</f>
        <v>0</v>
      </c>
      <c r="VS21" s="715">
        <f t="shared" si="79"/>
        <v>0</v>
      </c>
      <c r="VT21" s="715">
        <f t="shared" si="79"/>
        <v>0</v>
      </c>
      <c r="VU21" s="715">
        <f t="shared" si="79"/>
        <v>0</v>
      </c>
      <c r="VV21" s="715">
        <f t="shared" si="79"/>
        <v>0</v>
      </c>
      <c r="VW21" s="715">
        <f t="shared" si="79"/>
        <v>0</v>
      </c>
      <c r="VX21" s="715">
        <f t="shared" si="79"/>
        <v>-444846.3825050923</v>
      </c>
      <c r="VY21" s="715">
        <f t="shared" si="79"/>
        <v>-444846.3825050923</v>
      </c>
      <c r="VZ21" s="715">
        <f t="shared" si="79"/>
        <v>-15569.623387678046</v>
      </c>
      <c r="WA21" s="715">
        <f t="shared" si="79"/>
        <v>-460416.00589277036</v>
      </c>
      <c r="WC21" s="521">
        <f>ROW()</f>
        <v>21</v>
      </c>
      <c r="WD21" s="694" t="s">
        <v>240</v>
      </c>
      <c r="WF21" s="715">
        <f>-WF18-WF20</f>
        <v>0</v>
      </c>
      <c r="WG21" s="715">
        <f t="shared" ref="WG21:WP21" si="80">-WG18-WG20</f>
        <v>0</v>
      </c>
      <c r="WH21" s="715">
        <f t="shared" si="80"/>
        <v>0</v>
      </c>
      <c r="WI21" s="715">
        <f t="shared" si="80"/>
        <v>0</v>
      </c>
      <c r="WJ21" s="715">
        <f t="shared" si="80"/>
        <v>0</v>
      </c>
      <c r="WK21" s="715">
        <f t="shared" si="80"/>
        <v>0</v>
      </c>
      <c r="WL21" s="715">
        <f t="shared" si="80"/>
        <v>0</v>
      </c>
      <c r="WM21" s="716">
        <f t="shared" si="80"/>
        <v>-2006100.9934268999</v>
      </c>
      <c r="WN21" s="716">
        <f t="shared" si="80"/>
        <v>-2006100.9934268999</v>
      </c>
      <c r="WO21" s="716">
        <f t="shared" si="80"/>
        <v>-1002479.2559571001</v>
      </c>
      <c r="WP21" s="716">
        <f t="shared" si="80"/>
        <v>-3008580.249384</v>
      </c>
    </row>
    <row r="22" spans="1:614" ht="17.25" thickTop="1" thickBot="1" x14ac:dyDescent="0.3">
      <c r="A22" s="22">
        <f>ROW()</f>
        <v>22</v>
      </c>
      <c r="B22" s="617"/>
      <c r="C22" s="23"/>
      <c r="D22" s="618"/>
      <c r="E22" s="618"/>
      <c r="F22" s="618"/>
      <c r="G22" s="640"/>
      <c r="H22" s="618"/>
      <c r="I22" s="618"/>
      <c r="J22" s="618"/>
      <c r="K22" s="618"/>
      <c r="L22" s="618"/>
      <c r="M22" s="618"/>
      <c r="N22" s="618"/>
      <c r="O22" s="618"/>
      <c r="P22" s="618">
        <f t="shared" si="18"/>
        <v>0</v>
      </c>
      <c r="Q22" s="618"/>
      <c r="R22" s="618">
        <f t="shared" si="19"/>
        <v>0</v>
      </c>
      <c r="S22" s="529">
        <f>ROW()</f>
        <v>22</v>
      </c>
      <c r="T22" s="41" t="s">
        <v>299</v>
      </c>
      <c r="U22" s="581"/>
      <c r="V22" s="620">
        <v>-81560520.599999994</v>
      </c>
      <c r="W22" s="620">
        <f t="shared" si="10"/>
        <v>81560520.599999994</v>
      </c>
      <c r="X22" s="74">
        <f t="shared" si="35"/>
        <v>0</v>
      </c>
      <c r="Z22" s="74">
        <f t="shared" si="36"/>
        <v>0</v>
      </c>
      <c r="AB22" s="74">
        <f t="shared" si="37"/>
        <v>0</v>
      </c>
      <c r="AD22" s="74">
        <f t="shared" si="38"/>
        <v>0</v>
      </c>
      <c r="AF22" s="74">
        <f t="shared" si="39"/>
        <v>0</v>
      </c>
      <c r="AG22" s="20"/>
      <c r="AH22" s="42"/>
      <c r="AI22" s="20"/>
      <c r="AJ22" s="42"/>
      <c r="AK22" s="22">
        <f>ROW()</f>
        <v>22</v>
      </c>
      <c r="AL22" s="28" t="s">
        <v>300</v>
      </c>
      <c r="AM22" s="717">
        <f>'SEF-31'!E12</f>
        <v>6.4879999999999998E-3</v>
      </c>
      <c r="AN22" s="718">
        <f>AN$20*$AM22</f>
        <v>16151301.35923586</v>
      </c>
      <c r="AO22" s="718">
        <f>AO$20*$AM22</f>
        <v>-394879.45542399999</v>
      </c>
      <c r="AP22" s="534">
        <f>SUM(AN22:AO22)</f>
        <v>15756421.903811861</v>
      </c>
      <c r="AQ22" s="719">
        <f>AQ$20*$AM22</f>
        <v>0</v>
      </c>
      <c r="AR22" s="534">
        <f>SUM(AP23:AQ23)</f>
        <v>12142741.911075726</v>
      </c>
      <c r="AS22" s="719">
        <v>0</v>
      </c>
      <c r="AT22" s="718">
        <f>SUM(AR22:AS22)</f>
        <v>12142741.911075726</v>
      </c>
      <c r="AU22" s="719">
        <v>0</v>
      </c>
      <c r="AV22" s="718">
        <f>SUM(AT22:AU22)</f>
        <v>12142741.911075726</v>
      </c>
      <c r="AW22" s="719">
        <v>0</v>
      </c>
      <c r="AX22" s="718">
        <f>SUM(AV22:AW22)</f>
        <v>12142741.911075726</v>
      </c>
      <c r="AY22" s="719"/>
      <c r="AZ22" s="719"/>
      <c r="BA22" s="22">
        <f>ROW()</f>
        <v>22</v>
      </c>
      <c r="BB22" s="516" t="s">
        <v>301</v>
      </c>
      <c r="BD22" s="697">
        <f t="shared" ref="BD22:BR22" si="81">SUM(BD16:BD21)</f>
        <v>66839376.640000015</v>
      </c>
      <c r="BE22" s="697">
        <f t="shared" si="81"/>
        <v>-2711360.7719267928</v>
      </c>
      <c r="BF22" s="697">
        <f t="shared" si="81"/>
        <v>64128015.868073218</v>
      </c>
      <c r="BG22" s="697">
        <f t="shared" si="81"/>
        <v>-3832342.7665624972</v>
      </c>
      <c r="BH22" s="697">
        <f t="shared" si="81"/>
        <v>60913998.75803145</v>
      </c>
      <c r="BI22" s="697">
        <f t="shared" si="81"/>
        <v>1299233.3888071019</v>
      </c>
      <c r="BJ22" s="697">
        <f t="shared" si="81"/>
        <v>62213232.146838553</v>
      </c>
      <c r="BK22" s="697">
        <f t="shared" si="81"/>
        <v>-455130.5393555006</v>
      </c>
      <c r="BL22" s="697">
        <f t="shared" si="81"/>
        <v>63227415.368483044</v>
      </c>
      <c r="BM22" s="697">
        <f t="shared" si="81"/>
        <v>-560044.45140025904</v>
      </c>
      <c r="BN22" s="697">
        <f t="shared" si="81"/>
        <v>62666506.337282792</v>
      </c>
      <c r="BO22" s="697">
        <f t="shared" si="81"/>
        <v>0</v>
      </c>
      <c r="BP22" s="697">
        <f t="shared" si="81"/>
        <v>62666506.337282792</v>
      </c>
      <c r="BQ22" s="697">
        <f t="shared" si="81"/>
        <v>0</v>
      </c>
      <c r="BR22" s="697">
        <f t="shared" si="81"/>
        <v>62666506.337282792</v>
      </c>
      <c r="BS22" s="22">
        <f>ROW()</f>
        <v>22</v>
      </c>
      <c r="BT22" s="512"/>
      <c r="CA22" s="1"/>
      <c r="CB22" s="1"/>
      <c r="CC22" s="1"/>
      <c r="CD22" s="1"/>
      <c r="CE22" s="1"/>
      <c r="CF22" s="1"/>
      <c r="CG22" s="1"/>
      <c r="CH22" s="1"/>
      <c r="CI22" s="1"/>
      <c r="CJ22" s="1"/>
      <c r="DC22" s="22">
        <f>ROW()</f>
        <v>22</v>
      </c>
      <c r="DD22" s="28" t="s">
        <v>302</v>
      </c>
      <c r="DF22" s="42">
        <v>4989.6000000000004</v>
      </c>
      <c r="DG22" s="42">
        <v>-4989.6000000000004</v>
      </c>
      <c r="DH22" s="607">
        <f>DF22+DG22</f>
        <v>0</v>
      </c>
      <c r="DJ22" s="42">
        <f>DH22+DI22</f>
        <v>0</v>
      </c>
      <c r="DL22" s="42">
        <f>DJ22+DK22</f>
        <v>0</v>
      </c>
      <c r="DN22" s="42">
        <f>DL22+DM22</f>
        <v>0</v>
      </c>
      <c r="DP22" s="42">
        <f>DN22+DO22</f>
        <v>0</v>
      </c>
      <c r="DR22" s="42">
        <f t="shared" si="68"/>
        <v>0</v>
      </c>
      <c r="DT22" s="42">
        <f t="shared" si="69"/>
        <v>0</v>
      </c>
      <c r="DU22" s="22">
        <f>ROW()</f>
        <v>22</v>
      </c>
      <c r="DV22" s="4" t="s">
        <v>292</v>
      </c>
      <c r="DW22" s="4"/>
      <c r="DX22" s="635">
        <f>-DX20-DX21</f>
        <v>-84056849.968109995</v>
      </c>
      <c r="DY22" s="635">
        <f>-DY20-DY21</f>
        <v>-21645.139784809799</v>
      </c>
      <c r="DZ22" s="635">
        <f>-DZ20-DZ21</f>
        <v>-84078495.107894808</v>
      </c>
      <c r="EA22" s="635">
        <f>-EA20-EA21</f>
        <v>0</v>
      </c>
      <c r="EB22" s="635">
        <f>-EB20-EB21</f>
        <v>-84078495.107894808</v>
      </c>
      <c r="EC22" s="635">
        <f t="shared" ref="EC22:EK22" si="82">-EC20-EC21</f>
        <v>0</v>
      </c>
      <c r="ED22" s="635">
        <f t="shared" si="82"/>
        <v>-84078495.107894808</v>
      </c>
      <c r="EE22" s="635">
        <f t="shared" si="82"/>
        <v>0</v>
      </c>
      <c r="EF22" s="635">
        <f t="shared" si="82"/>
        <v>-84078495.107894808</v>
      </c>
      <c r="EG22" s="635">
        <f t="shared" si="82"/>
        <v>0</v>
      </c>
      <c r="EH22" s="635">
        <f t="shared" si="82"/>
        <v>-84078495.107894808</v>
      </c>
      <c r="EI22" s="635">
        <f t="shared" si="82"/>
        <v>0</v>
      </c>
      <c r="EJ22" s="635">
        <f>-EJ20-EJ21</f>
        <v>0</v>
      </c>
      <c r="EK22" s="635">
        <f t="shared" si="82"/>
        <v>0</v>
      </c>
      <c r="EL22" s="635">
        <f>-EL20-EL21</f>
        <v>0</v>
      </c>
      <c r="EM22" s="22">
        <f>ROW()</f>
        <v>22</v>
      </c>
      <c r="EN22" s="720" t="s">
        <v>303</v>
      </c>
      <c r="EO22" s="587"/>
      <c r="EP22" s="630">
        <v>16408019.588868076</v>
      </c>
      <c r="EQ22" s="630">
        <f>ER22-EP22</f>
        <v>0</v>
      </c>
      <c r="ER22" s="553">
        <v>16408019.588868076</v>
      </c>
      <c r="ES22" s="630">
        <f>ET22-ER22</f>
        <v>0</v>
      </c>
      <c r="ET22" s="553">
        <v>16408019.588868076</v>
      </c>
      <c r="EU22" s="631"/>
      <c r="EV22" s="553">
        <f>SUM(ET22:EU22)</f>
        <v>16408019.588868076</v>
      </c>
      <c r="EW22" s="631"/>
      <c r="EX22" s="553">
        <f>SUM(EV22:EW22)</f>
        <v>16408019.588868076</v>
      </c>
      <c r="EY22" s="631"/>
      <c r="EZ22" s="553">
        <f>SUM(EX22:EY22)</f>
        <v>16408019.588868076</v>
      </c>
      <c r="FA22" s="630"/>
      <c r="FB22" s="553"/>
      <c r="FC22" s="630"/>
      <c r="FD22" s="553">
        <f>SUM(FB22:FC22)</f>
        <v>0</v>
      </c>
      <c r="FE22" s="22">
        <f>ROW()</f>
        <v>22</v>
      </c>
      <c r="FF22" s="23"/>
      <c r="FG22" s="23"/>
      <c r="FH22" s="591"/>
      <c r="FI22" s="591"/>
      <c r="FJ22" s="591"/>
      <c r="FK22" s="591"/>
      <c r="FL22" s="591"/>
      <c r="FM22" s="591"/>
      <c r="FN22" s="591"/>
      <c r="FO22" s="591"/>
      <c r="FP22" s="591"/>
      <c r="FQ22" s="591"/>
      <c r="FR22" s="591"/>
      <c r="FS22" s="591"/>
      <c r="FT22" s="591"/>
      <c r="FU22" s="591"/>
      <c r="FV22" s="591"/>
      <c r="FW22" s="22">
        <f>ROW()</f>
        <v>22</v>
      </c>
      <c r="FX22" s="592" t="s">
        <v>304</v>
      </c>
      <c r="FZ22" s="633">
        <v>185947.36786485315</v>
      </c>
      <c r="GA22" s="633">
        <v>-64455.826153118149</v>
      </c>
      <c r="GB22" s="633">
        <f t="shared" si="41"/>
        <v>121491.541711735</v>
      </c>
      <c r="GC22" s="633">
        <v>15473.663709910601</v>
      </c>
      <c r="GD22" s="633">
        <f t="shared" si="42"/>
        <v>136965.2054216456</v>
      </c>
      <c r="GE22" s="633">
        <v>6437.7425415138132</v>
      </c>
      <c r="GF22" s="633">
        <f t="shared" si="43"/>
        <v>143402.94796315941</v>
      </c>
      <c r="GG22" s="633">
        <v>30312.392905918823</v>
      </c>
      <c r="GH22" s="633">
        <f t="shared" si="44"/>
        <v>173715.34086907824</v>
      </c>
      <c r="GI22" s="633">
        <v>100.11900269344915</v>
      </c>
      <c r="GJ22" s="633">
        <f t="shared" si="45"/>
        <v>173815.45987177169</v>
      </c>
      <c r="GK22" s="628"/>
      <c r="GL22" s="633">
        <f t="shared" si="45"/>
        <v>173815.45987177169</v>
      </c>
      <c r="GM22" s="628"/>
      <c r="GN22" s="633">
        <f t="shared" si="45"/>
        <v>173815.45987177169</v>
      </c>
      <c r="GO22" s="22">
        <f>ROW()</f>
        <v>22</v>
      </c>
      <c r="GP22" s="20"/>
      <c r="GQ22" s="721"/>
      <c r="GR22" s="722"/>
      <c r="GS22" s="722"/>
      <c r="GT22" s="722"/>
      <c r="GU22" s="722"/>
      <c r="GV22" s="722"/>
      <c r="GW22" s="722"/>
      <c r="GX22" s="722"/>
      <c r="GY22" s="722"/>
      <c r="GZ22" s="722"/>
      <c r="HA22" s="722"/>
      <c r="HB22" s="722"/>
      <c r="HC22" s="722"/>
      <c r="HD22" s="722"/>
      <c r="HE22" s="722"/>
      <c r="HF22" s="722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22">
        <f>ROW()</f>
        <v>22</v>
      </c>
      <c r="HZ22" s="28" t="s">
        <v>283</v>
      </c>
      <c r="IA22" s="56">
        <v>0.21</v>
      </c>
      <c r="IB22" s="686">
        <f t="shared" ref="IB22:IL22" si="83">-IB20*$IA$22</f>
        <v>-2072839.261994424</v>
      </c>
      <c r="IC22" s="686">
        <f t="shared" si="83"/>
        <v>-217543.58037191868</v>
      </c>
      <c r="ID22" s="686">
        <f t="shared" si="83"/>
        <v>-2290382.8423663424</v>
      </c>
      <c r="IE22" s="686">
        <f t="shared" si="83"/>
        <v>0</v>
      </c>
      <c r="IF22" s="686">
        <f t="shared" si="83"/>
        <v>-2290382.8423663424</v>
      </c>
      <c r="IG22" s="686">
        <f t="shared" si="83"/>
        <v>0</v>
      </c>
      <c r="IH22" s="686">
        <f t="shared" si="83"/>
        <v>-2290382.8423663424</v>
      </c>
      <c r="II22" s="686">
        <f t="shared" si="83"/>
        <v>0</v>
      </c>
      <c r="IJ22" s="686">
        <f t="shared" si="83"/>
        <v>-2290382.8423663424</v>
      </c>
      <c r="IK22" s="686">
        <f t="shared" si="83"/>
        <v>0</v>
      </c>
      <c r="IL22" s="686">
        <f t="shared" si="83"/>
        <v>-2290382.8423663424</v>
      </c>
      <c r="IM22" s="686">
        <f>-IM20*$IA$22</f>
        <v>0</v>
      </c>
      <c r="IN22" s="686">
        <f>-IN20*$IA$22</f>
        <v>-2290382.8423663424</v>
      </c>
      <c r="IO22" s="686">
        <f>-IO20*$IA$22</f>
        <v>0</v>
      </c>
      <c r="IP22" s="686">
        <f>-IP20*$IA$22</f>
        <v>-2290382.8423663424</v>
      </c>
      <c r="IQ22" s="22">
        <f>ROW()</f>
        <v>22</v>
      </c>
      <c r="IR22" s="29" t="s">
        <v>240</v>
      </c>
      <c r="IS22" s="29"/>
      <c r="IT22" s="708">
        <f t="shared" ref="IT22:JG22" si="84">-IT19-IT21</f>
        <v>1653446.0866999999</v>
      </c>
      <c r="IU22" s="708">
        <f t="shared" si="84"/>
        <v>-1161336.9166999999</v>
      </c>
      <c r="IV22" s="708">
        <f t="shared" si="84"/>
        <v>492109.17</v>
      </c>
      <c r="IW22" s="708">
        <f t="shared" si="84"/>
        <v>0</v>
      </c>
      <c r="IX22" s="708">
        <f t="shared" si="84"/>
        <v>492109.17</v>
      </c>
      <c r="IY22" s="708">
        <f t="shared" si="84"/>
        <v>0</v>
      </c>
      <c r="IZ22" s="708">
        <f t="shared" si="84"/>
        <v>492109.17</v>
      </c>
      <c r="JA22" s="708">
        <f t="shared" si="84"/>
        <v>16099.415266666794</v>
      </c>
      <c r="JB22" s="708">
        <f t="shared" si="84"/>
        <v>508208.58526666684</v>
      </c>
      <c r="JC22" s="708">
        <f t="shared" si="84"/>
        <v>0</v>
      </c>
      <c r="JD22" s="708">
        <f t="shared" si="84"/>
        <v>508208.58526666684</v>
      </c>
      <c r="JE22" s="708">
        <f t="shared" si="84"/>
        <v>0</v>
      </c>
      <c r="JF22" s="708">
        <f>-JF19-JF21</f>
        <v>508208.58526666684</v>
      </c>
      <c r="JG22" s="708">
        <f t="shared" si="84"/>
        <v>0</v>
      </c>
      <c r="JH22" s="708">
        <f>-JH19-JH21</f>
        <v>508208.58526666684</v>
      </c>
      <c r="JI22" s="22">
        <f>ROW()</f>
        <v>22</v>
      </c>
      <c r="JJ22" s="4" t="s">
        <v>283</v>
      </c>
      <c r="JK22" s="723">
        <v>0.21</v>
      </c>
      <c r="JL22" s="724">
        <f t="shared" ref="JL22:JZ22" si="85">-JL20*$JK$22</f>
        <v>-29532.479110845445</v>
      </c>
      <c r="JM22" s="724">
        <f t="shared" si="85"/>
        <v>4855.9528591429089</v>
      </c>
      <c r="JN22" s="724">
        <f t="shared" si="85"/>
        <v>-24676.526251702537</v>
      </c>
      <c r="JO22" s="724">
        <f t="shared" si="85"/>
        <v>0</v>
      </c>
      <c r="JP22" s="724">
        <f t="shared" si="85"/>
        <v>-24676.526251702537</v>
      </c>
      <c r="JQ22" s="724">
        <f t="shared" si="85"/>
        <v>0</v>
      </c>
      <c r="JR22" s="724">
        <f t="shared" si="85"/>
        <v>-24676.526251702537</v>
      </c>
      <c r="JS22" s="724">
        <f t="shared" si="85"/>
        <v>0</v>
      </c>
      <c r="JT22" s="724">
        <f t="shared" si="85"/>
        <v>-24676.526251702537</v>
      </c>
      <c r="JU22" s="724">
        <f t="shared" si="85"/>
        <v>0</v>
      </c>
      <c r="JV22" s="724">
        <f t="shared" si="85"/>
        <v>-24676.526251702537</v>
      </c>
      <c r="JW22" s="724">
        <f t="shared" si="85"/>
        <v>0</v>
      </c>
      <c r="JX22" s="724">
        <f t="shared" si="85"/>
        <v>-24676.526251702537</v>
      </c>
      <c r="JY22" s="724">
        <f t="shared" si="85"/>
        <v>0</v>
      </c>
      <c r="JZ22" s="724">
        <f t="shared" si="85"/>
        <v>-24676.526251702537</v>
      </c>
      <c r="KA22" s="30"/>
      <c r="KS22" s="22">
        <f>ROW()</f>
        <v>22</v>
      </c>
      <c r="KT22" s="598" t="s">
        <v>304</v>
      </c>
      <c r="KU22" s="480"/>
      <c r="KV22" s="74">
        <v>2317505.4623800088</v>
      </c>
      <c r="KW22" s="74">
        <v>161267.01622294262</v>
      </c>
      <c r="KX22" s="637">
        <f t="shared" si="48"/>
        <v>2478772.4786029514</v>
      </c>
      <c r="KY22" s="637">
        <v>0</v>
      </c>
      <c r="KZ22" s="637">
        <f t="shared" si="49"/>
        <v>2478772.4786029514</v>
      </c>
      <c r="LA22" s="637">
        <v>0</v>
      </c>
      <c r="LB22" s="637">
        <f t="shared" si="26"/>
        <v>2478772.4786029514</v>
      </c>
      <c r="LC22" s="637"/>
      <c r="LD22" s="637">
        <f t="shared" si="26"/>
        <v>2478772.4786029514</v>
      </c>
      <c r="LE22" s="637"/>
      <c r="LF22" s="637">
        <f t="shared" si="26"/>
        <v>2478772.4786029514</v>
      </c>
      <c r="LG22" s="637"/>
      <c r="LH22" s="637"/>
      <c r="LI22" s="637"/>
      <c r="LJ22" s="637">
        <f t="shared" si="26"/>
        <v>0</v>
      </c>
      <c r="LK22" s="22">
        <f>ROW()</f>
        <v>22</v>
      </c>
      <c r="LL22" s="23" t="s">
        <v>118</v>
      </c>
      <c r="LN22" s="725">
        <f t="shared" ref="LN22:MA22" si="86">SUM(LN16:LN21)</f>
        <v>5583764449.6288252</v>
      </c>
      <c r="LO22" s="725">
        <f t="shared" si="86"/>
        <v>23410353.123831868</v>
      </c>
      <c r="LP22" s="725">
        <f t="shared" si="86"/>
        <v>5607174802.752656</v>
      </c>
      <c r="LQ22" s="725">
        <f t="shared" si="86"/>
        <v>0</v>
      </c>
      <c r="LR22" s="726">
        <f t="shared" si="86"/>
        <v>5607174802.752656</v>
      </c>
      <c r="LS22" s="725">
        <f t="shared" si="86"/>
        <v>0</v>
      </c>
      <c r="LT22" s="726">
        <f t="shared" si="86"/>
        <v>5607174802.752656</v>
      </c>
      <c r="LU22" s="725">
        <f t="shared" si="86"/>
        <v>0</v>
      </c>
      <c r="LV22" s="726">
        <f t="shared" si="86"/>
        <v>5607174802.752656</v>
      </c>
      <c r="LW22" s="725">
        <f t="shared" si="86"/>
        <v>0</v>
      </c>
      <c r="LX22" s="725">
        <f t="shared" si="86"/>
        <v>5607174802.752656</v>
      </c>
      <c r="LY22" s="725">
        <f t="shared" si="86"/>
        <v>0</v>
      </c>
      <c r="LZ22" s="725">
        <f>SUM(LZ16:LZ21)</f>
        <v>0</v>
      </c>
      <c r="MA22" s="725">
        <f t="shared" si="86"/>
        <v>0</v>
      </c>
      <c r="MB22" s="725">
        <f>SUM(MB16:MB21)</f>
        <v>0</v>
      </c>
      <c r="MC22" s="22">
        <f>ROW()</f>
        <v>22</v>
      </c>
      <c r="MD22" s="555" t="s">
        <v>305</v>
      </c>
      <c r="MF22" s="50">
        <v>104840.53271999996</v>
      </c>
      <c r="MG22" s="78">
        <v>-104840.53271999996</v>
      </c>
      <c r="MH22" s="50">
        <f>MF22+MG22</f>
        <v>0</v>
      </c>
      <c r="MI22" s="50">
        <v>0</v>
      </c>
      <c r="MJ22" s="50">
        <f>MH22+MI22</f>
        <v>0</v>
      </c>
      <c r="MK22" s="50"/>
      <c r="ML22" s="50">
        <f>MJ22+MK22</f>
        <v>0</v>
      </c>
      <c r="MM22" s="50"/>
      <c r="MN22" s="50">
        <f>ML22+MM22</f>
        <v>0</v>
      </c>
      <c r="MO22" s="50"/>
      <c r="MP22" s="50">
        <f>MN22+MO22</f>
        <v>0</v>
      </c>
      <c r="MQ22" s="50"/>
      <c r="MR22" s="50">
        <f>MP22+MQ22</f>
        <v>0</v>
      </c>
      <c r="MS22" s="50"/>
      <c r="MT22" s="50">
        <f>MR22+MS22</f>
        <v>0</v>
      </c>
      <c r="MU22" s="22"/>
      <c r="MV22" s="78"/>
      <c r="MW22" s="78"/>
      <c r="MX22" s="78"/>
      <c r="MY22" s="78"/>
      <c r="MZ22" s="78"/>
      <c r="NA22" s="78"/>
      <c r="NB22" s="78"/>
      <c r="NC22" s="78"/>
      <c r="ND22" s="78"/>
      <c r="NE22" s="78"/>
      <c r="NF22" s="78"/>
      <c r="NG22" s="78"/>
      <c r="NH22" s="78"/>
      <c r="NI22" s="78"/>
      <c r="NJ22" s="78"/>
      <c r="NK22" s="78"/>
      <c r="NL22" s="78"/>
      <c r="NM22" s="22">
        <f>ROW()</f>
        <v>22</v>
      </c>
      <c r="NN22" s="28" t="s">
        <v>98</v>
      </c>
      <c r="NP22" s="550"/>
      <c r="NQ22" s="619"/>
      <c r="NR22" s="550"/>
      <c r="NS22" s="619"/>
      <c r="NT22" s="550"/>
      <c r="NU22" s="619"/>
      <c r="NV22" s="619">
        <f>'SEF-30 pg 1'!I34</f>
        <v>4292946.8635766879</v>
      </c>
      <c r="NW22" s="640">
        <v>-637976.08094234113</v>
      </c>
      <c r="NX22" s="619">
        <f t="shared" si="51"/>
        <v>3654970.7826343467</v>
      </c>
      <c r="NY22" s="640">
        <v>115434.57597841276</v>
      </c>
      <c r="NZ22" s="619">
        <f t="shared" si="52"/>
        <v>3770405.3586127595</v>
      </c>
      <c r="OA22" s="641"/>
      <c r="OB22" s="641"/>
      <c r="OC22" s="641"/>
      <c r="OD22" s="641"/>
      <c r="OE22" s="482">
        <f>ROW()</f>
        <v>22</v>
      </c>
      <c r="OF22" s="50" t="s">
        <v>306</v>
      </c>
      <c r="OG22" s="50"/>
      <c r="OH22" s="667"/>
      <c r="OI22" s="667"/>
      <c r="OJ22" s="667"/>
      <c r="OK22" s="667"/>
      <c r="OL22" s="667"/>
      <c r="OM22" s="665"/>
      <c r="ON22" s="665"/>
      <c r="OO22" s="665"/>
      <c r="OP22" s="665"/>
      <c r="OQ22" s="665"/>
      <c r="OR22" s="665"/>
      <c r="OS22" s="665"/>
      <c r="OT22" s="665"/>
      <c r="OU22" s="665"/>
      <c r="OV22" s="665"/>
      <c r="OW22" s="22">
        <f>ROW()</f>
        <v>22</v>
      </c>
      <c r="OX22" s="562"/>
      <c r="OY22" s="644"/>
      <c r="OZ22" s="63"/>
      <c r="PA22" s="63"/>
      <c r="PB22" s="63"/>
      <c r="PC22" s="600"/>
      <c r="PD22" s="600"/>
      <c r="PE22" s="600"/>
      <c r="PF22" s="646"/>
      <c r="PG22" s="600"/>
      <c r="PH22" s="42"/>
      <c r="PI22" s="600"/>
      <c r="PJ22" s="42"/>
      <c r="PK22" s="600"/>
      <c r="PL22" s="42"/>
      <c r="PM22" s="600"/>
      <c r="PN22" s="42"/>
      <c r="PO22" s="7"/>
      <c r="PP22" s="7"/>
      <c r="PQ22" s="7"/>
      <c r="PR22" s="7"/>
      <c r="PS22" s="22"/>
      <c r="PT22" s="545"/>
      <c r="PU22" s="545"/>
      <c r="PV22" s="727"/>
      <c r="PW22" s="727"/>
      <c r="PX22" s="728"/>
      <c r="PY22" s="729"/>
      <c r="PZ22" s="667"/>
      <c r="QA22" s="667"/>
      <c r="QB22" s="667"/>
      <c r="QC22" s="667"/>
      <c r="QD22" s="667"/>
      <c r="QE22" s="667"/>
      <c r="QF22" s="667"/>
      <c r="QG22" s="667"/>
      <c r="QH22" s="667"/>
      <c r="QI22" s="667"/>
      <c r="QJ22" s="667"/>
      <c r="RC22" s="22">
        <f>ROW()</f>
        <v>22</v>
      </c>
      <c r="RD22" s="102" t="s">
        <v>291</v>
      </c>
      <c r="RF22" s="568"/>
      <c r="RG22" s="568"/>
      <c r="RH22" s="39"/>
      <c r="RI22" s="39">
        <f t="shared" ref="RI22:RK24" si="87">RJ22-RH22</f>
        <v>0</v>
      </c>
      <c r="RJ22" s="74"/>
      <c r="RK22" s="39">
        <f t="shared" si="87"/>
        <v>0</v>
      </c>
      <c r="RL22" s="74"/>
      <c r="RM22" s="39">
        <f t="shared" ref="RM22:RO24" si="88">RN22-RL22</f>
        <v>0</v>
      </c>
      <c r="RN22" s="74"/>
      <c r="RO22" s="39">
        <f t="shared" si="88"/>
        <v>0</v>
      </c>
      <c r="RP22" s="74"/>
      <c r="RQ22" s="606">
        <f t="shared" ref="RQ22:RS24" si="89">RR22-RP22</f>
        <v>0</v>
      </c>
      <c r="RR22" s="607"/>
      <c r="RS22" s="606">
        <f t="shared" si="89"/>
        <v>0</v>
      </c>
      <c r="RT22" s="607"/>
      <c r="RU22" s="521">
        <f>ROW()</f>
        <v>22</v>
      </c>
      <c r="RV22" s="102" t="s">
        <v>305</v>
      </c>
      <c r="RW22" s="520"/>
      <c r="RX22" s="688"/>
      <c r="RY22" s="688"/>
      <c r="RZ22" s="688"/>
      <c r="SA22" s="74">
        <v>0</v>
      </c>
      <c r="SB22" s="42">
        <f t="shared" si="77"/>
        <v>0</v>
      </c>
      <c r="SC22" s="74">
        <v>0</v>
      </c>
      <c r="SD22" s="42">
        <f t="shared" si="77"/>
        <v>0</v>
      </c>
      <c r="SE22" s="74">
        <v>0</v>
      </c>
      <c r="SF22" s="42">
        <f t="shared" si="77"/>
        <v>0</v>
      </c>
      <c r="SG22" s="74">
        <v>0</v>
      </c>
      <c r="SH22" s="42">
        <f t="shared" si="77"/>
        <v>0</v>
      </c>
      <c r="SI22" s="710"/>
      <c r="SJ22" s="710">
        <f t="shared" si="77"/>
        <v>0</v>
      </c>
      <c r="SK22" s="607"/>
      <c r="SL22" s="710">
        <f t="shared" si="77"/>
        <v>0</v>
      </c>
      <c r="SM22" s="521">
        <f>ROW()</f>
        <v>22</v>
      </c>
      <c r="SN22" s="102" t="s">
        <v>258</v>
      </c>
      <c r="SO22" s="608"/>
      <c r="SP22" s="606"/>
      <c r="SQ22" s="606"/>
      <c r="SR22" s="606"/>
      <c r="SS22" s="39">
        <f t="shared" ref="SS22:SY22" si="90">SS20</f>
        <v>3491440.8531900002</v>
      </c>
      <c r="ST22" s="39">
        <f t="shared" si="90"/>
        <v>3491440.8531900002</v>
      </c>
      <c r="SU22" s="39">
        <f t="shared" si="90"/>
        <v>19601779.587844998</v>
      </c>
      <c r="SV22" s="39">
        <f t="shared" si="90"/>
        <v>23093220.441034995</v>
      </c>
      <c r="SW22" s="39">
        <f t="shared" si="90"/>
        <v>21043774.400940001</v>
      </c>
      <c r="SX22" s="39">
        <f t="shared" si="90"/>
        <v>44136994.841974989</v>
      </c>
      <c r="SY22" s="39">
        <f t="shared" si="90"/>
        <v>26135590.058740012</v>
      </c>
      <c r="SZ22" s="39">
        <f>SZ20</f>
        <v>70272584.900715008</v>
      </c>
      <c r="TA22" s="606">
        <f>TA20</f>
        <v>0</v>
      </c>
      <c r="TB22" s="606">
        <f>TB20</f>
        <v>70272584.900715008</v>
      </c>
      <c r="TC22" s="606">
        <f>TC20</f>
        <v>0</v>
      </c>
      <c r="TD22" s="606">
        <f>TD20</f>
        <v>70272584.900715008</v>
      </c>
      <c r="TF22" s="950">
        <f>ROW()</f>
        <v>22</v>
      </c>
      <c r="TG22" s="679" t="s">
        <v>20</v>
      </c>
      <c r="TH22" s="1151">
        <v>5.0000000000000001E-3</v>
      </c>
      <c r="TI22" s="638">
        <f>+$TI$19*TH22</f>
        <v>213.55334999999999</v>
      </c>
      <c r="TJ22" s="638">
        <f>-TI22</f>
        <v>-213.55334999999999</v>
      </c>
      <c r="TK22" s="1"/>
      <c r="TL22" s="1"/>
      <c r="TM22" s="1"/>
      <c r="TN22" s="1"/>
      <c r="TO22" s="1"/>
      <c r="TP22" s="1"/>
      <c r="TQ22" s="1"/>
      <c r="TR22" s="1"/>
      <c r="TS22" s="1"/>
      <c r="TU22" s="521">
        <f>ROW()</f>
        <v>22</v>
      </c>
      <c r="TV22" s="730" t="s">
        <v>307</v>
      </c>
      <c r="TX22" s="78">
        <v>0</v>
      </c>
      <c r="TY22" s="78">
        <v>0</v>
      </c>
      <c r="TZ22" s="78">
        <f>TX22+TY22</f>
        <v>0</v>
      </c>
      <c r="UA22" s="20"/>
      <c r="UB22" s="20"/>
      <c r="UC22" s="20"/>
      <c r="UD22" s="20"/>
      <c r="UE22" s="638">
        <v>10256948.971938133</v>
      </c>
      <c r="UF22" s="638">
        <f>UD22+UE22</f>
        <v>10256948.971938133</v>
      </c>
      <c r="UG22" s="78">
        <v>0</v>
      </c>
      <c r="UH22" s="638">
        <f>UF22+UG22</f>
        <v>10256948.971938133</v>
      </c>
      <c r="UJ22" s="22">
        <f>ROW()</f>
        <v>22</v>
      </c>
      <c r="UK22" s="349"/>
      <c r="UL22" s="652"/>
      <c r="UM22" s="672"/>
      <c r="UN22" s="673"/>
      <c r="UO22" s="674"/>
      <c r="UP22" s="674"/>
      <c r="UQ22" s="674"/>
      <c r="UR22" s="674"/>
      <c r="US22" s="674"/>
      <c r="UT22" s="674"/>
      <c r="UU22" s="674"/>
      <c r="UV22" s="674"/>
      <c r="UW22" s="674"/>
      <c r="UY22" s="521">
        <f>ROW()</f>
        <v>22</v>
      </c>
      <c r="UZ22" s="102"/>
      <c r="VB22" s="102"/>
      <c r="VC22" s="102"/>
      <c r="VD22" s="102"/>
      <c r="VE22" s="102"/>
      <c r="VF22" s="102"/>
      <c r="VG22" s="102"/>
      <c r="VH22" s="102"/>
      <c r="VI22" s="102"/>
      <c r="VJ22" s="102"/>
      <c r="VK22" s="102"/>
      <c r="VL22" s="102"/>
    </row>
    <row r="23" spans="1:614" ht="17.25" thickTop="1" thickBot="1" x14ac:dyDescent="0.3">
      <c r="A23" s="22">
        <f>ROW()</f>
        <v>23</v>
      </c>
      <c r="B23" s="617" t="s">
        <v>308</v>
      </c>
      <c r="C23" s="23"/>
      <c r="D23" s="618">
        <v>91673151.809999987</v>
      </c>
      <c r="E23" s="618">
        <f t="shared" ref="E23:E35" si="91">-D23</f>
        <v>-91673151.809999987</v>
      </c>
      <c r="F23" s="618">
        <f t="shared" si="17"/>
        <v>0</v>
      </c>
      <c r="G23" s="640"/>
      <c r="H23" s="618">
        <f t="shared" si="17"/>
        <v>0</v>
      </c>
      <c r="I23" s="618"/>
      <c r="J23" s="618">
        <f t="shared" si="17"/>
        <v>0</v>
      </c>
      <c r="K23" s="618"/>
      <c r="L23" s="618">
        <f t="shared" si="17"/>
        <v>0</v>
      </c>
      <c r="M23" s="618"/>
      <c r="N23" s="618">
        <f t="shared" si="17"/>
        <v>0</v>
      </c>
      <c r="O23" s="618"/>
      <c r="P23" s="618">
        <f t="shared" si="18"/>
        <v>0</v>
      </c>
      <c r="Q23" s="618"/>
      <c r="R23" s="618">
        <f t="shared" si="19"/>
        <v>0</v>
      </c>
      <c r="S23" s="529">
        <f>ROW()</f>
        <v>23</v>
      </c>
      <c r="T23" s="41" t="s">
        <v>309</v>
      </c>
      <c r="U23" s="581"/>
      <c r="V23" s="620">
        <v>-367.18000000000006</v>
      </c>
      <c r="W23" s="620">
        <f t="shared" si="10"/>
        <v>367.18000000000006</v>
      </c>
      <c r="X23" s="74"/>
      <c r="Z23" s="74"/>
      <c r="AB23" s="74"/>
      <c r="AD23" s="74"/>
      <c r="AF23" s="74"/>
      <c r="AG23" s="20"/>
      <c r="AH23" s="42"/>
      <c r="AI23" s="20"/>
      <c r="AJ23" s="42"/>
      <c r="AK23" s="22">
        <f>ROW()</f>
        <v>23</v>
      </c>
      <c r="AL23" s="28" t="s">
        <v>310</v>
      </c>
      <c r="AM23" s="1151">
        <v>5.0000000000000001E-3</v>
      </c>
      <c r="AN23" s="718">
        <f>AN$20*$AM23</f>
        <v>12447057.151075726</v>
      </c>
      <c r="AO23" s="718">
        <f>$AO$20*$AM23</f>
        <v>-304315.24</v>
      </c>
      <c r="AP23" s="534">
        <f>SUM(AN23:AO23)</f>
        <v>12142741.911075726</v>
      </c>
      <c r="AQ23" s="719">
        <f>AQ$20*$AM23</f>
        <v>0</v>
      </c>
      <c r="AR23" s="534">
        <f>SUM(AP24:AQ24)</f>
        <v>93457827.392785445</v>
      </c>
      <c r="AS23" s="719">
        <v>0</v>
      </c>
      <c r="AT23" s="718">
        <f>SUM(AR23:AS23)</f>
        <v>93457827.392785445</v>
      </c>
      <c r="AU23" s="719">
        <v>0</v>
      </c>
      <c r="AV23" s="718">
        <f>SUM(AT23:AU23)</f>
        <v>93457827.392785445</v>
      </c>
      <c r="AW23" s="719">
        <v>0</v>
      </c>
      <c r="AX23" s="718">
        <f>SUM(AV23:AW23)</f>
        <v>93457827.392785445</v>
      </c>
      <c r="AY23" s="719"/>
      <c r="AZ23" s="719"/>
      <c r="BA23" s="22">
        <f>ROW()</f>
        <v>23</v>
      </c>
      <c r="BB23" s="516" t="s">
        <v>306</v>
      </c>
      <c r="BD23" s="697"/>
      <c r="BE23" s="697"/>
      <c r="BF23" s="697"/>
      <c r="BG23" s="697"/>
      <c r="BH23" s="697"/>
      <c r="BI23" s="697"/>
      <c r="BJ23" s="697"/>
      <c r="BK23" s="697"/>
      <c r="BL23" s="697"/>
      <c r="BM23" s="697"/>
      <c r="BN23" s="697"/>
      <c r="BO23" s="697"/>
      <c r="BP23" s="697"/>
      <c r="BQ23" s="697"/>
      <c r="BR23" s="697"/>
      <c r="BS23" s="22">
        <f>ROW()</f>
        <v>23</v>
      </c>
      <c r="BT23" s="516" t="s">
        <v>311</v>
      </c>
      <c r="BU23" s="731">
        <v>0.21</v>
      </c>
      <c r="BV23" s="74">
        <f>-BV21*$BU$23</f>
        <v>0</v>
      </c>
      <c r="BW23" s="74">
        <f>-BW21*$BU$23</f>
        <v>-30881913.7943177</v>
      </c>
      <c r="BX23" s="74">
        <f>SUM(BV23:BW23)</f>
        <v>-30881913.7943177</v>
      </c>
      <c r="BY23" s="74">
        <f>-BY21*$BU$23</f>
        <v>-2863596.510559116</v>
      </c>
      <c r="BZ23" s="74">
        <f>SUM(BX23:BY23)</f>
        <v>-33745510.304876819</v>
      </c>
      <c r="CA23" s="74">
        <f>-CA21*$BU$23</f>
        <v>-2460753.2996581821</v>
      </c>
      <c r="CB23" s="74">
        <f>SUM(BZ23:CA23)</f>
        <v>-36206263.604534999</v>
      </c>
      <c r="CC23" s="74">
        <f>-CC21*$BU$23</f>
        <v>-835836.62346682185</v>
      </c>
      <c r="CD23" s="74">
        <f>SUM(CB23:CC23)</f>
        <v>-37042100.228001818</v>
      </c>
      <c r="CE23" s="74">
        <f>-CE21*$BU$23</f>
        <v>-3921908.0189300617</v>
      </c>
      <c r="CF23" s="74">
        <f>SUM(CD23:CE23)</f>
        <v>-40964008.246931881</v>
      </c>
      <c r="CG23" s="74">
        <f>-CG21*$BU$23</f>
        <v>0</v>
      </c>
      <c r="CH23" s="74"/>
      <c r="CI23" s="74">
        <f>-CI21*$BU$23</f>
        <v>0</v>
      </c>
      <c r="CJ23" s="74">
        <f>SUM(CH23:CI23)</f>
        <v>0</v>
      </c>
      <c r="DC23" s="22">
        <f>ROW()</f>
        <v>23</v>
      </c>
      <c r="DD23" s="28" t="s">
        <v>312</v>
      </c>
      <c r="DE23" s="28"/>
      <c r="DF23" s="697">
        <f>SUM(DF18:DF22)</f>
        <v>1724418.6914300004</v>
      </c>
      <c r="DG23" s="697">
        <f>SUM(DG18:DG22)</f>
        <v>-226618.69143000027</v>
      </c>
      <c r="DH23" s="697">
        <f>SUM(DH18:DH22)</f>
        <v>1497800</v>
      </c>
      <c r="DI23" s="697">
        <f>SUM(DI18:DI21)</f>
        <v>0</v>
      </c>
      <c r="DJ23" s="697">
        <f>SUM(DJ18:DJ22)</f>
        <v>1497800</v>
      </c>
      <c r="DK23" s="697"/>
      <c r="DL23" s="697">
        <f>SUM(DL18:DL22)</f>
        <v>1497800</v>
      </c>
      <c r="DM23" s="697"/>
      <c r="DN23" s="697">
        <f>SUM(DN18:DN22)</f>
        <v>1497800</v>
      </c>
      <c r="DO23" s="697"/>
      <c r="DP23" s="697">
        <f>SUM(DP18:DP22)</f>
        <v>1497800</v>
      </c>
      <c r="DQ23" s="697"/>
      <c r="DR23" s="697">
        <f t="shared" ref="DR23" si="92">SUM(DR18:DR22)</f>
        <v>1497800</v>
      </c>
      <c r="DS23" s="697"/>
      <c r="DT23" s="697">
        <f t="shared" ref="DT23" si="93">SUM(DT18:DT22)</f>
        <v>1497800</v>
      </c>
      <c r="DU23" s="30"/>
      <c r="DV23" s="732"/>
      <c r="DW23" s="78"/>
      <c r="DX23" s="20"/>
      <c r="DY23" s="20"/>
      <c r="DZ23" s="20"/>
      <c r="EA23" s="20"/>
      <c r="EB23" s="20"/>
      <c r="EM23" s="22">
        <f>ROW()</f>
        <v>23</v>
      </c>
      <c r="EN23" s="29" t="s">
        <v>313</v>
      </c>
      <c r="EO23" s="23"/>
      <c r="EP23" s="660">
        <f>EP21-EP22</f>
        <v>-312511.63798439503</v>
      </c>
      <c r="EQ23" s="660">
        <f t="shared" ref="EQ23:FC23" si="94">EQ21-EQ22</f>
        <v>-45443.683431569487</v>
      </c>
      <c r="ER23" s="660">
        <f t="shared" si="94"/>
        <v>-357955.32141596451</v>
      </c>
      <c r="ES23" s="660">
        <f t="shared" si="94"/>
        <v>677349.63627642021</v>
      </c>
      <c r="ET23" s="660">
        <f t="shared" si="94"/>
        <v>319394.31486045569</v>
      </c>
      <c r="EU23" s="660">
        <f t="shared" si="94"/>
        <v>0</v>
      </c>
      <c r="EV23" s="660">
        <f t="shared" si="94"/>
        <v>319394.31486045569</v>
      </c>
      <c r="EW23" s="660">
        <f t="shared" si="94"/>
        <v>0</v>
      </c>
      <c r="EX23" s="660">
        <f t="shared" si="94"/>
        <v>319394.31486045569</v>
      </c>
      <c r="EY23" s="660">
        <f t="shared" si="94"/>
        <v>0</v>
      </c>
      <c r="EZ23" s="660">
        <f t="shared" si="94"/>
        <v>319394.31486045569</v>
      </c>
      <c r="FA23" s="660">
        <f t="shared" si="94"/>
        <v>0</v>
      </c>
      <c r="FB23" s="660">
        <f>FB21-FB22</f>
        <v>0</v>
      </c>
      <c r="FC23" s="660">
        <f t="shared" si="94"/>
        <v>0</v>
      </c>
      <c r="FD23" s="660">
        <f>FD21-FD22</f>
        <v>0</v>
      </c>
      <c r="FE23" s="22">
        <f>ROW()</f>
        <v>23</v>
      </c>
      <c r="FF23" s="733" t="s">
        <v>240</v>
      </c>
      <c r="FG23" s="733"/>
      <c r="FH23" s="734">
        <f t="shared" ref="FH23:FU23" si="95">-FH20-FH21</f>
        <v>-388375.9395127527</v>
      </c>
      <c r="FI23" s="734">
        <f t="shared" si="95"/>
        <v>131970.01726178749</v>
      </c>
      <c r="FJ23" s="734">
        <f t="shared" si="95"/>
        <v>-256405.9222509652</v>
      </c>
      <c r="FK23" s="734">
        <f t="shared" si="95"/>
        <v>0</v>
      </c>
      <c r="FL23" s="734">
        <f t="shared" si="95"/>
        <v>-256405.9222509652</v>
      </c>
      <c r="FM23" s="734">
        <f t="shared" si="95"/>
        <v>0</v>
      </c>
      <c r="FN23" s="734">
        <f t="shared" si="95"/>
        <v>-256405.9222509652</v>
      </c>
      <c r="FO23" s="734">
        <f t="shared" si="95"/>
        <v>0</v>
      </c>
      <c r="FP23" s="734">
        <f t="shared" si="95"/>
        <v>-256405.9222509652</v>
      </c>
      <c r="FQ23" s="734">
        <f t="shared" si="95"/>
        <v>0</v>
      </c>
      <c r="FR23" s="734">
        <f t="shared" si="95"/>
        <v>-256405.9222509652</v>
      </c>
      <c r="FS23" s="734">
        <f t="shared" si="95"/>
        <v>0</v>
      </c>
      <c r="FT23" s="734">
        <f>-FT20-FT21</f>
        <v>0</v>
      </c>
      <c r="FU23" s="734">
        <f t="shared" si="95"/>
        <v>0</v>
      </c>
      <c r="FV23" s="734">
        <f>-FV20-FV21</f>
        <v>0</v>
      </c>
      <c r="FW23" s="22">
        <f>ROW()</f>
        <v>23</v>
      </c>
      <c r="FX23" s="592" t="s">
        <v>314</v>
      </c>
      <c r="FZ23" s="633">
        <v>64570.968131559421</v>
      </c>
      <c r="GA23" s="633">
        <v>-22383.042050020566</v>
      </c>
      <c r="GB23" s="633">
        <f t="shared" si="41"/>
        <v>42187.926081538855</v>
      </c>
      <c r="GC23" s="633">
        <v>5372.3366743257357</v>
      </c>
      <c r="GD23" s="633">
        <f t="shared" si="42"/>
        <v>47560.262755864591</v>
      </c>
      <c r="GE23" s="633">
        <v>2236.1345488715815</v>
      </c>
      <c r="GF23" s="633">
        <f t="shared" si="43"/>
        <v>49796.397304736172</v>
      </c>
      <c r="GG23" s="633">
        <v>10525.920016568845</v>
      </c>
      <c r="GH23" s="633">
        <f t="shared" si="44"/>
        <v>60322.317321305018</v>
      </c>
      <c r="GI23" s="633">
        <v>34.766130729454744</v>
      </c>
      <c r="GJ23" s="633">
        <f t="shared" si="45"/>
        <v>60357.083452034472</v>
      </c>
      <c r="GK23" s="628"/>
      <c r="GL23" s="633">
        <f t="shared" si="45"/>
        <v>60357.083452034472</v>
      </c>
      <c r="GM23" s="628"/>
      <c r="GN23" s="633">
        <f t="shared" si="45"/>
        <v>60357.083452034472</v>
      </c>
      <c r="GO23" s="22">
        <f>ROW()</f>
        <v>23</v>
      </c>
      <c r="GP23" s="594" t="s">
        <v>315</v>
      </c>
      <c r="GQ23" s="735"/>
      <c r="GR23" s="722"/>
      <c r="GS23" s="722"/>
      <c r="GT23" s="722"/>
      <c r="GU23" s="722"/>
      <c r="GV23" s="722"/>
      <c r="GW23" s="722"/>
      <c r="GX23" s="722"/>
      <c r="GY23" s="722"/>
      <c r="GZ23" s="722"/>
      <c r="HA23" s="722"/>
      <c r="HB23" s="722"/>
      <c r="HC23" s="722"/>
      <c r="HD23" s="722"/>
      <c r="HE23" s="722"/>
      <c r="HF23" s="722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22">
        <f>ROW()</f>
        <v>23</v>
      </c>
      <c r="HZ23" s="28" t="s">
        <v>240</v>
      </c>
      <c r="IA23" s="23"/>
      <c r="IB23" s="736">
        <f t="shared" ref="IB23:IL23" si="96">-IB20-IB22</f>
        <v>-7797823.8903599763</v>
      </c>
      <c r="IC23" s="736">
        <f t="shared" si="96"/>
        <v>-818378.23092293227</v>
      </c>
      <c r="ID23" s="736">
        <f t="shared" si="96"/>
        <v>-8616202.1212829091</v>
      </c>
      <c r="IE23" s="736">
        <f t="shared" si="96"/>
        <v>0</v>
      </c>
      <c r="IF23" s="736">
        <f t="shared" si="96"/>
        <v>-8616202.1212829091</v>
      </c>
      <c r="IG23" s="736">
        <f t="shared" si="96"/>
        <v>0</v>
      </c>
      <c r="IH23" s="736">
        <f t="shared" si="96"/>
        <v>-8616202.1212829091</v>
      </c>
      <c r="II23" s="736">
        <f t="shared" si="96"/>
        <v>0</v>
      </c>
      <c r="IJ23" s="736">
        <f t="shared" si="96"/>
        <v>-8616202.1212829091</v>
      </c>
      <c r="IK23" s="736">
        <f t="shared" si="96"/>
        <v>0</v>
      </c>
      <c r="IL23" s="736">
        <f t="shared" si="96"/>
        <v>-8616202.1212829091</v>
      </c>
      <c r="IM23" s="736">
        <f>-IM20-IM22</f>
        <v>0</v>
      </c>
      <c r="IN23" s="736">
        <f>-IN20-IN22</f>
        <v>-8616202.1212829091</v>
      </c>
      <c r="IO23" s="736">
        <f>-IO20-IO22</f>
        <v>0</v>
      </c>
      <c r="IP23" s="736">
        <f>-IP20-IP22</f>
        <v>-8616202.1212829091</v>
      </c>
      <c r="IQ23" s="482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22">
        <f>ROW()</f>
        <v>23</v>
      </c>
      <c r="JJ23" s="4" t="s">
        <v>240</v>
      </c>
      <c r="JK23" s="508"/>
      <c r="JL23" s="737">
        <f>-SUM(JL20:JL22)</f>
        <v>-111098.37379794239</v>
      </c>
      <c r="JM23" s="737">
        <f>-SUM(JM20:JM22)</f>
        <v>18267.632184394755</v>
      </c>
      <c r="JN23" s="737">
        <f t="shared" ref="JN23:JZ23" si="97">-SUM(JN20:JN22)</f>
        <v>-92830.741613547638</v>
      </c>
      <c r="JO23" s="737">
        <f t="shared" si="97"/>
        <v>0</v>
      </c>
      <c r="JP23" s="737">
        <f t="shared" si="97"/>
        <v>-92830.741613547638</v>
      </c>
      <c r="JQ23" s="737">
        <f t="shared" si="97"/>
        <v>0</v>
      </c>
      <c r="JR23" s="737">
        <f t="shared" si="97"/>
        <v>-92830.741613547638</v>
      </c>
      <c r="JS23" s="737">
        <f t="shared" si="97"/>
        <v>0</v>
      </c>
      <c r="JT23" s="737">
        <f t="shared" si="97"/>
        <v>-92830.741613547638</v>
      </c>
      <c r="JU23" s="737">
        <f t="shared" si="97"/>
        <v>0</v>
      </c>
      <c r="JV23" s="737">
        <f t="shared" si="97"/>
        <v>-92830.741613547638</v>
      </c>
      <c r="JW23" s="737">
        <f t="shared" si="97"/>
        <v>0</v>
      </c>
      <c r="JX23" s="737">
        <f t="shared" si="97"/>
        <v>-92830.741613547638</v>
      </c>
      <c r="JY23" s="737">
        <f t="shared" si="97"/>
        <v>0</v>
      </c>
      <c r="JZ23" s="737">
        <f t="shared" si="97"/>
        <v>-92830.741613547638</v>
      </c>
      <c r="KS23" s="22">
        <f>ROW()</f>
        <v>23</v>
      </c>
      <c r="KT23" s="598" t="s">
        <v>314</v>
      </c>
      <c r="KU23" s="480"/>
      <c r="KV23" s="74">
        <v>804630.07559100376</v>
      </c>
      <c r="KW23" s="74">
        <v>55997.345779225114</v>
      </c>
      <c r="KX23" s="637">
        <f t="shared" si="48"/>
        <v>860627.42137022887</v>
      </c>
      <c r="KY23" s="637">
        <v>0</v>
      </c>
      <c r="KZ23" s="637">
        <f t="shared" si="49"/>
        <v>860627.42137022887</v>
      </c>
      <c r="LA23" s="637">
        <v>0</v>
      </c>
      <c r="LB23" s="637">
        <f t="shared" si="26"/>
        <v>860627.42137022887</v>
      </c>
      <c r="LC23" s="637"/>
      <c r="LD23" s="637">
        <f t="shared" si="26"/>
        <v>860627.42137022887</v>
      </c>
      <c r="LE23" s="637"/>
      <c r="LF23" s="637">
        <f t="shared" si="26"/>
        <v>860627.42137022887</v>
      </c>
      <c r="LG23" s="637"/>
      <c r="LH23" s="637"/>
      <c r="LI23" s="637"/>
      <c r="LJ23" s="637">
        <f t="shared" si="26"/>
        <v>0</v>
      </c>
      <c r="LK23" s="22"/>
      <c r="LM23" s="1" t="s">
        <v>316</v>
      </c>
      <c r="LN23" s="50">
        <f>LN22-'SEF-30 pg 1'!C58</f>
        <v>0</v>
      </c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22">
        <f>ROW()</f>
        <v>23</v>
      </c>
      <c r="MD23" s="555" t="s">
        <v>317</v>
      </c>
      <c r="MF23" s="50">
        <v>3222646.1100000017</v>
      </c>
      <c r="MG23" s="78">
        <v>-3222646.1100000017</v>
      </c>
      <c r="MH23" s="50">
        <f>MF23+MG23</f>
        <v>0</v>
      </c>
      <c r="MI23" s="50">
        <v>0</v>
      </c>
      <c r="MJ23" s="50">
        <f>MH23+MI23</f>
        <v>0</v>
      </c>
      <c r="MK23" s="50"/>
      <c r="ML23" s="50">
        <f>MJ23+MK23</f>
        <v>0</v>
      </c>
      <c r="MM23" s="50"/>
      <c r="MN23" s="50">
        <f>ML23+MM23</f>
        <v>0</v>
      </c>
      <c r="MO23" s="50"/>
      <c r="MP23" s="50">
        <f>MN23+MO23</f>
        <v>0</v>
      </c>
      <c r="MQ23" s="50"/>
      <c r="MR23" s="50">
        <f>MP23+MQ23</f>
        <v>0</v>
      </c>
      <c r="MS23" s="50"/>
      <c r="MT23" s="50">
        <f>MR23+MS23</f>
        <v>0</v>
      </c>
      <c r="MU23" s="65" t="s">
        <v>30</v>
      </c>
      <c r="MV23" s="50"/>
      <c r="MW23" s="50"/>
      <c r="MX23" s="50"/>
      <c r="MY23" s="50"/>
      <c r="MZ23" s="50"/>
      <c r="NA23" s="50"/>
      <c r="NB23" s="50"/>
      <c r="NC23" s="50"/>
      <c r="ND23" s="50"/>
      <c r="NE23" s="50"/>
      <c r="NF23" s="50"/>
      <c r="NG23" s="50"/>
      <c r="NH23" s="50"/>
      <c r="NI23" s="50"/>
      <c r="NJ23" s="50"/>
      <c r="NK23" s="50"/>
      <c r="NL23" s="50"/>
      <c r="NM23" s="22">
        <f>ROW()</f>
        <v>23</v>
      </c>
      <c r="NN23" s="28" t="s">
        <v>99</v>
      </c>
      <c r="NP23" s="550"/>
      <c r="NQ23" s="619"/>
      <c r="NR23" s="550"/>
      <c r="NS23" s="619"/>
      <c r="NT23" s="550"/>
      <c r="NU23" s="619"/>
      <c r="NV23" s="619">
        <f>'SEF-30 pg 1'!I35</f>
        <v>0</v>
      </c>
      <c r="NW23" s="640">
        <v>0</v>
      </c>
      <c r="NX23" s="619">
        <f t="shared" si="51"/>
        <v>0</v>
      </c>
      <c r="NY23" s="640">
        <v>0</v>
      </c>
      <c r="NZ23" s="619">
        <f t="shared" si="52"/>
        <v>0</v>
      </c>
      <c r="OA23" s="641"/>
      <c r="OB23" s="641"/>
      <c r="OC23" s="641"/>
      <c r="OD23" s="641"/>
      <c r="OE23" s="482">
        <f>ROW()</f>
        <v>23</v>
      </c>
      <c r="OF23" s="1" t="s">
        <v>306</v>
      </c>
      <c r="OG23" s="731"/>
      <c r="OH23" s="738"/>
      <c r="OI23" s="738"/>
      <c r="OJ23" s="738"/>
      <c r="OK23" s="738"/>
      <c r="OL23" s="738"/>
      <c r="OM23" s="738"/>
      <c r="ON23" s="738"/>
      <c r="OO23" s="738"/>
      <c r="OP23" s="738"/>
      <c r="OQ23" s="738"/>
      <c r="OR23" s="738"/>
      <c r="OS23" s="42"/>
      <c r="OT23" s="42"/>
      <c r="OU23" s="42"/>
      <c r="OV23" s="42"/>
      <c r="OW23" s="22">
        <f>ROW()</f>
        <v>23</v>
      </c>
      <c r="OX23" s="562" t="s">
        <v>318</v>
      </c>
      <c r="OY23" s="644"/>
      <c r="PC23" s="600"/>
      <c r="PD23" s="600"/>
      <c r="PE23" s="600"/>
      <c r="PF23" s="600"/>
      <c r="PG23" s="600"/>
      <c r="PH23" s="667"/>
      <c r="PI23" s="600"/>
      <c r="PJ23" s="667"/>
      <c r="PK23" s="600"/>
      <c r="PL23" s="667"/>
      <c r="PM23" s="600"/>
      <c r="PN23" s="667"/>
      <c r="PO23" s="7"/>
      <c r="PP23" s="7"/>
      <c r="PQ23" s="7"/>
      <c r="PR23" s="7"/>
      <c r="PS23" s="22"/>
      <c r="PT23" s="648"/>
      <c r="PU23" s="648"/>
      <c r="PV23" s="648"/>
      <c r="RC23" s="22">
        <f>ROW()</f>
        <v>23</v>
      </c>
      <c r="RD23" s="102" t="s">
        <v>305</v>
      </c>
      <c r="RF23" s="568"/>
      <c r="RG23" s="568"/>
      <c r="RH23" s="39"/>
      <c r="RI23" s="39">
        <f t="shared" si="87"/>
        <v>0</v>
      </c>
      <c r="RJ23" s="74"/>
      <c r="RK23" s="39">
        <f t="shared" si="87"/>
        <v>0</v>
      </c>
      <c r="RL23" s="74"/>
      <c r="RM23" s="39">
        <f t="shared" si="88"/>
        <v>0</v>
      </c>
      <c r="RN23" s="74"/>
      <c r="RO23" s="39">
        <f t="shared" si="88"/>
        <v>0</v>
      </c>
      <c r="RP23" s="74"/>
      <c r="RQ23" s="39">
        <f t="shared" si="89"/>
        <v>0</v>
      </c>
      <c r="RR23" s="74"/>
      <c r="RS23" s="39">
        <f t="shared" si="89"/>
        <v>0</v>
      </c>
      <c r="RT23" s="74"/>
      <c r="RU23" s="521">
        <f>ROW()</f>
        <v>23</v>
      </c>
      <c r="RV23" s="102" t="s">
        <v>317</v>
      </c>
      <c r="RW23" s="520"/>
      <c r="RX23" s="669"/>
      <c r="RY23" s="669"/>
      <c r="RZ23" s="669"/>
      <c r="SA23" s="739">
        <v>0</v>
      </c>
      <c r="SB23" s="739">
        <f t="shared" si="77"/>
        <v>0</v>
      </c>
      <c r="SC23" s="739">
        <v>0</v>
      </c>
      <c r="SD23" s="739">
        <f t="shared" si="77"/>
        <v>0</v>
      </c>
      <c r="SE23" s="739">
        <v>0</v>
      </c>
      <c r="SF23" s="739">
        <f t="shared" si="77"/>
        <v>0</v>
      </c>
      <c r="SG23" s="739">
        <v>0</v>
      </c>
      <c r="SH23" s="739">
        <f t="shared" si="77"/>
        <v>0</v>
      </c>
      <c r="SI23" s="671"/>
      <c r="SJ23" s="671">
        <f t="shared" si="77"/>
        <v>0</v>
      </c>
      <c r="SK23" s="739"/>
      <c r="SL23" s="671">
        <f t="shared" si="77"/>
        <v>0</v>
      </c>
      <c r="SM23" s="521">
        <f>ROW()</f>
        <v>23</v>
      </c>
      <c r="SO23" s="608"/>
      <c r="SP23" s="568"/>
      <c r="SQ23" s="568"/>
      <c r="SR23" s="568"/>
      <c r="SS23" s="1210"/>
      <c r="ST23" s="1210"/>
      <c r="SU23" s="1210"/>
      <c r="SV23" s="1210"/>
      <c r="SW23" s="1210"/>
      <c r="SX23" s="1210"/>
      <c r="SY23" s="1210"/>
      <c r="SZ23" s="1210"/>
      <c r="TA23" s="568"/>
      <c r="TB23" s="568"/>
      <c r="TC23" s="568"/>
      <c r="TD23" s="568"/>
      <c r="TF23" s="950">
        <f>ROW()</f>
        <v>23</v>
      </c>
      <c r="TG23" s="679" t="s">
        <v>319</v>
      </c>
      <c r="TH23" s="711">
        <f>+'SEF-31'!$E$14</f>
        <v>3.8483000000000003E-2</v>
      </c>
      <c r="TI23" s="651">
        <f>+$TI$19*TH23</f>
        <v>1643.6347136100001</v>
      </c>
      <c r="TJ23" s="651">
        <f>-TI23</f>
        <v>-1643.6347136100001</v>
      </c>
      <c r="TK23" s="1"/>
      <c r="TL23" s="1"/>
      <c r="TM23" s="1"/>
      <c r="TN23" s="1"/>
      <c r="TO23" s="1"/>
      <c r="TP23" s="1"/>
      <c r="TQ23" s="1"/>
      <c r="TR23" s="1"/>
      <c r="TS23" s="1"/>
      <c r="TU23" s="521">
        <f>ROW()</f>
        <v>23</v>
      </c>
      <c r="TV23" s="730" t="s">
        <v>320</v>
      </c>
      <c r="TX23" s="651">
        <v>-5438339.7299999995</v>
      </c>
      <c r="TY23" s="651">
        <f>-TX23</f>
        <v>5438339.7299999995</v>
      </c>
      <c r="TZ23" s="651"/>
      <c r="UA23" s="17"/>
      <c r="UB23" s="17"/>
      <c r="UC23" s="17"/>
      <c r="UD23" s="17"/>
      <c r="UE23" s="651"/>
      <c r="UF23" s="651"/>
      <c r="UG23" s="651"/>
      <c r="UH23" s="651"/>
      <c r="UJ23" s="22">
        <f>ROW()</f>
        <v>23</v>
      </c>
      <c r="UK23" s="349" t="s">
        <v>321</v>
      </c>
      <c r="UL23" s="740">
        <v>0.21</v>
      </c>
      <c r="UM23" s="672">
        <f>-UM21*$UL23</f>
        <v>-26853.539999999997</v>
      </c>
      <c r="UN23" s="672">
        <f>-UN21*$UL23</f>
        <v>26853.539999999997</v>
      </c>
      <c r="UO23" s="672">
        <f t="shared" ref="UO23:UW23" si="98">-UO21*$UL23</f>
        <v>0</v>
      </c>
      <c r="UP23" s="672">
        <f t="shared" si="98"/>
        <v>0</v>
      </c>
      <c r="UQ23" s="672">
        <f t="shared" si="98"/>
        <v>0</v>
      </c>
      <c r="UR23" s="672">
        <f t="shared" si="98"/>
        <v>0</v>
      </c>
      <c r="US23" s="672">
        <f t="shared" si="98"/>
        <v>0</v>
      </c>
      <c r="UT23" s="672">
        <f t="shared" si="98"/>
        <v>-28980</v>
      </c>
      <c r="UU23" s="672">
        <f t="shared" si="98"/>
        <v>-28980</v>
      </c>
      <c r="UV23" s="672">
        <f t="shared" si="98"/>
        <v>0</v>
      </c>
      <c r="UW23" s="672">
        <f t="shared" si="98"/>
        <v>-28980</v>
      </c>
      <c r="UY23" s="521">
        <f>ROW()</f>
        <v>23</v>
      </c>
      <c r="UZ23" s="102" t="s">
        <v>322</v>
      </c>
      <c r="VB23" s="741"/>
      <c r="VC23" s="741"/>
      <c r="VD23" s="741">
        <f>SUM(VD16:VD21)</f>
        <v>0</v>
      </c>
      <c r="VE23" s="741">
        <f>SUM(VE19:VE21)</f>
        <v>2889649.9920000006</v>
      </c>
      <c r="VF23" s="741">
        <f t="shared" ref="VF23:VL23" si="99">SUM(VF19:VF21)</f>
        <v>2889649.9920000006</v>
      </c>
      <c r="VG23" s="741">
        <f t="shared" si="99"/>
        <v>8960350.0079999194</v>
      </c>
      <c r="VH23" s="741">
        <f t="shared" si="99"/>
        <v>11849999.999999922</v>
      </c>
      <c r="VI23" s="741">
        <f t="shared" si="99"/>
        <v>-2962499.9999999814</v>
      </c>
      <c r="VJ23" s="741">
        <f t="shared" si="99"/>
        <v>8887499.9999999423</v>
      </c>
      <c r="VK23" s="741">
        <f t="shared" si="99"/>
        <v>-5924999.9999999665</v>
      </c>
      <c r="VL23" s="741">
        <f t="shared" si="99"/>
        <v>2962499.9999999753</v>
      </c>
      <c r="WC23" s="65" t="s">
        <v>30</v>
      </c>
    </row>
    <row r="24" spans="1:614" ht="17.25" thickTop="1" thickBot="1" x14ac:dyDescent="0.3">
      <c r="A24" s="22">
        <f>ROW()</f>
        <v>24</v>
      </c>
      <c r="B24" s="617" t="s">
        <v>323</v>
      </c>
      <c r="C24" s="23"/>
      <c r="D24" s="618">
        <v>45959764.009999998</v>
      </c>
      <c r="E24" s="618">
        <f t="shared" si="91"/>
        <v>-45959764.009999998</v>
      </c>
      <c r="F24" s="618">
        <f t="shared" si="17"/>
        <v>0</v>
      </c>
      <c r="G24" s="640"/>
      <c r="H24" s="618">
        <f t="shared" si="17"/>
        <v>0</v>
      </c>
      <c r="I24" s="618"/>
      <c r="J24" s="618">
        <f t="shared" si="17"/>
        <v>0</v>
      </c>
      <c r="K24" s="618"/>
      <c r="L24" s="618">
        <f t="shared" si="17"/>
        <v>0</v>
      </c>
      <c r="M24" s="618"/>
      <c r="N24" s="618">
        <f t="shared" si="17"/>
        <v>0</v>
      </c>
      <c r="O24" s="618"/>
      <c r="P24" s="618">
        <f t="shared" si="18"/>
        <v>0</v>
      </c>
      <c r="Q24" s="618"/>
      <c r="R24" s="618">
        <f t="shared" si="19"/>
        <v>0</v>
      </c>
      <c r="S24" s="529">
        <f>ROW()</f>
        <v>24</v>
      </c>
      <c r="T24" s="41" t="s">
        <v>324</v>
      </c>
      <c r="U24" s="581"/>
      <c r="V24" s="620">
        <v>-221021.53999999998</v>
      </c>
      <c r="W24" s="620">
        <f t="shared" si="10"/>
        <v>221021.53999999998</v>
      </c>
      <c r="X24" s="74">
        <f t="shared" si="35"/>
        <v>0</v>
      </c>
      <c r="Z24" s="74">
        <f t="shared" si="36"/>
        <v>0</v>
      </c>
      <c r="AB24" s="74">
        <f t="shared" si="37"/>
        <v>0</v>
      </c>
      <c r="AD24" s="74">
        <f t="shared" si="38"/>
        <v>0</v>
      </c>
      <c r="AF24" s="74">
        <f t="shared" si="39"/>
        <v>0</v>
      </c>
      <c r="AG24" s="20"/>
      <c r="AH24" s="42"/>
      <c r="AI24" s="20"/>
      <c r="AJ24" s="42"/>
      <c r="AK24" s="22">
        <f>ROW()</f>
        <v>24</v>
      </c>
      <c r="AL24" s="28" t="s">
        <v>325</v>
      </c>
      <c r="AM24" s="717">
        <f>'SEF-31'!E14</f>
        <v>3.8483000000000003E-2</v>
      </c>
      <c r="AN24" s="718">
        <f>AN$20*$AM24</f>
        <v>95800020.068969443</v>
      </c>
      <c r="AO24" s="718">
        <f>$AO$20*$AM24</f>
        <v>-2342192.676184</v>
      </c>
      <c r="AP24" s="534">
        <f>SUM(AN24:AO24)</f>
        <v>93457827.392785445</v>
      </c>
      <c r="AQ24" s="719">
        <f>AQ$20*$AM24</f>
        <v>0</v>
      </c>
      <c r="AR24" s="534">
        <f>SUM(AP25:AQ25)</f>
        <v>121356991.20767303</v>
      </c>
      <c r="AS24" s="719">
        <v>0</v>
      </c>
      <c r="AT24" s="718">
        <f>SUM(AR24:AS24)</f>
        <v>121356991.20767303</v>
      </c>
      <c r="AU24" s="719">
        <v>0</v>
      </c>
      <c r="AV24" s="718">
        <f>SUM(AT24:AU24)</f>
        <v>121356991.20767303</v>
      </c>
      <c r="AW24" s="719">
        <v>0</v>
      </c>
      <c r="AX24" s="718">
        <f>SUM(AV24:AW24)</f>
        <v>121356991.20767303</v>
      </c>
      <c r="AY24" s="719"/>
      <c r="AZ24" s="719"/>
      <c r="BA24" s="22">
        <f>ROW()</f>
        <v>24</v>
      </c>
      <c r="BB24" s="28" t="s">
        <v>326</v>
      </c>
      <c r="BC24" s="535"/>
      <c r="BD24" s="742">
        <f t="shared" ref="BD24:BR24" si="100">-BD22</f>
        <v>-66839376.640000015</v>
      </c>
      <c r="BE24" s="742">
        <f t="shared" si="100"/>
        <v>2711360.7719267928</v>
      </c>
      <c r="BF24" s="742">
        <f t="shared" si="100"/>
        <v>-64128015.868073218</v>
      </c>
      <c r="BG24" s="742">
        <f t="shared" si="100"/>
        <v>3832342.7665624972</v>
      </c>
      <c r="BH24" s="742">
        <f t="shared" si="100"/>
        <v>-60913998.75803145</v>
      </c>
      <c r="BI24" s="742">
        <f t="shared" si="100"/>
        <v>-1299233.3888071019</v>
      </c>
      <c r="BJ24" s="742">
        <f t="shared" si="100"/>
        <v>-62213232.146838553</v>
      </c>
      <c r="BK24" s="742">
        <f t="shared" si="100"/>
        <v>455130.5393555006</v>
      </c>
      <c r="BL24" s="742">
        <f t="shared" si="100"/>
        <v>-63227415.368483044</v>
      </c>
      <c r="BM24" s="742">
        <f t="shared" si="100"/>
        <v>560044.45140025904</v>
      </c>
      <c r="BN24" s="742">
        <f t="shared" si="100"/>
        <v>-62666506.337282792</v>
      </c>
      <c r="BO24" s="742">
        <f t="shared" si="100"/>
        <v>0</v>
      </c>
      <c r="BP24" s="742">
        <f t="shared" si="100"/>
        <v>-62666506.337282792</v>
      </c>
      <c r="BQ24" s="742">
        <f t="shared" si="100"/>
        <v>0</v>
      </c>
      <c r="BR24" s="742">
        <f t="shared" si="100"/>
        <v>-62666506.337282792</v>
      </c>
      <c r="BS24" s="22">
        <f>ROW()</f>
        <v>24</v>
      </c>
      <c r="BT24" s="516" t="s">
        <v>240</v>
      </c>
      <c r="BV24" s="743">
        <f>-BV23</f>
        <v>0</v>
      </c>
      <c r="BW24" s="743">
        <f>-BW23</f>
        <v>30881913.7943177</v>
      </c>
      <c r="BX24" s="743">
        <f>-BX23</f>
        <v>30881913.7943177</v>
      </c>
      <c r="BY24" s="743">
        <f>-BY23</f>
        <v>2863596.510559116</v>
      </c>
      <c r="BZ24" s="743">
        <f>-BZ23</f>
        <v>33745510.304876819</v>
      </c>
      <c r="CA24" s="743">
        <f t="shared" ref="CA24:CJ24" si="101">-CA23</f>
        <v>2460753.2996581821</v>
      </c>
      <c r="CB24" s="743">
        <f t="shared" si="101"/>
        <v>36206263.604534999</v>
      </c>
      <c r="CC24" s="743">
        <f t="shared" si="101"/>
        <v>835836.62346682185</v>
      </c>
      <c r="CD24" s="743">
        <f t="shared" si="101"/>
        <v>37042100.228001818</v>
      </c>
      <c r="CE24" s="743">
        <f t="shared" si="101"/>
        <v>3921908.0189300617</v>
      </c>
      <c r="CF24" s="743">
        <f t="shared" si="101"/>
        <v>40964008.246931881</v>
      </c>
      <c r="CG24" s="743">
        <f t="shared" si="101"/>
        <v>0</v>
      </c>
      <c r="CH24" s="743">
        <f t="shared" si="101"/>
        <v>0</v>
      </c>
      <c r="CI24" s="743">
        <f t="shared" si="101"/>
        <v>0</v>
      </c>
      <c r="CJ24" s="743">
        <f t="shared" si="101"/>
        <v>0</v>
      </c>
      <c r="DC24" s="22">
        <f>ROW()</f>
        <v>24</v>
      </c>
      <c r="DD24" s="744"/>
      <c r="DE24" s="744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30"/>
      <c r="DV24" s="1"/>
      <c r="DW24" s="1"/>
      <c r="DX24" s="1"/>
      <c r="DY24" s="1"/>
      <c r="DZ24" s="1"/>
      <c r="EA24" s="1"/>
      <c r="EB24" s="1"/>
      <c r="EM24" s="22">
        <f>ROW()</f>
        <v>24</v>
      </c>
      <c r="EN24" s="4"/>
      <c r="EO24" s="23"/>
      <c r="EP24" s="23"/>
      <c r="EQ24" s="23"/>
      <c r="ER24" s="1"/>
      <c r="ES24" s="23"/>
      <c r="ET24" s="1"/>
      <c r="EU24" s="23"/>
      <c r="EV24" s="1"/>
      <c r="EW24" s="23"/>
      <c r="EX24" s="1"/>
      <c r="EY24" s="23"/>
      <c r="EZ24" s="1"/>
      <c r="FA24" s="1"/>
      <c r="FB24" s="1"/>
      <c r="FC24" s="23"/>
      <c r="FD24" s="1"/>
      <c r="FV24" s="30"/>
      <c r="FW24" s="22">
        <f>ROW()</f>
        <v>24</v>
      </c>
      <c r="FX24" s="592" t="s">
        <v>327</v>
      </c>
      <c r="FZ24" s="745">
        <v>3286639.3647325533</v>
      </c>
      <c r="GA24" s="745">
        <v>-1063771.4047025349</v>
      </c>
      <c r="GB24" s="745">
        <f t="shared" si="41"/>
        <v>2222867.9600300184</v>
      </c>
      <c r="GC24" s="745">
        <v>283113.62915001344</v>
      </c>
      <c r="GD24" s="745">
        <f t="shared" si="42"/>
        <v>2505981.5891800318</v>
      </c>
      <c r="GE24" s="745">
        <v>117788.04868907994</v>
      </c>
      <c r="GF24" s="745">
        <f t="shared" si="43"/>
        <v>2623769.6378691117</v>
      </c>
      <c r="GG24" s="745">
        <v>554610.18959067063</v>
      </c>
      <c r="GH24" s="745">
        <f t="shared" si="44"/>
        <v>3178379.8274597824</v>
      </c>
      <c r="GI24" s="745">
        <v>1831.8256575046107</v>
      </c>
      <c r="GJ24" s="745">
        <f t="shared" si="45"/>
        <v>3180211.653117287</v>
      </c>
      <c r="GK24" s="670"/>
      <c r="GL24" s="745">
        <f t="shared" si="45"/>
        <v>3180211.653117287</v>
      </c>
      <c r="GM24" s="670"/>
      <c r="GN24" s="745">
        <f t="shared" si="45"/>
        <v>3180211.653117287</v>
      </c>
      <c r="GO24" s="22">
        <f>ROW()</f>
        <v>24</v>
      </c>
      <c r="GP24" s="4" t="s">
        <v>328</v>
      </c>
      <c r="GQ24" s="14"/>
      <c r="GR24" s="634">
        <v>1179089.9432000001</v>
      </c>
      <c r="GS24" s="634">
        <v>10317.037003000034</v>
      </c>
      <c r="GT24" s="634">
        <f>SUM(GR24:GS24)</f>
        <v>1189406.9802030001</v>
      </c>
      <c r="GU24" s="722"/>
      <c r="GV24" s="634">
        <f>SUM(GT24:GU24)</f>
        <v>1189406.9802030001</v>
      </c>
      <c r="GW24" s="722"/>
      <c r="GX24" s="634">
        <f>SUM(GV24:GW24)</f>
        <v>1189406.9802030001</v>
      </c>
      <c r="GY24" s="722"/>
      <c r="GZ24" s="634">
        <f>SUM(GX24:GY24)</f>
        <v>1189406.9802030001</v>
      </c>
      <c r="HA24" s="722"/>
      <c r="HB24" s="634">
        <f>SUM(GZ24:HA24)</f>
        <v>1189406.9802030001</v>
      </c>
      <c r="HC24" s="634"/>
      <c r="HD24" s="634"/>
      <c r="HE24" s="722"/>
      <c r="HF24" s="634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22">
        <f>ROW()</f>
        <v>24</v>
      </c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482"/>
      <c r="IX24" s="51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482"/>
      <c r="JJ24" s="20"/>
      <c r="JK24" s="20"/>
      <c r="KS24" s="22">
        <f>ROW()</f>
        <v>24</v>
      </c>
      <c r="KT24" s="598" t="s">
        <v>327</v>
      </c>
      <c r="KU24" s="480"/>
      <c r="KV24" s="739">
        <v>40972341.53736946</v>
      </c>
      <c r="KW24" s="739">
        <v>4379415.04756248</v>
      </c>
      <c r="KX24" s="746">
        <f t="shared" si="48"/>
        <v>45351756.58493194</v>
      </c>
      <c r="KY24" s="746">
        <v>0</v>
      </c>
      <c r="KZ24" s="746">
        <f t="shared" si="49"/>
        <v>45351756.58493194</v>
      </c>
      <c r="LA24" s="746">
        <v>0</v>
      </c>
      <c r="LB24" s="746">
        <f t="shared" si="26"/>
        <v>45351756.58493194</v>
      </c>
      <c r="LC24" s="746"/>
      <c r="LD24" s="746">
        <f t="shared" si="26"/>
        <v>45351756.58493194</v>
      </c>
      <c r="LE24" s="746"/>
      <c r="LF24" s="746">
        <f t="shared" si="26"/>
        <v>45351756.58493194</v>
      </c>
      <c r="LG24" s="746"/>
      <c r="LH24" s="746"/>
      <c r="LI24" s="746"/>
      <c r="LJ24" s="746">
        <f t="shared" si="26"/>
        <v>0</v>
      </c>
      <c r="LK24" s="22"/>
      <c r="MC24" s="22">
        <f>ROW()</f>
        <v>24</v>
      </c>
      <c r="MD24" s="555" t="s">
        <v>329</v>
      </c>
      <c r="MF24" s="651">
        <v>19263.113100000002</v>
      </c>
      <c r="MG24" s="651">
        <v>-19263.113100000002</v>
      </c>
      <c r="MH24" s="651">
        <f>MF24+MG24</f>
        <v>0</v>
      </c>
      <c r="MI24" s="651">
        <v>0</v>
      </c>
      <c r="MJ24" s="651">
        <f>MH24+MI24</f>
        <v>0</v>
      </c>
      <c r="MK24" s="651"/>
      <c r="ML24" s="651">
        <f>MJ24+MK24</f>
        <v>0</v>
      </c>
      <c r="MM24" s="651"/>
      <c r="MN24" s="651">
        <f>ML24+MM24</f>
        <v>0</v>
      </c>
      <c r="MO24" s="651"/>
      <c r="MP24" s="651">
        <f>MN24+MO24</f>
        <v>0</v>
      </c>
      <c r="MQ24" s="651"/>
      <c r="MR24" s="651">
        <f>MP24+MQ24</f>
        <v>0</v>
      </c>
      <c r="MS24" s="651"/>
      <c r="MT24" s="651">
        <f>MR24+MS24</f>
        <v>0</v>
      </c>
      <c r="MU24" s="22"/>
      <c r="MV24" s="523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M24" s="22">
        <f>ROW()</f>
        <v>24</v>
      </c>
      <c r="NN24" s="28" t="s">
        <v>100</v>
      </c>
      <c r="NP24" s="550"/>
      <c r="NQ24" s="619"/>
      <c r="NR24" s="550"/>
      <c r="NS24" s="619"/>
      <c r="NT24" s="550"/>
      <c r="NU24" s="619"/>
      <c r="NV24" s="747">
        <f>'SEF-30 pg 1'!I36</f>
        <v>174376996.90552947</v>
      </c>
      <c r="NW24" s="640">
        <v>19277956.036023647</v>
      </c>
      <c r="NX24" s="747">
        <f t="shared" si="51"/>
        <v>193654952.94155312</v>
      </c>
      <c r="NY24" s="640">
        <v>8835898.097527802</v>
      </c>
      <c r="NZ24" s="747">
        <f t="shared" si="52"/>
        <v>202490851.03908092</v>
      </c>
      <c r="OA24" s="641"/>
      <c r="OB24" s="641"/>
      <c r="OC24" s="641"/>
      <c r="OD24" s="641"/>
      <c r="OE24" s="482">
        <f>ROW()</f>
        <v>24</v>
      </c>
      <c r="OF24" s="1" t="s">
        <v>330</v>
      </c>
      <c r="OG24" s="20"/>
      <c r="OH24" s="748">
        <f>OH21</f>
        <v>60657666.762677558</v>
      </c>
      <c r="OI24" s="748">
        <f>OI21</f>
        <v>0</v>
      </c>
      <c r="OJ24" s="748">
        <f>OJ21</f>
        <v>60657666.762677558</v>
      </c>
      <c r="OK24" s="748">
        <f>OK21</f>
        <v>-60657666.762677558</v>
      </c>
      <c r="OL24" s="748">
        <f>OL21</f>
        <v>0</v>
      </c>
      <c r="OM24" s="748"/>
      <c r="ON24" s="748"/>
      <c r="OO24" s="748"/>
      <c r="OP24" s="748"/>
      <c r="OQ24" s="748"/>
      <c r="OR24" s="748"/>
      <c r="OS24" s="42" t="e">
        <f>OT24-#REF!</f>
        <v>#REF!</v>
      </c>
      <c r="OT24" s="667"/>
      <c r="OU24" s="42">
        <f>OV24-OT24</f>
        <v>0</v>
      </c>
      <c r="OV24" s="667"/>
      <c r="OW24" s="22">
        <f>ROW()</f>
        <v>24</v>
      </c>
      <c r="OX24" s="644" t="s">
        <v>246</v>
      </c>
      <c r="OY24" s="644"/>
      <c r="OZ24" s="63">
        <v>-31210201.311326701</v>
      </c>
      <c r="PA24" s="624">
        <v>20094836.319164261</v>
      </c>
      <c r="PB24" s="63">
        <f>SUM(OZ24:PA24)</f>
        <v>-11115364.99216244</v>
      </c>
      <c r="PC24" s="63">
        <v>-20094836.319164261</v>
      </c>
      <c r="PD24" s="600">
        <f>SUM(PB24:PC24)</f>
        <v>-31210201.311326701</v>
      </c>
      <c r="PE24" s="63">
        <v>0</v>
      </c>
      <c r="PF24" s="600">
        <f>SUM(PD24:PE24)</f>
        <v>-31210201.311326701</v>
      </c>
      <c r="PG24" s="63">
        <v>0</v>
      </c>
      <c r="PH24" s="647">
        <f>SUM(PF24:PG24)</f>
        <v>-31210201.311326701</v>
      </c>
      <c r="PI24" s="63">
        <v>0</v>
      </c>
      <c r="PJ24" s="647">
        <f>SUM(PH24:PI24)</f>
        <v>-31210201.311326701</v>
      </c>
      <c r="PK24" s="666">
        <v>0</v>
      </c>
      <c r="PL24" s="647">
        <f t="shared" ref="PL24:PL26" si="102">SUM(PJ24:PK24)</f>
        <v>-31210201.311326701</v>
      </c>
      <c r="PM24" s="666">
        <v>0</v>
      </c>
      <c r="PN24" s="647">
        <f t="shared" ref="PN24:PN26" si="103">SUM(PL24:PM24)</f>
        <v>-31210201.311326701</v>
      </c>
      <c r="PO24" s="7"/>
      <c r="PP24" s="7"/>
      <c r="PQ24" s="7"/>
      <c r="PR24" s="7"/>
      <c r="PS24" s="22"/>
      <c r="PT24" s="516"/>
      <c r="PU24" s="516"/>
      <c r="PV24" s="516"/>
      <c r="RC24" s="22">
        <f>ROW()</f>
        <v>24</v>
      </c>
      <c r="RD24" s="102" t="s">
        <v>317</v>
      </c>
      <c r="RF24" s="604"/>
      <c r="RG24" s="604"/>
      <c r="RH24" s="745"/>
      <c r="RI24" s="745">
        <f t="shared" si="87"/>
        <v>0</v>
      </c>
      <c r="RJ24" s="739"/>
      <c r="RK24" s="745">
        <f t="shared" si="87"/>
        <v>0</v>
      </c>
      <c r="RL24" s="739"/>
      <c r="RM24" s="745">
        <f t="shared" si="88"/>
        <v>0</v>
      </c>
      <c r="RN24" s="739"/>
      <c r="RO24" s="745">
        <f t="shared" si="88"/>
        <v>0</v>
      </c>
      <c r="RP24" s="739"/>
      <c r="RQ24" s="745">
        <f t="shared" si="89"/>
        <v>0</v>
      </c>
      <c r="RR24" s="739"/>
      <c r="RS24" s="745">
        <f t="shared" si="89"/>
        <v>0</v>
      </c>
      <c r="RT24" s="739"/>
      <c r="RU24" s="521">
        <f>ROW()</f>
        <v>24</v>
      </c>
      <c r="RV24" s="102" t="s">
        <v>331</v>
      </c>
      <c r="RW24" s="520"/>
      <c r="RX24" s="606"/>
      <c r="RY24" s="606"/>
      <c r="RZ24" s="606">
        <f>SUM(RZ20:RZ23)</f>
        <v>0</v>
      </c>
      <c r="SA24" s="39">
        <f t="shared" ref="SA24:SH24" si="104">SUM(SA20:SA23)</f>
        <v>-174784.55000000002</v>
      </c>
      <c r="SB24" s="39">
        <f t="shared" si="104"/>
        <v>-174784.55000000002</v>
      </c>
      <c r="SC24" s="39">
        <f t="shared" si="104"/>
        <v>-1552531.0100000002</v>
      </c>
      <c r="SD24" s="39">
        <f t="shared" si="104"/>
        <v>-1727315.5600000003</v>
      </c>
      <c r="SE24" s="39">
        <f t="shared" si="104"/>
        <v>-1738872.7199999981</v>
      </c>
      <c r="SF24" s="39">
        <f t="shared" si="104"/>
        <v>-3466188.2799999984</v>
      </c>
      <c r="SG24" s="39">
        <f t="shared" si="104"/>
        <v>-1738872.7200000081</v>
      </c>
      <c r="SH24" s="39">
        <f t="shared" si="104"/>
        <v>-5205061.0000000065</v>
      </c>
      <c r="SI24" s="606">
        <f>SUM(SI20:SI23)</f>
        <v>0</v>
      </c>
      <c r="SJ24" s="606">
        <f>SUM(SJ20:SJ23)</f>
        <v>-5205061.0000000065</v>
      </c>
      <c r="SK24" s="606">
        <f>SUM(SK20:SK23)</f>
        <v>0</v>
      </c>
      <c r="SL24" s="606">
        <f>SUM(SL20:SL23)</f>
        <v>-5205061.0000000065</v>
      </c>
      <c r="SM24" s="521">
        <f>ROW()</f>
        <v>24</v>
      </c>
      <c r="SN24" s="102" t="s">
        <v>259</v>
      </c>
      <c r="SO24" s="608">
        <v>0.21</v>
      </c>
      <c r="SP24" s="669"/>
      <c r="SQ24" s="669"/>
      <c r="SR24" s="669"/>
      <c r="SS24" s="745">
        <f>SS22*-$SO$24</f>
        <v>-733202.57916990004</v>
      </c>
      <c r="ST24" s="745">
        <f t="shared" ref="ST24:SY24" si="105">ST22*-$SO$24</f>
        <v>-733202.57916990004</v>
      </c>
      <c r="SU24" s="745">
        <f t="shared" si="105"/>
        <v>-4116373.7134474493</v>
      </c>
      <c r="SV24" s="745">
        <f t="shared" si="105"/>
        <v>-4849576.292617349</v>
      </c>
      <c r="SW24" s="745">
        <f t="shared" si="105"/>
        <v>-4419192.6241974002</v>
      </c>
      <c r="SX24" s="745">
        <f t="shared" si="105"/>
        <v>-9268768.9168147463</v>
      </c>
      <c r="SY24" s="745">
        <f t="shared" si="105"/>
        <v>-5488473.9123354023</v>
      </c>
      <c r="SZ24" s="745">
        <f>SZ22*-$SO$24</f>
        <v>-14757242.829150151</v>
      </c>
      <c r="TA24" s="669">
        <f>TA22*-$SO$24</f>
        <v>0</v>
      </c>
      <c r="TB24" s="669">
        <f>TB22*-$SO$24</f>
        <v>-14757242.829150151</v>
      </c>
      <c r="TC24" s="669">
        <f>TC22*-$SO$24</f>
        <v>0</v>
      </c>
      <c r="TD24" s="669">
        <f>TD22*-$SO$24</f>
        <v>-14757242.829150151</v>
      </c>
      <c r="TF24" s="950">
        <f>ROW()</f>
        <v>24</v>
      </c>
      <c r="TG24" s="690" t="s">
        <v>332</v>
      </c>
      <c r="TH24" s="749"/>
      <c r="TI24" s="638">
        <f>SUM(TI21:TI23)</f>
        <v>2134.29489057</v>
      </c>
      <c r="TJ24" s="638">
        <f>SUM(TJ21:TJ23)</f>
        <v>-2134.29489057</v>
      </c>
      <c r="TK24" s="1"/>
      <c r="TL24" s="1"/>
      <c r="TM24" s="1"/>
      <c r="TN24" s="1"/>
      <c r="TO24" s="1"/>
      <c r="TP24" s="1"/>
      <c r="TQ24" s="1"/>
      <c r="TR24" s="1"/>
      <c r="TS24" s="1"/>
      <c r="TU24" s="521">
        <f>ROW()</f>
        <v>24</v>
      </c>
      <c r="TV24" s="730" t="s">
        <v>333</v>
      </c>
      <c r="TX24" s="50">
        <f>SUM(TX22:TX23)</f>
        <v>-5438339.7299999995</v>
      </c>
      <c r="TY24" s="50">
        <f t="shared" ref="TY24:UH24" si="106">SUM(TY22:TY23)</f>
        <v>5438339.7299999995</v>
      </c>
      <c r="TZ24" s="50">
        <f t="shared" si="106"/>
        <v>0</v>
      </c>
      <c r="UA24" s="50">
        <f t="shared" si="106"/>
        <v>0</v>
      </c>
      <c r="UB24" s="50">
        <f t="shared" si="106"/>
        <v>0</v>
      </c>
      <c r="UC24" s="50">
        <f t="shared" si="106"/>
        <v>0</v>
      </c>
      <c r="UD24" s="50">
        <f t="shared" si="106"/>
        <v>0</v>
      </c>
      <c r="UE24" s="750">
        <f t="shared" si="106"/>
        <v>10256948.971938133</v>
      </c>
      <c r="UF24" s="750">
        <f t="shared" si="106"/>
        <v>10256948.971938133</v>
      </c>
      <c r="UG24" s="50">
        <f t="shared" si="106"/>
        <v>0</v>
      </c>
      <c r="UH24" s="750">
        <f t="shared" si="106"/>
        <v>10256948.971938133</v>
      </c>
      <c r="UJ24" s="22">
        <f>ROW()</f>
        <v>24</v>
      </c>
      <c r="UK24" s="349"/>
      <c r="UL24" s="740"/>
      <c r="UM24" s="672"/>
      <c r="UN24" s="673"/>
      <c r="UO24" s="674"/>
      <c r="UP24" s="674"/>
      <c r="UQ24" s="674"/>
      <c r="UR24" s="674"/>
      <c r="US24" s="674"/>
      <c r="UT24" s="674"/>
      <c r="UU24" s="674"/>
      <c r="UV24" s="674"/>
      <c r="UW24" s="674"/>
      <c r="UY24" s="521">
        <f>ROW()</f>
        <v>24</v>
      </c>
      <c r="UZ24" s="102"/>
    </row>
    <row r="25" spans="1:614" ht="16.5" thickTop="1" x14ac:dyDescent="0.25">
      <c r="A25" s="22">
        <f>ROW()</f>
        <v>25</v>
      </c>
      <c r="B25" s="617" t="s">
        <v>334</v>
      </c>
      <c r="C25" s="23"/>
      <c r="D25" s="618">
        <v>8180430.290000001</v>
      </c>
      <c r="E25" s="618">
        <f t="shared" si="91"/>
        <v>-8180430.290000001</v>
      </c>
      <c r="F25" s="618">
        <f t="shared" si="17"/>
        <v>0</v>
      </c>
      <c r="G25" s="640"/>
      <c r="H25" s="618">
        <f t="shared" si="17"/>
        <v>0</v>
      </c>
      <c r="I25" s="618"/>
      <c r="J25" s="618">
        <f t="shared" si="17"/>
        <v>0</v>
      </c>
      <c r="K25" s="618"/>
      <c r="L25" s="618">
        <f t="shared" si="17"/>
        <v>0</v>
      </c>
      <c r="M25" s="618"/>
      <c r="N25" s="618">
        <f t="shared" si="17"/>
        <v>0</v>
      </c>
      <c r="O25" s="618"/>
      <c r="P25" s="618">
        <f t="shared" si="18"/>
        <v>0</v>
      </c>
      <c r="Q25" s="618"/>
      <c r="R25" s="618">
        <f t="shared" si="19"/>
        <v>0</v>
      </c>
      <c r="S25" s="529">
        <f>ROW()</f>
        <v>25</v>
      </c>
      <c r="T25" s="41" t="s">
        <v>335</v>
      </c>
      <c r="U25" s="751">
        <f>-(V25-V48)/V24</f>
        <v>0.95111499087374041</v>
      </c>
      <c r="V25" s="620">
        <v>198942.23</v>
      </c>
      <c r="W25" s="620">
        <f>-V25</f>
        <v>-198942.23</v>
      </c>
      <c r="X25" s="74">
        <f t="shared" si="35"/>
        <v>0</v>
      </c>
      <c r="Z25" s="74">
        <f t="shared" si="36"/>
        <v>0</v>
      </c>
      <c r="AB25" s="74">
        <f t="shared" si="37"/>
        <v>0</v>
      </c>
      <c r="AD25" s="74">
        <f t="shared" si="38"/>
        <v>0</v>
      </c>
      <c r="AF25" s="74">
        <f t="shared" si="39"/>
        <v>0</v>
      </c>
      <c r="AG25" s="20"/>
      <c r="AH25" s="42"/>
      <c r="AI25" s="20"/>
      <c r="AJ25" s="42"/>
      <c r="AK25" s="22">
        <f>ROW()</f>
        <v>25</v>
      </c>
      <c r="AL25" s="639" t="s">
        <v>258</v>
      </c>
      <c r="AM25" s="752"/>
      <c r="AN25" s="753">
        <f>SUM(AN22:AN24)</f>
        <v>124398378.57928103</v>
      </c>
      <c r="AO25" s="753">
        <f>SUM(AO22:AO24)</f>
        <v>-3041387.3716080002</v>
      </c>
      <c r="AP25" s="753">
        <f>SUM(AP22:AP24)</f>
        <v>121356991.20767303</v>
      </c>
      <c r="AQ25" s="754">
        <f t="shared" ref="AQ25:AX25" si="107">SUM(AQ22:AQ24)</f>
        <v>0</v>
      </c>
      <c r="AR25" s="753">
        <f t="shared" si="107"/>
        <v>226957560.51153421</v>
      </c>
      <c r="AS25" s="754">
        <f t="shared" si="107"/>
        <v>0</v>
      </c>
      <c r="AT25" s="753">
        <f t="shared" si="107"/>
        <v>226957560.51153421</v>
      </c>
      <c r="AU25" s="754">
        <f t="shared" si="107"/>
        <v>0</v>
      </c>
      <c r="AV25" s="753">
        <f t="shared" si="107"/>
        <v>226957560.51153421</v>
      </c>
      <c r="AW25" s="754">
        <f t="shared" si="107"/>
        <v>0</v>
      </c>
      <c r="AX25" s="753">
        <f t="shared" si="107"/>
        <v>226957560.51153421</v>
      </c>
      <c r="AY25" s="754"/>
      <c r="AZ25" s="754"/>
      <c r="BA25" s="22">
        <f>ROW()</f>
        <v>25</v>
      </c>
      <c r="BB25" s="102" t="s">
        <v>306</v>
      </c>
      <c r="BC25" s="102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607"/>
      <c r="BO25"/>
      <c r="BP25"/>
      <c r="BQ25"/>
      <c r="BR25"/>
      <c r="DC25" s="22">
        <f>ROW()</f>
        <v>25</v>
      </c>
      <c r="DD25" s="744" t="s">
        <v>336</v>
      </c>
      <c r="DE25" s="755">
        <v>0.21</v>
      </c>
      <c r="DF25" s="74">
        <f>-DF23*$DE$25</f>
        <v>-362127.92520030006</v>
      </c>
      <c r="DG25" s="74">
        <f>-DG23*$DE$25</f>
        <v>47589.925200300051</v>
      </c>
      <c r="DH25" s="74">
        <f>DF25+DG25</f>
        <v>-314538</v>
      </c>
      <c r="DI25" s="74"/>
      <c r="DJ25" s="74">
        <f>DH25+DI25</f>
        <v>-314538</v>
      </c>
      <c r="DK25" s="74"/>
      <c r="DL25" s="74">
        <f>DJ25+DK25</f>
        <v>-314538</v>
      </c>
      <c r="DM25" s="74"/>
      <c r="DN25" s="74">
        <f>DL25+DM25</f>
        <v>-314538</v>
      </c>
      <c r="DO25" s="74"/>
      <c r="DP25" s="74">
        <f>DN25+DO25</f>
        <v>-314538</v>
      </c>
      <c r="DQ25" s="74"/>
      <c r="DR25" s="74">
        <f t="shared" ref="DR25" si="108">DP25+DQ25</f>
        <v>-314538</v>
      </c>
      <c r="DS25" s="74"/>
      <c r="DT25" s="74">
        <f t="shared" ref="DT25" si="109">DR25+DS25</f>
        <v>-314538</v>
      </c>
      <c r="DU25" s="30"/>
      <c r="DV25" s="1"/>
      <c r="DW25" s="1"/>
      <c r="DX25" s="1"/>
      <c r="DY25" s="1"/>
      <c r="DZ25" s="1"/>
      <c r="EA25" s="1"/>
      <c r="EB25" s="1"/>
      <c r="EM25" s="22">
        <f>ROW()</f>
        <v>25</v>
      </c>
      <c r="EN25" s="29" t="s">
        <v>283</v>
      </c>
      <c r="EO25" s="56">
        <v>0.21</v>
      </c>
      <c r="EP25" s="756">
        <f t="shared" ref="EP25:FC25" si="110">-$EO$25*EP23</f>
        <v>65627.443976722949</v>
      </c>
      <c r="EQ25" s="756">
        <f t="shared" si="110"/>
        <v>9543.1735206295925</v>
      </c>
      <c r="ER25" s="756">
        <f t="shared" si="110"/>
        <v>75170.617497352549</v>
      </c>
      <c r="ES25" s="756">
        <f t="shared" si="110"/>
        <v>-142243.42361804823</v>
      </c>
      <c r="ET25" s="756">
        <f t="shared" si="110"/>
        <v>-67072.806120695692</v>
      </c>
      <c r="EU25" s="756">
        <f t="shared" si="110"/>
        <v>0</v>
      </c>
      <c r="EV25" s="756">
        <f t="shared" si="110"/>
        <v>-67072.806120695692</v>
      </c>
      <c r="EW25" s="756">
        <f t="shared" si="110"/>
        <v>0</v>
      </c>
      <c r="EX25" s="756">
        <f t="shared" si="110"/>
        <v>-67072.806120695692</v>
      </c>
      <c r="EY25" s="756">
        <f t="shared" si="110"/>
        <v>0</v>
      </c>
      <c r="EZ25" s="756">
        <f t="shared" si="110"/>
        <v>-67072.806120695692</v>
      </c>
      <c r="FA25" s="756">
        <f t="shared" si="110"/>
        <v>0</v>
      </c>
      <c r="FB25" s="756">
        <f>-$EO$25*FB23</f>
        <v>0</v>
      </c>
      <c r="FC25" s="756">
        <f t="shared" si="110"/>
        <v>0</v>
      </c>
      <c r="FD25" s="756">
        <f>-$EO$25*FD23</f>
        <v>0</v>
      </c>
      <c r="FV25" s="30"/>
      <c r="FW25" s="22">
        <f>ROW()</f>
        <v>25</v>
      </c>
      <c r="FX25" s="4" t="s">
        <v>337</v>
      </c>
      <c r="FY25" s="4"/>
      <c r="FZ25" s="21">
        <f t="shared" ref="FZ25:GN25" si="111">SUM(FZ17:FZ24)</f>
        <v>10637666.447405376</v>
      </c>
      <c r="GA25" s="21">
        <f t="shared" si="111"/>
        <v>-3746484.16548857</v>
      </c>
      <c r="GB25" s="21">
        <f t="shared" si="111"/>
        <v>6891182.2819168055</v>
      </c>
      <c r="GC25" s="626">
        <f t="shared" si="111"/>
        <v>877688.49893629551</v>
      </c>
      <c r="GD25" s="21">
        <f t="shared" si="111"/>
        <v>7768870.780853102</v>
      </c>
      <c r="GE25" s="626">
        <f>SUM(GE17:GE24)</f>
        <v>365159.03197794978</v>
      </c>
      <c r="GF25" s="21">
        <f t="shared" si="111"/>
        <v>8134029.8128310516</v>
      </c>
      <c r="GG25" s="626">
        <f>SUM(GG17:GG24)</f>
        <v>81424.706660984724</v>
      </c>
      <c r="GH25" s="21">
        <f t="shared" si="111"/>
        <v>8215454.5194920367</v>
      </c>
      <c r="GI25" s="626">
        <f>SUM(GI17:GI24)</f>
        <v>4734.8904768563734</v>
      </c>
      <c r="GJ25" s="626">
        <f t="shared" si="111"/>
        <v>8220189.409968893</v>
      </c>
      <c r="GK25" s="626">
        <f>SUM(GK17:GK24)</f>
        <v>0</v>
      </c>
      <c r="GL25" s="626">
        <f t="shared" si="111"/>
        <v>8220189.409968893</v>
      </c>
      <c r="GM25" s="626">
        <f>SUM(GM17:GM24)</f>
        <v>0</v>
      </c>
      <c r="GN25" s="626">
        <f t="shared" si="111"/>
        <v>8220189.409968893</v>
      </c>
      <c r="GO25" s="22">
        <f>ROW()</f>
        <v>25</v>
      </c>
      <c r="GP25" s="20"/>
      <c r="GQ25" s="721"/>
      <c r="GR25" s="757"/>
      <c r="GS25" s="757"/>
      <c r="GT25" s="757"/>
      <c r="GU25" s="757"/>
      <c r="GV25" s="757"/>
      <c r="GW25" s="757"/>
      <c r="GX25" s="757"/>
      <c r="GY25" s="757"/>
      <c r="GZ25" s="757"/>
      <c r="HA25" s="757"/>
      <c r="HB25" s="757"/>
      <c r="HC25" s="757"/>
      <c r="HD25" s="757"/>
      <c r="HE25" s="757"/>
      <c r="HF25" s="757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2">
        <f>ROW()</f>
        <v>25</v>
      </c>
      <c r="HZ25" s="28" t="s">
        <v>338</v>
      </c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102"/>
      <c r="IR25" s="102"/>
      <c r="IS25" s="102"/>
      <c r="IT25" s="102"/>
      <c r="IU25" s="102"/>
      <c r="IV25" s="102"/>
      <c r="IW25" s="102"/>
      <c r="IX25" s="102"/>
      <c r="IY25" s="102"/>
      <c r="IZ25" s="102"/>
      <c r="JA25" s="102"/>
      <c r="JB25" s="102"/>
      <c r="JC25" s="102"/>
      <c r="JD25" s="102"/>
      <c r="JE25" s="102"/>
      <c r="JF25" s="102"/>
      <c r="JG25" s="102"/>
      <c r="JH25" s="102"/>
      <c r="JI25" s="102"/>
      <c r="JJ25" s="102"/>
      <c r="JK25" s="102"/>
      <c r="JL25" s="102"/>
      <c r="JM25" s="102"/>
      <c r="JN25" s="102"/>
      <c r="JO25" s="102"/>
      <c r="JP25" s="102"/>
      <c r="JQ25" s="102"/>
      <c r="JR25" s="102"/>
      <c r="JS25" s="102"/>
      <c r="JT25" s="102"/>
      <c r="JU25" s="102"/>
      <c r="JV25" s="102"/>
      <c r="JW25" s="102"/>
      <c r="JX25" s="102"/>
      <c r="JY25" s="102"/>
      <c r="JZ25" s="102"/>
      <c r="KS25" s="22">
        <f>ROW()</f>
        <v>25</v>
      </c>
      <c r="KT25" s="480" t="s">
        <v>339</v>
      </c>
      <c r="KV25" s="74">
        <f t="shared" ref="KV25:LF25" si="112">SUM(KV17:KV24)</f>
        <v>132613447.91435675</v>
      </c>
      <c r="KW25" s="74">
        <f t="shared" si="112"/>
        <v>7983000.6503777141</v>
      </c>
      <c r="KX25" s="74">
        <f t="shared" si="112"/>
        <v>140596448.56473446</v>
      </c>
      <c r="KY25" s="74">
        <f t="shared" si="112"/>
        <v>0</v>
      </c>
      <c r="KZ25" s="74">
        <f t="shared" si="112"/>
        <v>140596448.56473446</v>
      </c>
      <c r="LA25" s="74">
        <f>SUM(LA17:LA24)</f>
        <v>0</v>
      </c>
      <c r="LB25" s="74">
        <f t="shared" si="112"/>
        <v>140596448.56473446</v>
      </c>
      <c r="LC25" s="74">
        <f>SUM(LC17:LC24)</f>
        <v>0</v>
      </c>
      <c r="LD25" s="74">
        <f t="shared" si="112"/>
        <v>140596448.56473446</v>
      </c>
      <c r="LE25" s="74">
        <f>SUM(LE17:LE24)</f>
        <v>0</v>
      </c>
      <c r="LF25" s="74">
        <f t="shared" si="112"/>
        <v>140596448.56473446</v>
      </c>
      <c r="LG25" s="74">
        <f>SUM(LG17:LG24)</f>
        <v>0</v>
      </c>
      <c r="LH25" s="74">
        <f>SUM(LH17:LH24)</f>
        <v>0</v>
      </c>
      <c r="LI25" s="74">
        <f>SUM(LI17:LI24)</f>
        <v>0</v>
      </c>
      <c r="LJ25" s="74">
        <f>SUM(LJ17:LJ24)</f>
        <v>0</v>
      </c>
      <c r="LK25" s="22"/>
      <c r="MC25" s="22">
        <f>ROW()</f>
        <v>25</v>
      </c>
      <c r="MD25" s="555" t="s">
        <v>331</v>
      </c>
      <c r="MF25" s="50">
        <f t="shared" ref="MF25:MT25" si="113">SUM(MF20:MF24)</f>
        <v>455757385.71813333</v>
      </c>
      <c r="MG25" s="50">
        <f t="shared" si="113"/>
        <v>-3988422.8500199127</v>
      </c>
      <c r="MH25" s="50">
        <f t="shared" si="113"/>
        <v>451768962.8681134</v>
      </c>
      <c r="MI25" s="50">
        <f t="shared" si="113"/>
        <v>0</v>
      </c>
      <c r="MJ25" s="50">
        <f t="shared" si="113"/>
        <v>451768962.8681134</v>
      </c>
      <c r="MK25" s="50">
        <f t="shared" si="113"/>
        <v>0</v>
      </c>
      <c r="ML25" s="50">
        <f t="shared" si="113"/>
        <v>451768962.8681134</v>
      </c>
      <c r="MM25" s="50">
        <f t="shared" si="113"/>
        <v>0</v>
      </c>
      <c r="MN25" s="50">
        <f t="shared" si="113"/>
        <v>451768962.8681134</v>
      </c>
      <c r="MO25" s="50">
        <f t="shared" si="113"/>
        <v>0</v>
      </c>
      <c r="MP25" s="50">
        <f t="shared" si="113"/>
        <v>451768962.8681134</v>
      </c>
      <c r="MQ25" s="50">
        <f t="shared" si="113"/>
        <v>0</v>
      </c>
      <c r="MR25" s="50">
        <f t="shared" si="113"/>
        <v>0</v>
      </c>
      <c r="MS25" s="50">
        <f t="shared" si="113"/>
        <v>0</v>
      </c>
      <c r="MT25" s="50">
        <f t="shared" si="113"/>
        <v>0</v>
      </c>
      <c r="MU25" s="22"/>
      <c r="MV25" s="938"/>
      <c r="MW25" s="938"/>
      <c r="MX25" s="937"/>
      <c r="MY25" s="20"/>
      <c r="MZ25" s="937"/>
      <c r="NA25" s="20"/>
      <c r="NB25" s="937"/>
      <c r="NC25" s="20"/>
      <c r="ND25" s="937"/>
      <c r="NE25" s="20"/>
      <c r="NF25" s="937"/>
      <c r="NG25" s="20"/>
      <c r="NH25" s="937"/>
      <c r="NI25" s="50"/>
      <c r="NJ25" s="50"/>
      <c r="NK25" s="50"/>
      <c r="NL25" s="50"/>
      <c r="NM25" s="22">
        <f>ROW()</f>
        <v>25</v>
      </c>
      <c r="NN25" s="28" t="s">
        <v>105</v>
      </c>
      <c r="NP25" s="759"/>
      <c r="NQ25" s="619"/>
      <c r="NR25" s="550"/>
      <c r="NS25" s="619"/>
      <c r="NT25" s="550"/>
      <c r="NU25" s="619"/>
      <c r="NV25" s="619">
        <f>'SEF-30 pg 1'!I41</f>
        <v>97820600.595367789</v>
      </c>
      <c r="NW25" s="640">
        <v>-1768139.9129227027</v>
      </c>
      <c r="NX25" s="619">
        <f>NV25+NW25</f>
        <v>96052460.682445079</v>
      </c>
      <c r="NY25" s="640">
        <v>1362567.1796614379</v>
      </c>
      <c r="NZ25" s="619">
        <f>NX25+NY25</f>
        <v>97415027.862106517</v>
      </c>
      <c r="OA25" s="641"/>
      <c r="OB25" s="641"/>
      <c r="OC25" s="641"/>
      <c r="OD25" s="641"/>
      <c r="OE25" s="482">
        <f>ROW()</f>
        <v>25</v>
      </c>
      <c r="OF25" s="1" t="s">
        <v>306</v>
      </c>
      <c r="OG25" s="573"/>
      <c r="OH25" s="600"/>
      <c r="OI25" s="600"/>
      <c r="OJ25" s="600"/>
      <c r="OK25" s="600"/>
      <c r="OL25" s="600"/>
      <c r="OM25" s="600"/>
      <c r="ON25" s="600"/>
      <c r="OO25" s="600"/>
      <c r="OP25" s="600"/>
      <c r="OQ25" s="600"/>
      <c r="OR25" s="600"/>
      <c r="OS25" s="42" t="e">
        <f>OT25-#REF!</f>
        <v>#REF!</v>
      </c>
      <c r="OT25" s="667"/>
      <c r="OU25" s="42">
        <f>OV25-OT25</f>
        <v>0</v>
      </c>
      <c r="OV25" s="667"/>
      <c r="OW25" s="22">
        <f>ROW()</f>
        <v>25</v>
      </c>
      <c r="OX25" s="644" t="s">
        <v>263</v>
      </c>
      <c r="OY25" s="644"/>
      <c r="OZ25" s="63">
        <v>-10501397.915038968</v>
      </c>
      <c r="PA25" s="63">
        <v>6761374.9145711791</v>
      </c>
      <c r="PB25" s="63">
        <f>SUM(OZ25:PA25)</f>
        <v>-3740023.0004677884</v>
      </c>
      <c r="PC25" s="63">
        <v>-6761374.9145711791</v>
      </c>
      <c r="PD25" s="600">
        <f>SUM(PB25:PC25)</f>
        <v>-10501397.915038968</v>
      </c>
      <c r="PE25" s="63">
        <v>0</v>
      </c>
      <c r="PF25" s="600">
        <f>SUM(PD25:PE25)</f>
        <v>-10501397.915038968</v>
      </c>
      <c r="PG25" s="63">
        <v>0</v>
      </c>
      <c r="PH25" s="667">
        <f>SUM(PF25:PG25)</f>
        <v>-10501397.915038968</v>
      </c>
      <c r="PI25" s="63">
        <v>0</v>
      </c>
      <c r="PJ25" s="667">
        <f>SUM(PH25:PI25)</f>
        <v>-10501397.915038968</v>
      </c>
      <c r="PK25" s="666">
        <v>0</v>
      </c>
      <c r="PL25" s="667">
        <f t="shared" si="102"/>
        <v>-10501397.915038968</v>
      </c>
      <c r="PM25" s="666">
        <v>0</v>
      </c>
      <c r="PN25" s="667">
        <f t="shared" si="103"/>
        <v>-10501397.915038968</v>
      </c>
      <c r="PO25" s="7"/>
      <c r="PP25" s="7"/>
      <c r="PQ25" s="7"/>
      <c r="PR25" s="7"/>
      <c r="RC25" s="22">
        <f>ROW()</f>
        <v>25</v>
      </c>
      <c r="RD25" s="102" t="s">
        <v>331</v>
      </c>
      <c r="RF25" s="568"/>
      <c r="RG25" s="568"/>
      <c r="RH25" s="39">
        <f t="shared" ref="RH25:RP25" si="114">SUM(RH21:RH24)</f>
        <v>414214933.71811336</v>
      </c>
      <c r="RI25" s="39">
        <f t="shared" si="114"/>
        <v>1121435.1292094663</v>
      </c>
      <c r="RJ25" s="39">
        <f>SUM(RJ21:RJ24)</f>
        <v>415336368.84732282</v>
      </c>
      <c r="RK25" s="39">
        <f t="shared" si="114"/>
        <v>-4042532.6617880836</v>
      </c>
      <c r="RL25" s="39">
        <f t="shared" si="114"/>
        <v>411293836.18553478</v>
      </c>
      <c r="RM25" s="39">
        <f t="shared" si="114"/>
        <v>-6188121.428004846</v>
      </c>
      <c r="RN25" s="39">
        <f t="shared" si="114"/>
        <v>405105714.75752991</v>
      </c>
      <c r="RO25" s="39">
        <f>SUM(RO21:RO24)</f>
        <v>-21973136.552504987</v>
      </c>
      <c r="RP25" s="39">
        <f t="shared" si="114"/>
        <v>383132578.20502496</v>
      </c>
      <c r="RQ25" s="606">
        <f>SUM(RQ21:RQ24)</f>
        <v>0</v>
      </c>
      <c r="RR25" s="606">
        <f>SUM(RR21:RR24)</f>
        <v>0</v>
      </c>
      <c r="RS25" s="606">
        <f>SUM(RS21:RS24)</f>
        <v>0</v>
      </c>
      <c r="RT25" s="606">
        <f>SUM(RT21:RT24)</f>
        <v>0</v>
      </c>
      <c r="RU25" s="521">
        <f>ROW()</f>
        <v>25</v>
      </c>
      <c r="RV25" s="520"/>
      <c r="RW25" s="520"/>
      <c r="RX25" s="606"/>
      <c r="RY25" s="606"/>
      <c r="RZ25" s="606"/>
      <c r="SA25" s="39"/>
      <c r="SB25" s="39"/>
      <c r="SC25" s="39"/>
      <c r="SD25" s="39"/>
      <c r="SE25" s="39"/>
      <c r="SF25" s="39"/>
      <c r="SG25" s="39"/>
      <c r="SH25" s="39"/>
      <c r="SI25" s="606"/>
      <c r="SJ25" s="606"/>
      <c r="SK25" s="606"/>
      <c r="SL25" s="606"/>
      <c r="SM25" s="521">
        <f>ROW()</f>
        <v>25</v>
      </c>
      <c r="SO25" s="608"/>
      <c r="SP25" s="760"/>
      <c r="SQ25" s="760"/>
      <c r="SR25" s="760"/>
      <c r="SS25" s="36"/>
      <c r="ST25" s="36"/>
      <c r="SU25" s="36"/>
      <c r="SV25" s="36"/>
      <c r="SW25" s="36"/>
      <c r="SX25" s="36"/>
      <c r="SY25" s="36"/>
      <c r="SZ25" s="36"/>
      <c r="TA25" s="760"/>
      <c r="TB25" s="760"/>
      <c r="TC25" s="760"/>
      <c r="TD25" s="760"/>
      <c r="TF25" s="950">
        <f>ROW()</f>
        <v>25</v>
      </c>
      <c r="TG25" s="1" t="s">
        <v>306</v>
      </c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U25" s="521">
        <f>ROW()</f>
        <v>25</v>
      </c>
      <c r="TV25" s="655"/>
      <c r="UJ25" s="22">
        <f>ROW()</f>
        <v>25</v>
      </c>
      <c r="UK25" s="318" t="s">
        <v>340</v>
      </c>
      <c r="UL25" s="761"/>
      <c r="UM25" s="762">
        <f t="shared" ref="UM25:UW25" si="115">-UM21-UM23</f>
        <v>-101020.46</v>
      </c>
      <c r="UN25" s="762">
        <f t="shared" si="115"/>
        <v>101020.46</v>
      </c>
      <c r="UO25" s="762">
        <f t="shared" si="115"/>
        <v>0</v>
      </c>
      <c r="UP25" s="762">
        <f t="shared" si="115"/>
        <v>0</v>
      </c>
      <c r="UQ25" s="762">
        <f t="shared" si="115"/>
        <v>0</v>
      </c>
      <c r="UR25" s="762">
        <f t="shared" si="115"/>
        <v>0</v>
      </c>
      <c r="US25" s="762">
        <f t="shared" si="115"/>
        <v>0</v>
      </c>
      <c r="UT25" s="762">
        <f t="shared" si="115"/>
        <v>-109020</v>
      </c>
      <c r="UU25" s="762">
        <f t="shared" si="115"/>
        <v>-109020</v>
      </c>
      <c r="UV25" s="762">
        <f t="shared" si="115"/>
        <v>0</v>
      </c>
      <c r="UW25" s="762">
        <f t="shared" si="115"/>
        <v>-109020</v>
      </c>
      <c r="UY25" s="521">
        <f>ROW()</f>
        <v>25</v>
      </c>
      <c r="UZ25" s="522" t="s">
        <v>341</v>
      </c>
    </row>
    <row r="26" spans="1:614" ht="16.5" customHeight="1" thickBot="1" x14ac:dyDescent="0.3">
      <c r="A26" s="22">
        <f>ROW()</f>
        <v>26</v>
      </c>
      <c r="B26" s="617" t="s">
        <v>342</v>
      </c>
      <c r="C26" s="23"/>
      <c r="D26" s="618">
        <v>-2036.08</v>
      </c>
      <c r="E26" s="618">
        <f t="shared" si="91"/>
        <v>2036.08</v>
      </c>
      <c r="F26" s="618">
        <f t="shared" si="17"/>
        <v>0</v>
      </c>
      <c r="G26" s="640"/>
      <c r="H26" s="618">
        <f t="shared" si="17"/>
        <v>0</v>
      </c>
      <c r="I26" s="618"/>
      <c r="J26" s="618">
        <f t="shared" si="17"/>
        <v>0</v>
      </c>
      <c r="K26" s="618"/>
      <c r="L26" s="618">
        <f t="shared" si="17"/>
        <v>0</v>
      </c>
      <c r="M26" s="618"/>
      <c r="N26" s="618">
        <f t="shared" si="17"/>
        <v>0</v>
      </c>
      <c r="O26" s="618"/>
      <c r="P26" s="618">
        <f t="shared" si="18"/>
        <v>0</v>
      </c>
      <c r="Q26" s="618"/>
      <c r="R26" s="618">
        <f t="shared" si="19"/>
        <v>0</v>
      </c>
      <c r="S26" s="529">
        <f>ROW()</f>
        <v>26</v>
      </c>
      <c r="T26" s="41" t="s">
        <v>343</v>
      </c>
      <c r="U26" s="751"/>
      <c r="V26" s="763">
        <v>144719.9700000002</v>
      </c>
      <c r="W26" s="763">
        <f>-V26</f>
        <v>-144719.9700000002</v>
      </c>
      <c r="X26" s="74">
        <f t="shared" si="35"/>
        <v>0</v>
      </c>
      <c r="Z26" s="74">
        <f t="shared" si="36"/>
        <v>0</v>
      </c>
      <c r="AB26" s="74">
        <f t="shared" si="37"/>
        <v>0</v>
      </c>
      <c r="AD26" s="74">
        <f t="shared" si="38"/>
        <v>0</v>
      </c>
      <c r="AF26" s="74">
        <f t="shared" si="39"/>
        <v>0</v>
      </c>
      <c r="AG26" s="20"/>
      <c r="AH26" s="42"/>
      <c r="AI26" s="20"/>
      <c r="AJ26" s="42"/>
      <c r="AK26" s="22">
        <f>ROW()</f>
        <v>26</v>
      </c>
      <c r="AL26" s="639"/>
      <c r="AM26" s="752"/>
      <c r="AN26" s="754"/>
      <c r="AO26" s="754"/>
      <c r="AP26" s="754"/>
      <c r="AQ26" s="754"/>
      <c r="AR26" s="754"/>
      <c r="AS26" s="754"/>
      <c r="AT26" s="754"/>
      <c r="AU26" s="754"/>
      <c r="AV26" s="754"/>
      <c r="AW26" s="754"/>
      <c r="AX26" s="754"/>
      <c r="AY26" s="754"/>
      <c r="AZ26" s="754"/>
      <c r="BA26" s="22">
        <f>ROW()</f>
        <v>26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T26" s="102"/>
      <c r="BU26" s="102"/>
      <c r="BV26" s="102"/>
      <c r="BW26" s="102"/>
      <c r="BX26" s="102"/>
      <c r="BY26" s="102"/>
      <c r="BZ26" s="102"/>
      <c r="CG26" s="764"/>
      <c r="DC26" s="1"/>
      <c r="DD26" s="744" t="s">
        <v>292</v>
      </c>
      <c r="DE26" s="744"/>
      <c r="DF26" s="765">
        <f>-DF23-DF25</f>
        <v>-1362290.7662297003</v>
      </c>
      <c r="DG26" s="765">
        <f>-DG23-DG25</f>
        <v>179028.76622970021</v>
      </c>
      <c r="DH26" s="765">
        <f>-DH23-DH25</f>
        <v>-1183262</v>
      </c>
      <c r="DI26" s="765">
        <f>-DI23-DI25</f>
        <v>0</v>
      </c>
      <c r="DJ26" s="765">
        <f>-DJ23-DJ25</f>
        <v>-1183262</v>
      </c>
      <c r="DK26" s="765"/>
      <c r="DL26" s="765">
        <f>-DL23-DL25</f>
        <v>-1183262</v>
      </c>
      <c r="DM26" s="765"/>
      <c r="DN26" s="765">
        <f>-DN23-DN25</f>
        <v>-1183262</v>
      </c>
      <c r="DO26" s="765"/>
      <c r="DP26" s="765">
        <f>-DP23-DP25</f>
        <v>-1183262</v>
      </c>
      <c r="DQ26" s="765"/>
      <c r="DR26" s="765">
        <f t="shared" ref="DR26" si="116">-DR23-DR25</f>
        <v>-1183262</v>
      </c>
      <c r="DS26" s="765"/>
      <c r="DT26" s="765">
        <f t="shared" ref="DT26" si="117">-DT23-DT25</f>
        <v>-1183262</v>
      </c>
      <c r="EM26" s="22">
        <f>ROW()</f>
        <v>26</v>
      </c>
      <c r="EN26" s="29"/>
      <c r="EO26" s="23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V26" s="30"/>
      <c r="FW26" s="22">
        <f>ROW()</f>
        <v>26</v>
      </c>
      <c r="FX26" s="20"/>
      <c r="FY26" s="20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2">
        <f>ROW()</f>
        <v>26</v>
      </c>
      <c r="GP26" s="766" t="s">
        <v>23</v>
      </c>
      <c r="GQ26" s="767"/>
      <c r="GR26" s="722"/>
      <c r="GS26" s="722"/>
      <c r="GT26" s="722"/>
      <c r="GU26" s="722"/>
      <c r="GV26" s="722"/>
      <c r="GW26" s="722"/>
      <c r="GX26" s="722"/>
      <c r="GY26" s="722"/>
      <c r="GZ26" s="722"/>
      <c r="HA26" s="722"/>
      <c r="HB26" s="722"/>
      <c r="HC26" s="722"/>
      <c r="HD26" s="722"/>
      <c r="HE26" s="722"/>
      <c r="HF26" s="722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2">
        <f>ROW()</f>
        <v>26</v>
      </c>
      <c r="HZ26" s="768" t="s">
        <v>344</v>
      </c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102"/>
      <c r="IR26" s="102"/>
      <c r="IS26" s="102"/>
      <c r="IT26" s="102"/>
      <c r="IU26" s="312"/>
      <c r="IV26" s="102"/>
      <c r="IW26" s="312"/>
      <c r="IX26" s="102"/>
      <c r="IY26" s="312"/>
      <c r="IZ26" s="102"/>
      <c r="JA26" s="312"/>
      <c r="JB26" s="102"/>
      <c r="JC26" s="312"/>
      <c r="JD26" s="102"/>
      <c r="JE26" s="102"/>
      <c r="JF26" s="102"/>
      <c r="JG26" s="312"/>
      <c r="JH26" s="102"/>
      <c r="JI26" s="102"/>
      <c r="JJ26" s="102"/>
      <c r="JK26" s="102"/>
      <c r="JL26" s="102"/>
      <c r="JM26" s="102"/>
      <c r="JN26" s="102"/>
      <c r="JO26" s="102"/>
      <c r="JP26" s="102"/>
      <c r="JQ26" s="102"/>
      <c r="JR26" s="102"/>
      <c r="JS26" s="102"/>
      <c r="JT26" s="102"/>
      <c r="JU26" s="102"/>
      <c r="JV26" s="102"/>
      <c r="JW26" s="102"/>
      <c r="JX26" s="102"/>
      <c r="JY26" s="102"/>
      <c r="JZ26" s="102"/>
      <c r="KS26" s="22">
        <f>ROW()</f>
        <v>26</v>
      </c>
      <c r="KU26" s="480"/>
      <c r="KV26" s="74"/>
      <c r="KW26" s="74"/>
      <c r="KX26" s="637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22"/>
      <c r="MC26" s="22">
        <f>ROW()</f>
        <v>26</v>
      </c>
      <c r="MH26" s="102"/>
      <c r="MI26" s="102"/>
      <c r="MJ26" s="102"/>
      <c r="MK26" s="102"/>
      <c r="MU26" s="22"/>
      <c r="MV26" s="20"/>
      <c r="MW26" s="20"/>
      <c r="MX26" s="938"/>
      <c r="MY26" s="924"/>
      <c r="MZ26" s="924"/>
      <c r="NA26" s="924"/>
      <c r="NB26" s="924"/>
      <c r="NC26" s="924"/>
      <c r="ND26" s="924"/>
      <c r="NE26" s="924"/>
      <c r="NF26" s="924"/>
      <c r="NG26" s="924"/>
      <c r="NH26" s="924"/>
      <c r="NI26" s="50"/>
      <c r="NJ26" s="50"/>
      <c r="NK26" s="50"/>
      <c r="NL26" s="50"/>
      <c r="NM26" s="22">
        <f>ROW()</f>
        <v>26</v>
      </c>
      <c r="NN26" s="769" t="s">
        <v>265</v>
      </c>
      <c r="NP26" s="770">
        <f>SUM(NP18:NP25)</f>
        <v>0</v>
      </c>
      <c r="NQ26" s="770">
        <f t="shared" ref="NQ26:NZ26" si="118">SUM(NQ18:NQ25)</f>
        <v>0</v>
      </c>
      <c r="NR26" s="770">
        <f>SUM(NR18:NR25)</f>
        <v>0</v>
      </c>
      <c r="NS26" s="770">
        <f t="shared" si="118"/>
        <v>0</v>
      </c>
      <c r="NT26" s="770">
        <f>SUM(NT18:NT25)</f>
        <v>0</v>
      </c>
      <c r="NU26" s="770">
        <f t="shared" si="118"/>
        <v>0</v>
      </c>
      <c r="NV26" s="753">
        <f t="shared" si="118"/>
        <v>555808809.25116348</v>
      </c>
      <c r="NW26" s="771">
        <f t="shared" si="118"/>
        <v>30475070.386487197</v>
      </c>
      <c r="NX26" s="753">
        <f t="shared" si="118"/>
        <v>586283879.63765061</v>
      </c>
      <c r="NY26" s="771">
        <f t="shared" si="118"/>
        <v>20732302.603377342</v>
      </c>
      <c r="NZ26" s="753">
        <f t="shared" si="118"/>
        <v>607016182.24102807</v>
      </c>
      <c r="OA26" s="771"/>
      <c r="OB26" s="771"/>
      <c r="OC26" s="771"/>
      <c r="OD26" s="771"/>
      <c r="OE26" s="482">
        <f>ROW()</f>
        <v>26</v>
      </c>
      <c r="OF26" s="50" t="s">
        <v>345</v>
      </c>
      <c r="OG26" s="50"/>
      <c r="OH26" s="772"/>
      <c r="OI26" s="772"/>
      <c r="OJ26" s="772"/>
      <c r="OK26" s="772"/>
      <c r="OL26" s="772"/>
      <c r="OM26" s="772"/>
      <c r="ON26" s="772"/>
      <c r="OO26" s="772"/>
      <c r="OP26" s="772"/>
      <c r="OQ26" s="772"/>
      <c r="OR26" s="772"/>
      <c r="OS26" s="42" t="e">
        <f>OT26-#REF!</f>
        <v>#REF!</v>
      </c>
      <c r="OT26" s="42"/>
      <c r="OU26" s="42">
        <f>OV26-OT26</f>
        <v>0</v>
      </c>
      <c r="OV26" s="42"/>
      <c r="OW26" s="22">
        <f>ROW()</f>
        <v>26</v>
      </c>
      <c r="OX26" s="644"/>
      <c r="OY26" s="644"/>
      <c r="OZ26" s="63"/>
      <c r="PA26" s="63"/>
      <c r="PB26" s="63">
        <f>SUM(OZ26:PA26)</f>
        <v>0</v>
      </c>
      <c r="PC26" s="600"/>
      <c r="PD26" s="600">
        <f>SUM(PB26:PC26)</f>
        <v>0</v>
      </c>
      <c r="PE26" s="600"/>
      <c r="PF26" s="600">
        <f>SUM(PD26:PE26)</f>
        <v>0</v>
      </c>
      <c r="PG26" s="600"/>
      <c r="PH26" s="667">
        <f>SUM(PF26:PG26)</f>
        <v>0</v>
      </c>
      <c r="PI26" s="600"/>
      <c r="PJ26" s="667">
        <f>SUM(PH26:PI26)</f>
        <v>0</v>
      </c>
      <c r="PK26" s="600"/>
      <c r="PL26" s="667">
        <f t="shared" si="102"/>
        <v>0</v>
      </c>
      <c r="PM26" s="600"/>
      <c r="PN26" s="667">
        <f t="shared" si="103"/>
        <v>0</v>
      </c>
      <c r="PO26" s="7"/>
      <c r="PP26" s="7"/>
      <c r="PQ26" s="7"/>
      <c r="PR26" s="7"/>
      <c r="RC26" s="22">
        <f>ROW()</f>
        <v>26</v>
      </c>
      <c r="RF26" s="520"/>
      <c r="RG26" s="520"/>
      <c r="RH26" s="39"/>
      <c r="RI26" s="39"/>
      <c r="RJ26" s="39"/>
      <c r="RK26" s="39"/>
      <c r="RL26" s="39"/>
      <c r="RM26" s="39"/>
      <c r="RN26" s="39"/>
      <c r="RO26" s="39"/>
      <c r="RP26" s="39"/>
      <c r="RQ26" s="606"/>
      <c r="RR26" s="606"/>
      <c r="RS26" s="606"/>
      <c r="RT26" s="606"/>
      <c r="RU26" s="521">
        <f>ROW()</f>
        <v>26</v>
      </c>
      <c r="RV26" s="520" t="s">
        <v>258</v>
      </c>
      <c r="RW26" s="520"/>
      <c r="RX26" s="606"/>
      <c r="RY26" s="606"/>
      <c r="RZ26" s="606">
        <f t="shared" ref="RZ26:SH26" si="119">RZ24</f>
        <v>0</v>
      </c>
      <c r="SA26" s="39">
        <f t="shared" si="119"/>
        <v>-174784.55000000002</v>
      </c>
      <c r="SB26" s="39">
        <f t="shared" si="119"/>
        <v>-174784.55000000002</v>
      </c>
      <c r="SC26" s="39">
        <f t="shared" si="119"/>
        <v>-1552531.0100000002</v>
      </c>
      <c r="SD26" s="39">
        <f t="shared" si="119"/>
        <v>-1727315.5600000003</v>
      </c>
      <c r="SE26" s="39">
        <f t="shared" si="119"/>
        <v>-1738872.7199999981</v>
      </c>
      <c r="SF26" s="39">
        <f t="shared" si="119"/>
        <v>-3466188.2799999984</v>
      </c>
      <c r="SG26" s="39">
        <f t="shared" si="119"/>
        <v>-1738872.7200000081</v>
      </c>
      <c r="SH26" s="39">
        <f t="shared" si="119"/>
        <v>-5205061.0000000065</v>
      </c>
      <c r="SI26" s="606">
        <f>SI24</f>
        <v>0</v>
      </c>
      <c r="SJ26" s="606">
        <f>SJ24</f>
        <v>-5205061.0000000065</v>
      </c>
      <c r="SK26" s="606">
        <f>SK24</f>
        <v>0</v>
      </c>
      <c r="SL26" s="606">
        <f>SL24</f>
        <v>-5205061.0000000065</v>
      </c>
      <c r="SM26" s="521">
        <f>ROW()</f>
        <v>26</v>
      </c>
      <c r="SN26" s="102" t="s">
        <v>240</v>
      </c>
      <c r="SO26" s="608"/>
      <c r="SP26" s="773"/>
      <c r="SQ26" s="773"/>
      <c r="SR26" s="773"/>
      <c r="SS26" s="1209">
        <f>-SS22-SS24</f>
        <v>-2758238.2740201</v>
      </c>
      <c r="ST26" s="1209">
        <f t="shared" ref="ST26:SY26" si="120">-ST22-ST24</f>
        <v>-2758238.2740201</v>
      </c>
      <c r="SU26" s="1209">
        <f t="shared" si="120"/>
        <v>-15485405.874397548</v>
      </c>
      <c r="SV26" s="1209">
        <f t="shared" si="120"/>
        <v>-18243644.148417644</v>
      </c>
      <c r="SW26" s="1209">
        <f t="shared" si="120"/>
        <v>-16624581.7767426</v>
      </c>
      <c r="SX26" s="1209">
        <f t="shared" si="120"/>
        <v>-34868225.925160244</v>
      </c>
      <c r="SY26" s="1209">
        <f t="shared" si="120"/>
        <v>-20647116.146404609</v>
      </c>
      <c r="SZ26" s="1209">
        <f>-SZ22-SZ24</f>
        <v>-55515342.071564853</v>
      </c>
      <c r="TA26" s="773">
        <f>-TA22-TA24</f>
        <v>0</v>
      </c>
      <c r="TB26" s="773">
        <f>-TB22-TB24</f>
        <v>-55515342.071564853</v>
      </c>
      <c r="TC26" s="773">
        <f>-TC22-TC24</f>
        <v>0</v>
      </c>
      <c r="TD26" s="773">
        <f>-TD22-TD24</f>
        <v>-55515342.071564853</v>
      </c>
      <c r="TF26" s="950">
        <f>ROW()</f>
        <v>26</v>
      </c>
      <c r="TG26" s="477" t="s">
        <v>346</v>
      </c>
      <c r="TH26" s="610"/>
      <c r="TI26" s="78"/>
      <c r="TJ26" s="78"/>
      <c r="TK26" s="1"/>
      <c r="TL26" s="78"/>
      <c r="TM26" s="1"/>
      <c r="TN26" s="78"/>
      <c r="TO26" s="1"/>
      <c r="TP26" s="78"/>
      <c r="TQ26" s="1"/>
      <c r="TR26" s="78"/>
      <c r="TS26" s="1"/>
      <c r="TU26" s="521">
        <f>ROW()</f>
        <v>26</v>
      </c>
      <c r="TV26" s="555" t="s">
        <v>276</v>
      </c>
      <c r="TW26" s="695">
        <v>0.21</v>
      </c>
      <c r="TX26" s="659">
        <f>-$TW$26*TX24</f>
        <v>1142051.3432999998</v>
      </c>
      <c r="TY26" s="659">
        <f t="shared" ref="TY26:UD26" si="121">-$TW$26*TY24</f>
        <v>-1142051.3432999998</v>
      </c>
      <c r="TZ26" s="659">
        <f t="shared" si="121"/>
        <v>0</v>
      </c>
      <c r="UA26" s="659">
        <f t="shared" si="121"/>
        <v>0</v>
      </c>
      <c r="UB26" s="659">
        <f t="shared" si="121"/>
        <v>0</v>
      </c>
      <c r="UC26" s="659">
        <f t="shared" si="121"/>
        <v>0</v>
      </c>
      <c r="UD26" s="659">
        <f t="shared" si="121"/>
        <v>0</v>
      </c>
      <c r="UE26" s="774">
        <f>-$UE$24*TW26</f>
        <v>-2153959.284107008</v>
      </c>
      <c r="UF26" s="774">
        <f>-$UF$24*TW26</f>
        <v>-2153959.284107008</v>
      </c>
      <c r="UG26" s="659">
        <f>-$UG$24*TW26</f>
        <v>0</v>
      </c>
      <c r="UH26" s="774">
        <f>-$UH$24*TW26</f>
        <v>-2153959.284107008</v>
      </c>
      <c r="UJ26" s="521"/>
      <c r="UK26" s="20"/>
      <c r="UL26" s="610"/>
      <c r="UM26" s="633"/>
      <c r="UN26" s="633"/>
      <c r="UO26" s="633"/>
      <c r="UP26" s="633"/>
      <c r="UQ26" s="633"/>
      <c r="UR26" s="633"/>
      <c r="US26" s="633"/>
      <c r="UT26" s="633"/>
      <c r="UU26" s="633"/>
      <c r="UV26" s="633"/>
      <c r="UW26" s="633"/>
      <c r="UY26" s="521">
        <f>ROW()</f>
        <v>26</v>
      </c>
      <c r="UZ26" s="102" t="s">
        <v>206</v>
      </c>
      <c r="VH26" s="570">
        <v>0</v>
      </c>
      <c r="VI26" s="570">
        <f>VJ26-VH26</f>
        <v>7499999.9999999525</v>
      </c>
      <c r="VJ26" s="570">
        <v>7499999.9999999525</v>
      </c>
      <c r="VK26" s="570">
        <f>VL26-VJ26</f>
        <v>0</v>
      </c>
      <c r="VL26" s="570">
        <v>7499999.9999999525</v>
      </c>
    </row>
    <row r="27" spans="1:614" ht="16.5" thickTop="1" thickBot="1" x14ac:dyDescent="0.3">
      <c r="A27" s="22">
        <f>ROW()</f>
        <v>27</v>
      </c>
      <c r="B27" s="617" t="s">
        <v>347</v>
      </c>
      <c r="C27" s="23"/>
      <c r="D27" s="618">
        <v>-16649919.500000002</v>
      </c>
      <c r="E27" s="618">
        <f t="shared" si="91"/>
        <v>16649919.500000002</v>
      </c>
      <c r="F27" s="618">
        <f t="shared" si="17"/>
        <v>0</v>
      </c>
      <c r="G27" s="640"/>
      <c r="H27" s="618">
        <f t="shared" si="17"/>
        <v>0</v>
      </c>
      <c r="I27" s="618"/>
      <c r="J27" s="618">
        <f t="shared" si="17"/>
        <v>0</v>
      </c>
      <c r="K27" s="618"/>
      <c r="L27" s="618">
        <f t="shared" si="17"/>
        <v>0</v>
      </c>
      <c r="M27" s="618"/>
      <c r="N27" s="618">
        <f t="shared" si="17"/>
        <v>0</v>
      </c>
      <c r="O27" s="618"/>
      <c r="P27" s="618">
        <f t="shared" si="18"/>
        <v>0</v>
      </c>
      <c r="Q27" s="618"/>
      <c r="R27" s="618">
        <f t="shared" si="19"/>
        <v>0</v>
      </c>
      <c r="S27" s="529">
        <f>ROW()</f>
        <v>27</v>
      </c>
      <c r="T27" s="41" t="s">
        <v>348</v>
      </c>
      <c r="U27" s="775"/>
      <c r="V27" s="620">
        <v>-144719.97000000253</v>
      </c>
      <c r="W27" s="620">
        <f>-V27</f>
        <v>144719.97000000253</v>
      </c>
      <c r="X27" s="74">
        <f t="shared" si="35"/>
        <v>0</v>
      </c>
      <c r="Z27" s="74">
        <f t="shared" si="36"/>
        <v>0</v>
      </c>
      <c r="AB27" s="74">
        <f t="shared" si="37"/>
        <v>0</v>
      </c>
      <c r="AD27" s="74">
        <f t="shared" si="38"/>
        <v>0</v>
      </c>
      <c r="AF27" s="74">
        <f t="shared" si="39"/>
        <v>0</v>
      </c>
      <c r="AG27" s="20"/>
      <c r="AH27" s="42"/>
      <c r="AI27" s="20"/>
      <c r="AJ27" s="42"/>
      <c r="AK27" s="22">
        <f>ROW()</f>
        <v>27</v>
      </c>
      <c r="AL27" s="28" t="s">
        <v>349</v>
      </c>
      <c r="AM27" s="776"/>
      <c r="AN27" s="747">
        <f>AN20-AN25</f>
        <v>2365013051.6358643</v>
      </c>
      <c r="AO27" s="747">
        <f>AO20-AO25</f>
        <v>-57821660.628391996</v>
      </c>
      <c r="AP27" s="747">
        <f>AP20-AP25</f>
        <v>2307191391.007472</v>
      </c>
      <c r="AQ27" s="619">
        <f t="shared" ref="AQ27:AX27" si="122">AQ20-AQ25</f>
        <v>0</v>
      </c>
      <c r="AR27" s="747">
        <f>AR20-AR25</f>
        <v>-226957560.51153421</v>
      </c>
      <c r="AS27" s="619">
        <f t="shared" si="122"/>
        <v>0</v>
      </c>
      <c r="AT27" s="747">
        <f>AT20-AT25</f>
        <v>-226957560.51153421</v>
      </c>
      <c r="AU27" s="619">
        <f t="shared" si="122"/>
        <v>0</v>
      </c>
      <c r="AV27" s="747">
        <f t="shared" si="122"/>
        <v>-226957560.51153421</v>
      </c>
      <c r="AW27" s="619">
        <f t="shared" si="122"/>
        <v>0</v>
      </c>
      <c r="AX27" s="747">
        <f t="shared" si="122"/>
        <v>-226957560.51153421</v>
      </c>
      <c r="AY27" s="619"/>
      <c r="AZ27" s="619"/>
      <c r="BA27" s="22">
        <f>ROW()</f>
        <v>27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T27" s="102"/>
      <c r="BU27" s="102"/>
      <c r="BV27" s="102"/>
      <c r="BW27"/>
      <c r="BX27"/>
      <c r="BY27"/>
      <c r="BZ27"/>
      <c r="CA27"/>
      <c r="CB27"/>
      <c r="CC27"/>
      <c r="CD27"/>
      <c r="CE27"/>
      <c r="CF27"/>
      <c r="CG27" s="777">
        <v>-18629747.031385154</v>
      </c>
      <c r="CH27" s="777">
        <v>5583439087.5542622</v>
      </c>
      <c r="CI27" s="777">
        <v>-16995654.047647148</v>
      </c>
      <c r="CJ27" s="777">
        <v>5566443433.5066147</v>
      </c>
      <c r="DC27" s="482"/>
      <c r="DD27" s="1"/>
      <c r="DE27" s="1"/>
      <c r="DF27" s="1"/>
      <c r="DG27" s="1"/>
      <c r="DH27" s="1"/>
      <c r="DI27" s="1"/>
      <c r="DJ27" s="1"/>
      <c r="EM27" s="22">
        <f>ROW()</f>
        <v>27</v>
      </c>
      <c r="EN27" s="28" t="s">
        <v>292</v>
      </c>
      <c r="EO27" s="28"/>
      <c r="EP27" s="725">
        <f t="shared" ref="EP27:FC27" si="123">-EP23-EP25</f>
        <v>246884.19400767208</v>
      </c>
      <c r="EQ27" s="725">
        <f t="shared" si="123"/>
        <v>35900.509910939894</v>
      </c>
      <c r="ER27" s="725">
        <f t="shared" si="123"/>
        <v>282784.70391861198</v>
      </c>
      <c r="ES27" s="725">
        <f t="shared" si="123"/>
        <v>-535106.21265837201</v>
      </c>
      <c r="ET27" s="725">
        <f t="shared" si="123"/>
        <v>-252321.50873976</v>
      </c>
      <c r="EU27" s="725">
        <f t="shared" si="123"/>
        <v>0</v>
      </c>
      <c r="EV27" s="725">
        <f t="shared" si="123"/>
        <v>-252321.50873976</v>
      </c>
      <c r="EW27" s="725">
        <f t="shared" si="123"/>
        <v>0</v>
      </c>
      <c r="EX27" s="725">
        <f t="shared" si="123"/>
        <v>-252321.50873976</v>
      </c>
      <c r="EY27" s="725">
        <f t="shared" si="123"/>
        <v>0</v>
      </c>
      <c r="EZ27" s="725">
        <f t="shared" si="123"/>
        <v>-252321.50873976</v>
      </c>
      <c r="FA27" s="725">
        <f t="shared" si="123"/>
        <v>0</v>
      </c>
      <c r="FB27" s="725">
        <f>-FB23-FB25</f>
        <v>0</v>
      </c>
      <c r="FC27" s="725">
        <f t="shared" si="123"/>
        <v>0</v>
      </c>
      <c r="FD27" s="725">
        <f>-FD23-FD25</f>
        <v>0</v>
      </c>
      <c r="FV27" s="30"/>
      <c r="FW27" s="22">
        <f>ROW()</f>
        <v>27</v>
      </c>
      <c r="FX27" s="480" t="s">
        <v>350</v>
      </c>
      <c r="FY27" s="480"/>
      <c r="FZ27" s="633">
        <v>935055.69996113237</v>
      </c>
      <c r="GA27" s="633">
        <v>-329317.65543454024</v>
      </c>
      <c r="GB27" s="633">
        <f>SUM(FZ27:GA27)</f>
        <v>605738.04452659213</v>
      </c>
      <c r="GC27" s="633">
        <v>77149.216680025449</v>
      </c>
      <c r="GD27" s="633">
        <f t="shared" ref="GD27:GJ27" si="124">SUM(GB27:GC27)</f>
        <v>682887.26120661758</v>
      </c>
      <c r="GE27" s="633">
        <v>32097.644340648854</v>
      </c>
      <c r="GF27" s="633">
        <f t="shared" si="124"/>
        <v>714984.90554726648</v>
      </c>
      <c r="GG27" s="633">
        <v>7157.2686037347394</v>
      </c>
      <c r="GH27" s="633">
        <f t="shared" si="124"/>
        <v>722142.17415100127</v>
      </c>
      <c r="GI27" s="633">
        <v>416.19901798632878</v>
      </c>
      <c r="GJ27" s="633">
        <f t="shared" si="124"/>
        <v>722558.37316898757</v>
      </c>
      <c r="GK27" s="628"/>
      <c r="GL27" s="633">
        <f>SUM(GJ27:GK27)</f>
        <v>722558.37316898757</v>
      </c>
      <c r="GM27" s="628"/>
      <c r="GN27" s="633">
        <f>SUM(GL27:GM27)</f>
        <v>722558.37316898757</v>
      </c>
      <c r="GO27" s="22">
        <f>ROW()</f>
        <v>27</v>
      </c>
      <c r="GP27" s="778" t="s">
        <v>351</v>
      </c>
      <c r="GQ27" s="482"/>
      <c r="GR27" s="553">
        <f t="shared" ref="GR27:HF27" si="125">+GR24+GR21+GR18</f>
        <v>20348028.729200002</v>
      </c>
      <c r="GS27" s="553">
        <f t="shared" si="125"/>
        <v>1079471.6483592398</v>
      </c>
      <c r="GT27" s="553">
        <f t="shared" si="125"/>
        <v>21427500.377559241</v>
      </c>
      <c r="GU27" s="553">
        <f t="shared" si="125"/>
        <v>0</v>
      </c>
      <c r="GV27" s="553">
        <f t="shared" si="125"/>
        <v>21427500.377559241</v>
      </c>
      <c r="GW27" s="553">
        <f t="shared" si="125"/>
        <v>0</v>
      </c>
      <c r="GX27" s="553">
        <f t="shared" si="125"/>
        <v>21427500.377559241</v>
      </c>
      <c r="GY27" s="553">
        <f t="shared" si="125"/>
        <v>0</v>
      </c>
      <c r="GZ27" s="553">
        <f t="shared" si="125"/>
        <v>21427500.377559241</v>
      </c>
      <c r="HA27" s="553">
        <f t="shared" si="125"/>
        <v>0</v>
      </c>
      <c r="HB27" s="553">
        <f t="shared" si="125"/>
        <v>21427500.377559241</v>
      </c>
      <c r="HC27" s="553">
        <f t="shared" si="125"/>
        <v>0</v>
      </c>
      <c r="HD27" s="553">
        <f t="shared" si="125"/>
        <v>0</v>
      </c>
      <c r="HE27" s="553">
        <f t="shared" si="125"/>
        <v>0</v>
      </c>
      <c r="HF27" s="553">
        <f t="shared" si="125"/>
        <v>0</v>
      </c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22">
        <f>ROW()</f>
        <v>27</v>
      </c>
      <c r="HZ27" s="768" t="s">
        <v>352</v>
      </c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102"/>
      <c r="IR27" s="102"/>
      <c r="IS27" s="102"/>
      <c r="IT27" s="102"/>
      <c r="IU27" s="102"/>
      <c r="IV27" s="102"/>
      <c r="IW27" s="102"/>
      <c r="IX27" s="102"/>
      <c r="IY27" s="102"/>
      <c r="IZ27" s="102"/>
      <c r="JA27" s="102"/>
      <c r="JB27" s="102"/>
      <c r="JC27" s="102"/>
      <c r="JD27" s="102"/>
      <c r="JE27" s="102"/>
      <c r="JF27" s="102"/>
      <c r="JG27" s="102"/>
      <c r="JH27" s="102"/>
      <c r="JI27" s="102"/>
      <c r="JJ27" s="102"/>
      <c r="JK27" s="102"/>
      <c r="JL27" s="102"/>
      <c r="JM27" s="102"/>
      <c r="JN27" s="102"/>
      <c r="JO27" s="102"/>
      <c r="JP27" s="102"/>
      <c r="JQ27" s="102"/>
      <c r="JR27" s="102"/>
      <c r="JS27" s="102"/>
      <c r="JT27" s="102"/>
      <c r="JU27" s="102"/>
      <c r="JV27" s="102"/>
      <c r="JW27" s="102"/>
      <c r="JX27" s="102"/>
      <c r="JY27" s="102"/>
      <c r="JZ27" s="102"/>
      <c r="KS27" s="22">
        <f>ROW()</f>
        <v>27</v>
      </c>
      <c r="KT27" s="480" t="s">
        <v>353</v>
      </c>
      <c r="KU27" s="480"/>
      <c r="KV27" s="739">
        <v>9933441.897468619</v>
      </c>
      <c r="KW27" s="739">
        <v>365630.73767307645</v>
      </c>
      <c r="KX27" s="637">
        <f>SUM(KV27:KW27)</f>
        <v>10299072.635141695</v>
      </c>
      <c r="KY27" s="746">
        <v>0</v>
      </c>
      <c r="KZ27" s="746">
        <f>SUM(KX27:KY27)</f>
        <v>10299072.635141695</v>
      </c>
      <c r="LA27" s="746">
        <v>0</v>
      </c>
      <c r="LB27" s="746">
        <f>SUM(KZ27:LA27)</f>
        <v>10299072.635141695</v>
      </c>
      <c r="LC27" s="746"/>
      <c r="LD27" s="746">
        <f>SUM(LB27:LC27)</f>
        <v>10299072.635141695</v>
      </c>
      <c r="LE27" s="746"/>
      <c r="LF27" s="746">
        <f>SUM(LD27:LE27)</f>
        <v>10299072.635141695</v>
      </c>
      <c r="LG27" s="746"/>
      <c r="LH27" s="746"/>
      <c r="LI27" s="746"/>
      <c r="LJ27" s="746">
        <f>SUM(LH27:LI27)</f>
        <v>0</v>
      </c>
      <c r="LK27" s="22"/>
      <c r="MC27" s="22">
        <f>ROW()</f>
        <v>27</v>
      </c>
      <c r="MD27" s="555" t="s">
        <v>258</v>
      </c>
      <c r="MF27" s="50">
        <f>MF25</f>
        <v>455757385.71813333</v>
      </c>
      <c r="MG27" s="50">
        <f>MG25</f>
        <v>-3988422.8500199127</v>
      </c>
      <c r="MH27" s="50">
        <f>MH25</f>
        <v>451768962.8681134</v>
      </c>
      <c r="MI27" s="50">
        <f>MI25</f>
        <v>0</v>
      </c>
      <c r="MJ27" s="50">
        <f t="shared" ref="MJ27:MT27" si="126">MJ25</f>
        <v>451768962.8681134</v>
      </c>
      <c r="MK27" s="50">
        <f t="shared" si="126"/>
        <v>0</v>
      </c>
      <c r="ML27" s="50">
        <f t="shared" si="126"/>
        <v>451768962.8681134</v>
      </c>
      <c r="MM27" s="50">
        <f t="shared" si="126"/>
        <v>0</v>
      </c>
      <c r="MN27" s="50">
        <f t="shared" si="126"/>
        <v>451768962.8681134</v>
      </c>
      <c r="MO27" s="50">
        <f t="shared" si="126"/>
        <v>0</v>
      </c>
      <c r="MP27" s="50">
        <f t="shared" si="126"/>
        <v>451768962.8681134</v>
      </c>
      <c r="MQ27" s="50">
        <f t="shared" si="126"/>
        <v>0</v>
      </c>
      <c r="MR27" s="50">
        <f t="shared" si="126"/>
        <v>0</v>
      </c>
      <c r="MS27" s="50">
        <f t="shared" si="126"/>
        <v>0</v>
      </c>
      <c r="MT27" s="50">
        <f t="shared" si="126"/>
        <v>0</v>
      </c>
      <c r="MU27" s="22"/>
      <c r="MV27" s="20"/>
      <c r="MW27" s="20"/>
      <c r="MX27" s="20"/>
      <c r="MY27" s="20"/>
      <c r="MZ27" s="20"/>
      <c r="NA27" s="939"/>
      <c r="NB27" s="940"/>
      <c r="NC27" s="100"/>
      <c r="ND27" s="100"/>
      <c r="NE27" s="100"/>
      <c r="NF27" s="100"/>
      <c r="NG27" s="100"/>
      <c r="NH27" s="100"/>
      <c r="NI27" s="50"/>
      <c r="NJ27" s="50"/>
      <c r="NK27" s="50"/>
      <c r="NL27" s="50"/>
      <c r="NM27" s="22">
        <f>ROW()</f>
        <v>27</v>
      </c>
      <c r="NN27" s="559"/>
      <c r="NO27" s="29"/>
      <c r="NP27" s="759"/>
      <c r="NQ27" s="759"/>
      <c r="NR27" s="759"/>
      <c r="NS27" s="759"/>
      <c r="NT27" s="759"/>
      <c r="NU27" s="759"/>
      <c r="NV27" s="759"/>
      <c r="NW27" s="781"/>
      <c r="NX27" s="781"/>
      <c r="NY27" s="781"/>
      <c r="NZ27" s="759"/>
      <c r="OA27" s="759"/>
      <c r="OB27" s="759"/>
      <c r="OC27" s="759"/>
      <c r="OD27" s="759"/>
      <c r="OE27" s="482">
        <f>ROW()</f>
        <v>27</v>
      </c>
      <c r="OF27" s="50" t="s">
        <v>306</v>
      </c>
      <c r="OG27" s="50"/>
      <c r="OH27" s="600"/>
      <c r="OI27" s="600"/>
      <c r="OJ27" s="600"/>
      <c r="OK27" s="600"/>
      <c r="OL27" s="600"/>
      <c r="OM27"/>
      <c r="ON27"/>
      <c r="OO27"/>
      <c r="OP27"/>
      <c r="OQ27"/>
      <c r="OR27"/>
      <c r="OS27" s="706" t="e">
        <f>SUM(OS24:OS26)</f>
        <v>#REF!</v>
      </c>
      <c r="OT27" s="706">
        <f>SUM(OT24:OT26)</f>
        <v>0</v>
      </c>
      <c r="OU27" s="706">
        <f>SUM(OU24:OU26)</f>
        <v>0</v>
      </c>
      <c r="OV27" s="706">
        <f>SUM(OV24:OV26)</f>
        <v>0</v>
      </c>
      <c r="OW27" s="22">
        <f>ROW()</f>
        <v>27</v>
      </c>
      <c r="OX27" s="480" t="s">
        <v>354</v>
      </c>
      <c r="OY27" s="644"/>
      <c r="OZ27" s="660">
        <f>SUM(OZ24:OZ26)</f>
        <v>-41711599.226365671</v>
      </c>
      <c r="PA27" s="660">
        <f>SUM(PA24:PA26)</f>
        <v>26856211.233735442</v>
      </c>
      <c r="PB27" s="660">
        <f>SUM(PB24:PB26)</f>
        <v>-14855387.992630228</v>
      </c>
      <c r="PC27" s="660">
        <f t="shared" ref="PC27:PN27" si="127">SUM(PC24:PC26)</f>
        <v>-26856211.233735442</v>
      </c>
      <c r="PD27" s="782">
        <f t="shared" si="127"/>
        <v>-41711599.226365671</v>
      </c>
      <c r="PE27" s="782">
        <f t="shared" si="127"/>
        <v>0</v>
      </c>
      <c r="PF27" s="782">
        <f t="shared" si="127"/>
        <v>-41711599.226365671</v>
      </c>
      <c r="PG27" s="782">
        <f>SUM(PG24:PG26)</f>
        <v>0</v>
      </c>
      <c r="PH27" s="660">
        <f t="shared" si="127"/>
        <v>-41711599.226365671</v>
      </c>
      <c r="PI27" s="782">
        <f>SUM(PI24:PI26)</f>
        <v>0</v>
      </c>
      <c r="PJ27" s="660">
        <f t="shared" si="127"/>
        <v>-41711599.226365671</v>
      </c>
      <c r="PK27" s="782">
        <f t="shared" si="127"/>
        <v>0</v>
      </c>
      <c r="PL27" s="660">
        <f t="shared" si="127"/>
        <v>-41711599.226365671</v>
      </c>
      <c r="PM27" s="782">
        <f t="shared" si="127"/>
        <v>0</v>
      </c>
      <c r="PN27" s="660">
        <f t="shared" si="127"/>
        <v>-41711599.226365671</v>
      </c>
      <c r="PO27" s="7"/>
      <c r="PP27" s="7"/>
      <c r="PQ27" s="7"/>
      <c r="PR27" s="7"/>
      <c r="RC27" s="22">
        <f>ROW()</f>
        <v>27</v>
      </c>
      <c r="RD27" s="102" t="s">
        <v>258</v>
      </c>
      <c r="RF27" s="568"/>
      <c r="RG27" s="568"/>
      <c r="RH27" s="39">
        <f>RH25</f>
        <v>414214933.71811336</v>
      </c>
      <c r="RI27" s="39">
        <f t="shared" ref="RI27:RP27" si="128">RI25</f>
        <v>1121435.1292094663</v>
      </c>
      <c r="RJ27" s="39">
        <f t="shared" si="128"/>
        <v>415336368.84732282</v>
      </c>
      <c r="RK27" s="39">
        <f t="shared" si="128"/>
        <v>-4042532.6617880836</v>
      </c>
      <c r="RL27" s="39">
        <f t="shared" si="128"/>
        <v>411293836.18553478</v>
      </c>
      <c r="RM27" s="39">
        <f t="shared" si="128"/>
        <v>-6188121.428004846</v>
      </c>
      <c r="RN27" s="39">
        <f t="shared" si="128"/>
        <v>405105714.75752991</v>
      </c>
      <c r="RO27" s="39">
        <f>RO25</f>
        <v>-21973136.552504987</v>
      </c>
      <c r="RP27" s="39">
        <f t="shared" si="128"/>
        <v>383132578.20502496</v>
      </c>
      <c r="RQ27" s="606">
        <f>RQ25</f>
        <v>0</v>
      </c>
      <c r="RR27" s="606">
        <f>RR25</f>
        <v>0</v>
      </c>
      <c r="RS27" s="606">
        <f>RS25</f>
        <v>0</v>
      </c>
      <c r="RT27" s="606">
        <f>RT25</f>
        <v>0</v>
      </c>
      <c r="RU27" s="521">
        <f>ROW()</f>
        <v>27</v>
      </c>
      <c r="RV27" s="520"/>
      <c r="RW27" s="520"/>
      <c r="RX27" s="606"/>
      <c r="RY27" s="606"/>
      <c r="RZ27" s="606"/>
      <c r="SA27" s="39"/>
      <c r="SB27" s="39"/>
      <c r="SC27" s="39"/>
      <c r="SD27" s="39"/>
      <c r="SE27" s="39"/>
      <c r="SF27" s="39"/>
      <c r="SG27" s="39"/>
      <c r="SH27" s="39"/>
      <c r="SI27" s="606"/>
      <c r="SJ27" s="606"/>
      <c r="SK27" s="606"/>
      <c r="SL27" s="606"/>
      <c r="SM27" s="521">
        <f>ROW()</f>
        <v>27</v>
      </c>
      <c r="SO27" s="608"/>
      <c r="SP27" s="520"/>
      <c r="SQ27" s="520"/>
      <c r="SR27" s="520"/>
      <c r="SS27" s="43"/>
      <c r="ST27" s="43"/>
      <c r="SU27" s="43"/>
      <c r="SV27" s="43"/>
      <c r="SW27" s="43"/>
      <c r="SX27" s="43"/>
      <c r="SY27" s="43"/>
      <c r="SZ27" s="43"/>
      <c r="TA27" s="520"/>
      <c r="TB27" s="520"/>
      <c r="TC27" s="520"/>
      <c r="TD27" s="520"/>
      <c r="TF27" s="950">
        <f>ROW()</f>
        <v>27</v>
      </c>
      <c r="TG27" s="1"/>
      <c r="TH27" s="610"/>
      <c r="TI27" s="78"/>
      <c r="TJ27" s="78"/>
      <c r="TK27" s="1"/>
      <c r="TL27" s="78">
        <f>-TK27</f>
        <v>0</v>
      </c>
      <c r="TM27" s="1"/>
      <c r="TN27" s="78">
        <f>-TM27</f>
        <v>0</v>
      </c>
      <c r="TO27" s="1"/>
      <c r="TP27" s="78">
        <f>-TO27</f>
        <v>0</v>
      </c>
      <c r="TQ27" s="1"/>
      <c r="TR27" s="78">
        <f>-TQ27</f>
        <v>0</v>
      </c>
      <c r="TS27" s="1"/>
      <c r="TU27" s="521">
        <f>ROW()</f>
        <v>27</v>
      </c>
      <c r="TV27" s="555" t="s">
        <v>292</v>
      </c>
      <c r="TX27" s="783">
        <f>-TX24-TX26</f>
        <v>4296288.3866999997</v>
      </c>
      <c r="TY27" s="783">
        <f t="shared" ref="TY27:UG27" si="129">-TY24-TY26</f>
        <v>-4296288.3866999997</v>
      </c>
      <c r="TZ27" s="783">
        <f t="shared" si="129"/>
        <v>0</v>
      </c>
      <c r="UA27" s="783">
        <f t="shared" si="129"/>
        <v>0</v>
      </c>
      <c r="UB27" s="783">
        <f t="shared" si="129"/>
        <v>0</v>
      </c>
      <c r="UC27" s="783">
        <f t="shared" si="129"/>
        <v>0</v>
      </c>
      <c r="UD27" s="783">
        <f t="shared" si="129"/>
        <v>0</v>
      </c>
      <c r="UE27" s="784">
        <f t="shared" si="129"/>
        <v>-8102989.6878311252</v>
      </c>
      <c r="UF27" s="784">
        <f t="shared" si="129"/>
        <v>-8102989.6878311252</v>
      </c>
      <c r="UG27" s="783">
        <f t="shared" si="129"/>
        <v>0</v>
      </c>
      <c r="UH27" s="784">
        <f>-UH24-UH26</f>
        <v>-8102989.6878311252</v>
      </c>
      <c r="UJ27" s="521"/>
      <c r="UK27" s="20"/>
      <c r="UL27" s="610"/>
      <c r="UM27" s="633"/>
      <c r="UN27" s="633"/>
      <c r="UO27" s="633"/>
      <c r="UP27" s="633"/>
      <c r="UQ27" s="633"/>
      <c r="UR27" s="633"/>
      <c r="US27" s="633"/>
      <c r="UT27" s="633"/>
      <c r="UU27" s="633"/>
      <c r="UV27" s="633"/>
      <c r="UW27" s="633"/>
      <c r="UY27" s="521">
        <f>ROW()</f>
        <v>27</v>
      </c>
      <c r="UZ27" s="102"/>
    </row>
    <row r="28" spans="1:614" ht="16.5" thickTop="1" thickBot="1" x14ac:dyDescent="0.3">
      <c r="A28" s="22">
        <f>ROW()</f>
        <v>28</v>
      </c>
      <c r="B28" s="510" t="s">
        <v>355</v>
      </c>
      <c r="C28" s="23"/>
      <c r="D28" s="618"/>
      <c r="E28" s="618"/>
      <c r="F28" s="618">
        <f t="shared" si="17"/>
        <v>0</v>
      </c>
      <c r="G28" s="640"/>
      <c r="H28" s="618">
        <f t="shared" si="17"/>
        <v>0</v>
      </c>
      <c r="I28" s="618"/>
      <c r="J28" s="618">
        <f t="shared" si="17"/>
        <v>0</v>
      </c>
      <c r="K28" s="618"/>
      <c r="L28" s="618">
        <f t="shared" si="17"/>
        <v>0</v>
      </c>
      <c r="M28" s="618"/>
      <c r="N28" s="618">
        <f t="shared" si="17"/>
        <v>0</v>
      </c>
      <c r="O28" s="618"/>
      <c r="P28" s="618">
        <f t="shared" si="18"/>
        <v>0</v>
      </c>
      <c r="Q28" s="618"/>
      <c r="R28" s="618">
        <f t="shared" si="19"/>
        <v>0</v>
      </c>
      <c r="S28" s="529">
        <f>ROW()</f>
        <v>28</v>
      </c>
      <c r="T28" s="679" t="s">
        <v>356</v>
      </c>
      <c r="U28" s="690"/>
      <c r="V28" s="785">
        <v>8009867.5599999987</v>
      </c>
      <c r="W28" s="785">
        <f>-V28</f>
        <v>-8009867.5599999987</v>
      </c>
      <c r="X28" s="74">
        <f t="shared" si="35"/>
        <v>0</v>
      </c>
      <c r="Z28" s="74">
        <f t="shared" si="36"/>
        <v>0</v>
      </c>
      <c r="AB28" s="74">
        <f t="shared" si="37"/>
        <v>0</v>
      </c>
      <c r="AD28" s="74">
        <f t="shared" si="38"/>
        <v>0</v>
      </c>
      <c r="AF28" s="74">
        <f t="shared" si="39"/>
        <v>0</v>
      </c>
      <c r="AG28" s="20"/>
      <c r="AH28" s="42"/>
      <c r="AI28" s="20"/>
      <c r="AJ28" s="42"/>
      <c r="AK28" s="22">
        <f>ROW()</f>
        <v>28</v>
      </c>
      <c r="AL28" s="28"/>
      <c r="AM28" s="729"/>
      <c r="AN28" s="786"/>
      <c r="AO28" s="786"/>
      <c r="AP28" s="786"/>
      <c r="AQ28" s="668"/>
      <c r="AR28" s="668"/>
      <c r="AS28" s="668"/>
      <c r="AT28" s="668"/>
      <c r="AU28" s="668"/>
      <c r="AV28" s="668"/>
      <c r="AW28" s="668"/>
      <c r="AX28" s="668"/>
      <c r="AY28" s="668"/>
      <c r="AZ28" s="668"/>
      <c r="BA28" s="22">
        <f>ROW()</f>
        <v>28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T28" s="102"/>
      <c r="BU28" s="102"/>
      <c r="BV28" s="102"/>
      <c r="BW28"/>
      <c r="BX28"/>
      <c r="BY28"/>
      <c r="BZ28"/>
      <c r="CA28"/>
      <c r="CB28"/>
      <c r="CC28"/>
      <c r="CD28"/>
      <c r="CE28"/>
      <c r="CF28"/>
      <c r="CG28" s="787"/>
      <c r="CH28" s="787"/>
      <c r="CI28" s="787"/>
      <c r="CJ28" s="787"/>
      <c r="DC28" s="1"/>
      <c r="DD28" s="1"/>
      <c r="DE28" s="1"/>
      <c r="DF28" s="1"/>
      <c r="DG28" s="1"/>
      <c r="DH28" s="1"/>
      <c r="DI28" s="1"/>
      <c r="DJ28" s="1"/>
      <c r="EM28" s="1"/>
      <c r="EN28" s="1"/>
      <c r="EO28" s="1"/>
      <c r="EP28" s="1"/>
      <c r="EQ28" s="1"/>
      <c r="ER28" s="1"/>
      <c r="ES28" s="1"/>
      <c r="ET28" s="1"/>
      <c r="FV28" s="30"/>
      <c r="FW28" s="22">
        <f>ROW()</f>
        <v>28</v>
      </c>
      <c r="FX28" s="480" t="s">
        <v>357</v>
      </c>
      <c r="FY28" s="480"/>
      <c r="FZ28" s="626">
        <f t="shared" ref="FZ28:GN28" si="130">SUM(FZ25:FZ27)</f>
        <v>11572722.147366509</v>
      </c>
      <c r="GA28" s="626">
        <f>SUM(GA25:GA27)</f>
        <v>-4075801.8209231105</v>
      </c>
      <c r="GB28" s="626">
        <f t="shared" si="130"/>
        <v>7496920.3264433974</v>
      </c>
      <c r="GC28" s="626">
        <f t="shared" si="130"/>
        <v>954837.71561632096</v>
      </c>
      <c r="GD28" s="626">
        <f t="shared" si="130"/>
        <v>8451758.0420597196</v>
      </c>
      <c r="GE28" s="626">
        <f t="shared" si="130"/>
        <v>397256.67631859862</v>
      </c>
      <c r="GF28" s="626">
        <f t="shared" si="130"/>
        <v>8849014.7183783185</v>
      </c>
      <c r="GG28" s="626">
        <f t="shared" si="130"/>
        <v>88581.975264719469</v>
      </c>
      <c r="GH28" s="626">
        <f t="shared" si="130"/>
        <v>8937596.6936430372</v>
      </c>
      <c r="GI28" s="626">
        <f t="shared" si="130"/>
        <v>5151.0894948427022</v>
      </c>
      <c r="GJ28" s="626">
        <f t="shared" si="130"/>
        <v>8942747.7831378803</v>
      </c>
      <c r="GK28" s="626">
        <f t="shared" si="130"/>
        <v>0</v>
      </c>
      <c r="GL28" s="626">
        <f t="shared" si="130"/>
        <v>8942747.7831378803</v>
      </c>
      <c r="GM28" s="626">
        <f t="shared" si="130"/>
        <v>0</v>
      </c>
      <c r="GN28" s="626">
        <f t="shared" si="130"/>
        <v>8942747.7831378803</v>
      </c>
      <c r="GO28" s="22">
        <f>ROW()</f>
        <v>28</v>
      </c>
      <c r="GP28" s="788"/>
      <c r="GQ28" s="755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102"/>
      <c r="IR28" s="102"/>
      <c r="IS28" s="102"/>
      <c r="IT28" s="102"/>
      <c r="IU28" s="102"/>
      <c r="IV28" s="102"/>
      <c r="IW28" s="102"/>
      <c r="IX28" s="102"/>
      <c r="IY28" s="102"/>
      <c r="IZ28" s="102"/>
      <c r="JA28" s="102"/>
      <c r="JB28" s="102"/>
      <c r="JC28" s="102"/>
      <c r="JD28" s="102"/>
      <c r="JE28" s="102"/>
      <c r="JF28" s="102"/>
      <c r="JG28" s="102"/>
      <c r="JH28" s="102"/>
      <c r="JI28" s="102"/>
      <c r="JJ28" s="102"/>
      <c r="JK28" s="102"/>
      <c r="JL28" s="102"/>
      <c r="JM28" s="102"/>
      <c r="JN28" s="102"/>
      <c r="JO28" s="102"/>
      <c r="JP28" s="102"/>
      <c r="JQ28" s="102"/>
      <c r="JR28" s="102"/>
      <c r="JS28" s="102"/>
      <c r="JT28" s="102"/>
      <c r="JU28" s="102"/>
      <c r="JV28" s="102"/>
      <c r="JW28" s="102"/>
      <c r="JX28" s="102"/>
      <c r="JY28" s="102"/>
      <c r="JZ28" s="102"/>
      <c r="KA28" s="482"/>
      <c r="KS28" s="22">
        <f>ROW()</f>
        <v>28</v>
      </c>
      <c r="KT28" s="480" t="s">
        <v>358</v>
      </c>
      <c r="KU28" s="480"/>
      <c r="KV28" s="697">
        <f>SUM(KV25:KV27)</f>
        <v>142546889.81182536</v>
      </c>
      <c r="KW28" s="697">
        <f t="shared" ref="KW28:LI28" si="131">SUM(KW25:KW27)</f>
        <v>8348631.3880507909</v>
      </c>
      <c r="KX28" s="697">
        <f t="shared" si="131"/>
        <v>150895521.19987616</v>
      </c>
      <c r="KY28" s="697">
        <f t="shared" si="131"/>
        <v>0</v>
      </c>
      <c r="KZ28" s="697">
        <f t="shared" si="131"/>
        <v>150895521.19987616</v>
      </c>
      <c r="LA28" s="697">
        <f t="shared" si="131"/>
        <v>0</v>
      </c>
      <c r="LB28" s="697">
        <f t="shared" si="131"/>
        <v>150895521.19987616</v>
      </c>
      <c r="LC28" s="697">
        <f t="shared" si="131"/>
        <v>0</v>
      </c>
      <c r="LD28" s="697">
        <f t="shared" si="131"/>
        <v>150895521.19987616</v>
      </c>
      <c r="LE28" s="697">
        <f t="shared" si="131"/>
        <v>0</v>
      </c>
      <c r="LF28" s="697">
        <f t="shared" si="131"/>
        <v>150895521.19987616</v>
      </c>
      <c r="LG28" s="697">
        <f t="shared" si="131"/>
        <v>0</v>
      </c>
      <c r="LH28" s="697">
        <f>SUM(LH25:LH27)</f>
        <v>0</v>
      </c>
      <c r="LI28" s="697">
        <f t="shared" si="131"/>
        <v>0</v>
      </c>
      <c r="LJ28" s="697">
        <f>SUM(LJ25:LJ27)</f>
        <v>0</v>
      </c>
      <c r="LK28" s="22"/>
      <c r="MC28" s="22">
        <f>ROW()</f>
        <v>28</v>
      </c>
      <c r="MF28" s="50"/>
      <c r="MG28" s="50"/>
      <c r="MH28" s="50"/>
      <c r="MI28" s="50"/>
      <c r="MJ28" s="50"/>
      <c r="MK28" s="50"/>
      <c r="ML28" s="50"/>
      <c r="MM28" s="50"/>
      <c r="MN28" s="50"/>
      <c r="MO28" s="50"/>
      <c r="MP28" s="50"/>
      <c r="MQ28" s="50"/>
      <c r="MR28" s="50"/>
      <c r="MS28" s="50"/>
      <c r="MT28" s="50"/>
      <c r="MU28" s="22"/>
      <c r="MV28" s="20"/>
      <c r="MW28" s="20"/>
      <c r="MX28" s="100"/>
      <c r="MY28" s="942"/>
      <c r="MZ28" s="100"/>
      <c r="NA28" s="100"/>
      <c r="NB28" s="100"/>
      <c r="NC28" s="100"/>
      <c r="ND28" s="100"/>
      <c r="NE28" s="100"/>
      <c r="NF28" s="100"/>
      <c r="NG28" s="100"/>
      <c r="NH28" s="100"/>
      <c r="NI28" s="20"/>
      <c r="NJ28" s="20"/>
      <c r="NK28" s="20"/>
      <c r="NL28" s="20"/>
      <c r="NM28" s="22">
        <f>ROW()</f>
        <v>28</v>
      </c>
      <c r="NN28" s="791" t="s">
        <v>359</v>
      </c>
      <c r="NO28" s="792"/>
      <c r="NP28" s="793">
        <f>SUM(NP26)</f>
        <v>0</v>
      </c>
      <c r="NQ28" s="793">
        <f t="shared" ref="NQ28:NZ28" si="132">SUM(NQ26)</f>
        <v>0</v>
      </c>
      <c r="NR28" s="793">
        <f t="shared" si="132"/>
        <v>0</v>
      </c>
      <c r="NS28" s="793">
        <f t="shared" si="132"/>
        <v>0</v>
      </c>
      <c r="NT28" s="793">
        <f t="shared" si="132"/>
        <v>0</v>
      </c>
      <c r="NU28" s="793">
        <f t="shared" si="132"/>
        <v>0</v>
      </c>
      <c r="NV28" s="794">
        <f t="shared" si="132"/>
        <v>555808809.25116348</v>
      </c>
      <c r="NW28" s="64">
        <f t="shared" si="132"/>
        <v>30475070.386487197</v>
      </c>
      <c r="NX28" s="794">
        <f t="shared" si="132"/>
        <v>586283879.63765061</v>
      </c>
      <c r="NY28" s="64">
        <f t="shared" si="132"/>
        <v>20732302.603377342</v>
      </c>
      <c r="NZ28" s="794">
        <f t="shared" si="132"/>
        <v>607016182.24102807</v>
      </c>
      <c r="OA28" s="64"/>
      <c r="OB28" s="64"/>
      <c r="OC28" s="64"/>
      <c r="OD28" s="64"/>
      <c r="OE28" s="482">
        <f>ROW()</f>
        <v>28</v>
      </c>
      <c r="OF28" s="549" t="s">
        <v>360</v>
      </c>
      <c r="OG28" s="549"/>
      <c r="OH28" s="561">
        <v>-4730967.9799999986</v>
      </c>
      <c r="OI28" s="561">
        <f>OJ28-OH28</f>
        <v>0</v>
      </c>
      <c r="OJ28" s="561">
        <v>-4730967.9799999986</v>
      </c>
      <c r="OK28" s="561">
        <f>OL28-OJ28</f>
        <v>4730967.9799999986</v>
      </c>
      <c r="OL28" s="561">
        <v>0</v>
      </c>
      <c r="OM28"/>
      <c r="ON28"/>
      <c r="OO28"/>
      <c r="OP28"/>
      <c r="OQ28"/>
      <c r="OR28"/>
      <c r="OS28" s="738"/>
      <c r="OT28" s="738"/>
      <c r="OU28" s="738"/>
      <c r="OV28" s="738"/>
      <c r="OW28" s="22">
        <f>ROW()</f>
        <v>28</v>
      </c>
      <c r="OX28" s="480"/>
      <c r="OY28" s="480"/>
      <c r="OZ28" s="26"/>
      <c r="PA28" s="26"/>
      <c r="PB28" s="26"/>
      <c r="PC28" s="782"/>
      <c r="PD28" s="782"/>
      <c r="PE28" s="782"/>
      <c r="PF28" s="782"/>
      <c r="PG28" s="782"/>
      <c r="PH28" s="660"/>
      <c r="PI28" s="782"/>
      <c r="PJ28" s="660"/>
      <c r="PK28" s="782"/>
      <c r="PL28" s="660"/>
      <c r="PM28" s="782"/>
      <c r="PN28" s="660"/>
      <c r="PO28" s="7"/>
      <c r="PP28" s="7"/>
      <c r="PQ28" s="7"/>
      <c r="PR28" s="7"/>
      <c r="PS28" s="102"/>
      <c r="PT28" s="102"/>
      <c r="PU28" s="102"/>
      <c r="PV28" s="102"/>
      <c r="PW28" s="102"/>
      <c r="PX28" s="102"/>
      <c r="PY28" s="102"/>
      <c r="PZ28" s="102"/>
      <c r="QA28" s="102"/>
      <c r="QB28" s="102"/>
      <c r="QC28" s="102"/>
      <c r="QD28" s="102"/>
      <c r="QE28" s="102"/>
      <c r="QF28" s="102"/>
      <c r="QG28" s="102"/>
      <c r="QH28" s="102"/>
      <c r="QI28" s="102"/>
      <c r="QJ28" s="102"/>
      <c r="RC28" s="22">
        <f>ROW()</f>
        <v>28</v>
      </c>
      <c r="RF28" s="520"/>
      <c r="RG28" s="520"/>
      <c r="RH28" s="39"/>
      <c r="RI28" s="39"/>
      <c r="RJ28" s="39"/>
      <c r="RK28" s="39"/>
      <c r="RL28" s="39"/>
      <c r="RM28" s="39"/>
      <c r="RN28" s="39"/>
      <c r="RO28" s="39"/>
      <c r="RP28" s="39"/>
      <c r="RQ28" s="606"/>
      <c r="RR28" s="606"/>
      <c r="RS28" s="606"/>
      <c r="RT28" s="606"/>
      <c r="RU28" s="521">
        <f>ROW()</f>
        <v>28</v>
      </c>
      <c r="RV28" s="520" t="s">
        <v>259</v>
      </c>
      <c r="RW28" s="795">
        <v>0.21</v>
      </c>
      <c r="RX28" s="669"/>
      <c r="RY28" s="669"/>
      <c r="RZ28" s="669">
        <f t="shared" ref="RZ28:SH28" si="133">RZ26*-$RW$28</f>
        <v>0</v>
      </c>
      <c r="SA28" s="745">
        <f t="shared" si="133"/>
        <v>36704.755499999999</v>
      </c>
      <c r="SB28" s="745">
        <f t="shared" si="133"/>
        <v>36704.755499999999</v>
      </c>
      <c r="SC28" s="745">
        <f t="shared" si="133"/>
        <v>326031.51210000005</v>
      </c>
      <c r="SD28" s="745">
        <f t="shared" si="133"/>
        <v>362736.26760000002</v>
      </c>
      <c r="SE28" s="745">
        <f t="shared" si="133"/>
        <v>365163.27119999961</v>
      </c>
      <c r="SF28" s="745">
        <f t="shared" si="133"/>
        <v>727899.53879999963</v>
      </c>
      <c r="SG28" s="745">
        <f t="shared" si="133"/>
        <v>365163.27120000171</v>
      </c>
      <c r="SH28" s="745">
        <f t="shared" si="133"/>
        <v>1093062.8100000012</v>
      </c>
      <c r="SI28" s="669">
        <f>SI26*-$RW$28</f>
        <v>0</v>
      </c>
      <c r="SJ28" s="669">
        <f>SJ26*-$RW$28</f>
        <v>1093062.8100000012</v>
      </c>
      <c r="SK28" s="669">
        <f>SK26*-$RW$28</f>
        <v>0</v>
      </c>
      <c r="SL28" s="669">
        <f>SL26*-$RW$28</f>
        <v>1093062.8100000012</v>
      </c>
      <c r="SM28" s="521">
        <f>ROW()</f>
        <v>28</v>
      </c>
      <c r="SN28" s="102" t="s">
        <v>361</v>
      </c>
      <c r="SO28" s="608"/>
      <c r="SP28" s="570"/>
      <c r="SQ28" s="570"/>
      <c r="SR28" s="570"/>
      <c r="SS28" s="98">
        <v>198533936.63822496</v>
      </c>
      <c r="ST28" s="98">
        <f>SS28</f>
        <v>198533936.63822496</v>
      </c>
      <c r="SU28" s="98">
        <v>400416901.48585498</v>
      </c>
      <c r="SV28" s="98">
        <f>SU28+ST28</f>
        <v>598950838.12407994</v>
      </c>
      <c r="SW28" s="98">
        <v>166513952.52156508</v>
      </c>
      <c r="SX28" s="98">
        <f>SW28+SV28</f>
        <v>765464790.64564502</v>
      </c>
      <c r="SY28" s="98">
        <v>488013286.23593509</v>
      </c>
      <c r="SZ28" s="98">
        <f>SY28+SX28</f>
        <v>1253478076.8815801</v>
      </c>
      <c r="TA28" s="570"/>
      <c r="TB28" s="570"/>
      <c r="TC28" s="570"/>
      <c r="TD28" s="570"/>
      <c r="TF28" s="950">
        <f>ROW()</f>
        <v>28</v>
      </c>
      <c r="TG28" s="20" t="s">
        <v>362</v>
      </c>
      <c r="TH28" s="610"/>
      <c r="TI28" s="78">
        <v>-691934.9</v>
      </c>
      <c r="TJ28" s="78">
        <f>-TI28</f>
        <v>691934.9</v>
      </c>
      <c r="TK28" s="20"/>
      <c r="TL28" s="78">
        <f>-TK28</f>
        <v>0</v>
      </c>
      <c r="TM28" s="20"/>
      <c r="TN28" s="78">
        <f>-TM28</f>
        <v>0</v>
      </c>
      <c r="TO28" s="20"/>
      <c r="TP28" s="78">
        <f>-TO28</f>
        <v>0</v>
      </c>
      <c r="TQ28" s="20"/>
      <c r="TR28" s="78">
        <f>-TQ28</f>
        <v>0</v>
      </c>
      <c r="TS28" s="20"/>
      <c r="UJ28" s="521"/>
      <c r="UK28" s="20"/>
      <c r="UL28" s="610"/>
      <c r="UM28" s="633"/>
      <c r="UN28" s="633"/>
      <c r="UO28" s="633"/>
      <c r="UP28" s="633"/>
      <c r="UQ28" s="633"/>
      <c r="UR28" s="633"/>
      <c r="US28" s="633"/>
      <c r="UT28" s="633"/>
      <c r="UU28" s="633"/>
      <c r="UV28" s="633"/>
      <c r="UW28" s="633"/>
      <c r="UY28" s="521">
        <f>ROW()</f>
        <v>28</v>
      </c>
      <c r="UZ28" s="655" t="s">
        <v>251</v>
      </c>
      <c r="VB28" s="656">
        <f>VB16+VB26</f>
        <v>-138703.19</v>
      </c>
      <c r="VC28" s="656">
        <f t="shared" ref="VC28:VL28" si="134">VC16+VC26</f>
        <v>138703.19</v>
      </c>
      <c r="VD28" s="656">
        <f t="shared" si="134"/>
        <v>0</v>
      </c>
      <c r="VE28" s="656">
        <f t="shared" si="134"/>
        <v>0</v>
      </c>
      <c r="VF28" s="656">
        <f t="shared" si="134"/>
        <v>0</v>
      </c>
      <c r="VG28" s="656">
        <f t="shared" si="134"/>
        <v>0</v>
      </c>
      <c r="VH28" s="656">
        <f t="shared" si="134"/>
        <v>0</v>
      </c>
      <c r="VI28" s="656">
        <f t="shared" si="134"/>
        <v>7499999.9999999525</v>
      </c>
      <c r="VJ28" s="656">
        <f t="shared" si="134"/>
        <v>7499999.9999999525</v>
      </c>
      <c r="VK28" s="656">
        <f t="shared" si="134"/>
        <v>0</v>
      </c>
      <c r="VL28" s="656">
        <f t="shared" si="134"/>
        <v>7499999.9999999525</v>
      </c>
    </row>
    <row r="29" spans="1:614" ht="16.5" thickTop="1" thickBot="1" x14ac:dyDescent="0.3">
      <c r="A29" s="22">
        <f>ROW()</f>
        <v>29</v>
      </c>
      <c r="B29" s="75" t="s">
        <v>363</v>
      </c>
      <c r="C29" s="23"/>
      <c r="D29" s="618">
        <v>20273240.028831426</v>
      </c>
      <c r="E29" s="618">
        <f t="shared" si="91"/>
        <v>-20273240.028831426</v>
      </c>
      <c r="F29" s="618">
        <f t="shared" si="17"/>
        <v>0</v>
      </c>
      <c r="G29" s="640"/>
      <c r="H29" s="618">
        <f t="shared" si="17"/>
        <v>0</v>
      </c>
      <c r="I29" s="618"/>
      <c r="J29" s="618">
        <f t="shared" si="17"/>
        <v>0</v>
      </c>
      <c r="K29" s="618"/>
      <c r="L29" s="618">
        <f t="shared" si="17"/>
        <v>0</v>
      </c>
      <c r="M29" s="618"/>
      <c r="N29" s="618">
        <f t="shared" si="17"/>
        <v>0</v>
      </c>
      <c r="O29" s="618"/>
      <c r="P29" s="618">
        <f t="shared" si="18"/>
        <v>0</v>
      </c>
      <c r="Q29" s="618"/>
      <c r="R29" s="618">
        <f t="shared" si="19"/>
        <v>0</v>
      </c>
      <c r="S29" s="529">
        <f>ROW()</f>
        <v>29</v>
      </c>
      <c r="T29" s="679" t="s">
        <v>364</v>
      </c>
      <c r="V29" s="620">
        <v>-2023388.65</v>
      </c>
      <c r="W29" s="620">
        <f>-V29</f>
        <v>2023388.65</v>
      </c>
      <c r="X29" s="74">
        <f t="shared" si="35"/>
        <v>0</v>
      </c>
      <c r="Z29" s="74">
        <f t="shared" si="36"/>
        <v>0</v>
      </c>
      <c r="AB29" s="74">
        <f t="shared" si="37"/>
        <v>0</v>
      </c>
      <c r="AD29" s="74">
        <f t="shared" si="38"/>
        <v>0</v>
      </c>
      <c r="AF29" s="74">
        <f t="shared" si="39"/>
        <v>0</v>
      </c>
      <c r="AG29" s="20"/>
      <c r="AH29" s="42"/>
      <c r="AI29" s="20"/>
      <c r="AJ29" s="42"/>
      <c r="AK29" s="22">
        <f>ROW()</f>
        <v>29</v>
      </c>
      <c r="AL29" s="28" t="s">
        <v>283</v>
      </c>
      <c r="AM29" s="752">
        <v>0.21</v>
      </c>
      <c r="AN29" s="46">
        <f>+$AM$29*AN27</f>
        <v>496652740.84353149</v>
      </c>
      <c r="AO29" s="46">
        <f>+$AM$29*AO27</f>
        <v>-12142548.731962319</v>
      </c>
      <c r="AP29" s="46">
        <f>+$AM$29*AP27</f>
        <v>484510192.11156911</v>
      </c>
      <c r="AQ29" s="74">
        <f t="shared" ref="AQ29:AX29" si="135">+$AM$29*AQ27</f>
        <v>0</v>
      </c>
      <c r="AR29" s="46">
        <f>+$AM$29*AR27</f>
        <v>-47661087.707422182</v>
      </c>
      <c r="AS29" s="74">
        <f t="shared" si="135"/>
        <v>0</v>
      </c>
      <c r="AT29" s="46">
        <f t="shared" si="135"/>
        <v>-47661087.707422182</v>
      </c>
      <c r="AU29" s="74">
        <f t="shared" si="135"/>
        <v>0</v>
      </c>
      <c r="AV29" s="46">
        <f t="shared" si="135"/>
        <v>-47661087.707422182</v>
      </c>
      <c r="AW29" s="74">
        <f t="shared" si="135"/>
        <v>0</v>
      </c>
      <c r="AX29" s="46">
        <f t="shared" si="135"/>
        <v>-47661087.707422182</v>
      </c>
      <c r="AY29" s="74"/>
      <c r="AZ29" s="74"/>
      <c r="BA29" s="22">
        <f>ROW()</f>
        <v>29</v>
      </c>
      <c r="BB29" s="796" t="s">
        <v>365</v>
      </c>
      <c r="BC29"/>
      <c r="BD29"/>
      <c r="BE29"/>
      <c r="BF29"/>
      <c r="BG29"/>
      <c r="BH29"/>
      <c r="BI29"/>
      <c r="BJ29"/>
      <c r="BK29"/>
      <c r="BL29"/>
      <c r="BM29"/>
      <c r="BN29"/>
      <c r="BO29" s="102"/>
      <c r="BP29" s="102"/>
      <c r="BQ29" s="102"/>
      <c r="BR29" s="102"/>
      <c r="BT29" s="102"/>
      <c r="BU29" s="102"/>
      <c r="BV29" s="102"/>
      <c r="BW29"/>
      <c r="BX29"/>
      <c r="BY29"/>
      <c r="BZ29"/>
      <c r="CA29"/>
      <c r="CB29"/>
      <c r="CC29"/>
      <c r="CD29"/>
      <c r="CE29"/>
      <c r="CF29"/>
      <c r="CG29" s="787"/>
      <c r="CH29" s="787"/>
      <c r="CI29" s="797"/>
      <c r="CJ29" s="787"/>
      <c r="DC29" s="1"/>
      <c r="DD29" s="1"/>
      <c r="DE29" s="1"/>
      <c r="DF29" s="1"/>
      <c r="DG29" s="1"/>
      <c r="DH29" s="1"/>
      <c r="DI29" s="1"/>
      <c r="DJ29" s="1"/>
      <c r="FW29" s="22">
        <f>ROW()</f>
        <v>29</v>
      </c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22">
        <f>ROW()</f>
        <v>29</v>
      </c>
      <c r="GP29" s="778" t="s">
        <v>366</v>
      </c>
      <c r="GQ29" s="798">
        <v>0.46577095547807479</v>
      </c>
      <c r="GR29" s="74">
        <f>+GR27*$GQ$29</f>
        <v>9477520.7832948007</v>
      </c>
      <c r="GS29" s="74">
        <f t="shared" ref="GS29:GY29" si="136">+GS27*$GQ$29</f>
        <v>502786.54106777551</v>
      </c>
      <c r="GT29" s="74">
        <f t="shared" si="136"/>
        <v>9980307.324362576</v>
      </c>
      <c r="GU29" s="74">
        <f t="shared" si="136"/>
        <v>0</v>
      </c>
      <c r="GV29" s="74">
        <f t="shared" si="136"/>
        <v>9980307.324362576</v>
      </c>
      <c r="GW29" s="74">
        <f t="shared" si="136"/>
        <v>0</v>
      </c>
      <c r="GX29" s="74">
        <f t="shared" si="136"/>
        <v>9980307.324362576</v>
      </c>
      <c r="GY29" s="74">
        <f t="shared" si="136"/>
        <v>0</v>
      </c>
      <c r="GZ29" s="74">
        <f>+GZ27*$GQ$29</f>
        <v>9980307.324362576</v>
      </c>
      <c r="HA29" s="74">
        <f t="shared" ref="HA29:HF29" si="137">+HA27*$GQ$29</f>
        <v>0</v>
      </c>
      <c r="HB29" s="74">
        <f t="shared" si="137"/>
        <v>9980307.324362576</v>
      </c>
      <c r="HC29" s="74">
        <f t="shared" si="137"/>
        <v>0</v>
      </c>
      <c r="HD29" s="74">
        <f t="shared" si="137"/>
        <v>0</v>
      </c>
      <c r="HE29" s="74">
        <f t="shared" si="137"/>
        <v>0</v>
      </c>
      <c r="HF29" s="74">
        <f t="shared" si="137"/>
        <v>0</v>
      </c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102"/>
      <c r="IR29" s="102"/>
      <c r="IS29" s="102"/>
      <c r="IT29" s="102"/>
      <c r="IU29" s="102"/>
      <c r="IV29" s="102"/>
      <c r="IW29" s="102"/>
      <c r="IX29" s="102"/>
      <c r="IY29" s="102"/>
      <c r="IZ29" s="102"/>
      <c r="JA29" s="102"/>
      <c r="JB29" s="102"/>
      <c r="JC29" s="102"/>
      <c r="JD29" s="102"/>
      <c r="JE29" s="102"/>
      <c r="JF29" s="102"/>
      <c r="JG29" s="102"/>
      <c r="JH29" s="102"/>
      <c r="JI29" s="102"/>
      <c r="JJ29" s="102"/>
      <c r="JK29" s="102"/>
      <c r="JL29" s="102"/>
      <c r="JM29" s="102"/>
      <c r="JN29" s="102"/>
      <c r="JO29" s="102"/>
      <c r="JP29" s="102"/>
      <c r="JQ29" s="102"/>
      <c r="JR29" s="102"/>
      <c r="JS29" s="102"/>
      <c r="JT29" s="102"/>
      <c r="JU29" s="102"/>
      <c r="JV29" s="102"/>
      <c r="JW29" s="102"/>
      <c r="JX29" s="102"/>
      <c r="JY29" s="102"/>
      <c r="JZ29" s="102"/>
      <c r="KS29" s="22">
        <f>ROW()</f>
        <v>29</v>
      </c>
      <c r="KT29" s="480"/>
      <c r="LK29" s="22"/>
      <c r="MC29" s="22">
        <f>ROW()</f>
        <v>29</v>
      </c>
      <c r="MD29" s="555" t="s">
        <v>259</v>
      </c>
      <c r="ME29" s="56">
        <v>0.21</v>
      </c>
      <c r="MF29" s="50">
        <f t="shared" ref="MF29:MT29" si="138">-MF27*$ME$29</f>
        <v>-95709051.000808001</v>
      </c>
      <c r="MG29" s="50">
        <f t="shared" si="138"/>
        <v>837568.79850418167</v>
      </c>
      <c r="MH29" s="50">
        <f t="shared" si="138"/>
        <v>-94871482.202303812</v>
      </c>
      <c r="MI29" s="50">
        <f t="shared" si="138"/>
        <v>0</v>
      </c>
      <c r="MJ29" s="50">
        <f t="shared" si="138"/>
        <v>-94871482.202303812</v>
      </c>
      <c r="MK29" s="50">
        <f t="shared" si="138"/>
        <v>0</v>
      </c>
      <c r="ML29" s="50">
        <f t="shared" si="138"/>
        <v>-94871482.202303812</v>
      </c>
      <c r="MM29" s="50">
        <f t="shared" si="138"/>
        <v>0</v>
      </c>
      <c r="MN29" s="50">
        <f t="shared" si="138"/>
        <v>-94871482.202303812</v>
      </c>
      <c r="MO29" s="50">
        <f t="shared" si="138"/>
        <v>0</v>
      </c>
      <c r="MP29" s="50">
        <f t="shared" si="138"/>
        <v>-94871482.202303812</v>
      </c>
      <c r="MQ29" s="50">
        <f t="shared" si="138"/>
        <v>0</v>
      </c>
      <c r="MR29" s="50">
        <f t="shared" si="138"/>
        <v>0</v>
      </c>
      <c r="MS29" s="50">
        <f t="shared" si="138"/>
        <v>0</v>
      </c>
      <c r="MT29" s="50">
        <f t="shared" si="138"/>
        <v>0</v>
      </c>
      <c r="MU29" s="22"/>
      <c r="MV29" s="20"/>
      <c r="MW29" s="491"/>
      <c r="MX29" s="100"/>
      <c r="MY29" s="100"/>
      <c r="MZ29" s="100"/>
      <c r="NA29" s="100"/>
      <c r="NB29" s="100"/>
      <c r="NC29" s="100"/>
      <c r="ND29" s="100"/>
      <c r="NE29" s="100"/>
      <c r="NF29" s="100"/>
      <c r="NG29" s="100"/>
      <c r="NH29" s="100"/>
      <c r="NI29" s="573"/>
      <c r="NJ29" s="573"/>
      <c r="NK29" s="573"/>
      <c r="NL29" s="573"/>
      <c r="NM29" s="22">
        <f>ROW()</f>
        <v>29</v>
      </c>
      <c r="NN29" s="799"/>
      <c r="NO29" s="23"/>
      <c r="NP29" s="63"/>
      <c r="NQ29" s="63"/>
      <c r="NR29" s="63"/>
      <c r="NS29" s="63"/>
      <c r="NT29" s="800"/>
      <c r="NU29" s="63"/>
      <c r="NV29" s="800"/>
      <c r="NW29" s="64"/>
      <c r="NX29" s="801"/>
      <c r="NY29" s="64"/>
      <c r="NZ29" s="800"/>
      <c r="OA29" s="800"/>
      <c r="OB29" s="800"/>
      <c r="OC29" s="63"/>
      <c r="OD29" s="800"/>
      <c r="OE29" s="482">
        <f>ROW()</f>
        <v>29</v>
      </c>
      <c r="OF29" s="50" t="s">
        <v>306</v>
      </c>
      <c r="OG29" s="50"/>
      <c r="OH29" s="667"/>
      <c r="OI29" s="667"/>
      <c r="OJ29" s="667"/>
      <c r="OK29" s="667"/>
      <c r="OL29" s="667"/>
      <c r="OM29"/>
      <c r="ON29"/>
      <c r="OO29"/>
      <c r="OP29"/>
      <c r="OQ29"/>
      <c r="OR29"/>
      <c r="OS29" s="748" t="e">
        <f>OS21+OS27</f>
        <v>#REF!</v>
      </c>
      <c r="OT29" s="748">
        <f>OT21+OT27</f>
        <v>0</v>
      </c>
      <c r="OU29" s="748">
        <f>OU21+OU27</f>
        <v>0</v>
      </c>
      <c r="OV29" s="748">
        <f>OV21+OV27</f>
        <v>0</v>
      </c>
      <c r="OW29" s="22">
        <f>ROW()</f>
        <v>29</v>
      </c>
      <c r="OX29" s="562" t="s">
        <v>367</v>
      </c>
      <c r="OY29" s="802"/>
      <c r="PC29" s="600"/>
      <c r="PD29" s="600"/>
      <c r="PE29" s="600"/>
      <c r="PF29" s="600"/>
      <c r="PG29" s="600"/>
      <c r="PH29" s="667"/>
      <c r="PI29" s="600"/>
      <c r="PJ29" s="667"/>
      <c r="PK29" s="600"/>
      <c r="PL29" s="667"/>
      <c r="PM29" s="600"/>
      <c r="PN29" s="667"/>
      <c r="PO29" s="7"/>
      <c r="PP29" s="7"/>
      <c r="PQ29" s="7"/>
      <c r="PR29" s="7"/>
      <c r="PS29" s="102"/>
      <c r="PT29" s="102"/>
      <c r="PU29" s="102"/>
      <c r="PV29" s="102"/>
      <c r="PW29" s="102"/>
      <c r="PX29" s="102"/>
      <c r="PY29" s="102"/>
      <c r="PZ29" s="102"/>
      <c r="QA29" s="102"/>
      <c r="QB29" s="102"/>
      <c r="QC29" s="102"/>
      <c r="QD29" s="102"/>
      <c r="QE29" s="102"/>
      <c r="QF29" s="102"/>
      <c r="QG29" s="102"/>
      <c r="QH29" s="102"/>
      <c r="QI29" s="102"/>
      <c r="QJ29" s="102"/>
      <c r="RC29" s="22">
        <f>ROW()</f>
        <v>29</v>
      </c>
      <c r="RD29" s="102" t="s">
        <v>368</v>
      </c>
      <c r="RE29" s="795">
        <v>0.21</v>
      </c>
      <c r="RF29" s="605"/>
      <c r="RG29" s="605"/>
      <c r="RH29" s="39">
        <f>-RH27*$RE$29</f>
        <v>-86985136.080803797</v>
      </c>
      <c r="RI29" s="39">
        <f>-RI27*$RE$29</f>
        <v>-235501.3771339879</v>
      </c>
      <c r="RJ29" s="739">
        <f>RH29+RI29</f>
        <v>-87220637.457937792</v>
      </c>
      <c r="RK29" s="39">
        <f>-RK27*$RE$29</f>
        <v>848931.85897549754</v>
      </c>
      <c r="RL29" s="739">
        <f>RJ29+RK29</f>
        <v>-86371705.598962292</v>
      </c>
      <c r="RM29" s="39">
        <f>-RM27*$RE$29</f>
        <v>1299505.4998810177</v>
      </c>
      <c r="RN29" s="739">
        <f>RL29+RM29</f>
        <v>-85072200.099081278</v>
      </c>
      <c r="RO29" s="39">
        <f>-RO27*$RE$29</f>
        <v>4614358.6760260472</v>
      </c>
      <c r="RP29" s="739">
        <f>RN29+RO29</f>
        <v>-80457841.423055232</v>
      </c>
      <c r="RQ29" s="671"/>
      <c r="RR29" s="671">
        <f>RP29+RQ29</f>
        <v>-80457841.423055232</v>
      </c>
      <c r="RS29" s="671"/>
      <c r="RT29" s="671">
        <f>RR29+RS29</f>
        <v>-80457841.423055232</v>
      </c>
      <c r="RU29" s="521">
        <f>ROW()</f>
        <v>29</v>
      </c>
      <c r="RV29" s="520"/>
      <c r="RW29" s="520"/>
      <c r="RX29" s="803"/>
      <c r="RY29" s="803"/>
      <c r="RZ29" s="803"/>
      <c r="SA29" s="48"/>
      <c r="SB29" s="48"/>
      <c r="SC29" s="48"/>
      <c r="SD29" s="48"/>
      <c r="SE29" s="48"/>
      <c r="SF29" s="48"/>
      <c r="SG29" s="48"/>
      <c r="SH29" s="48"/>
      <c r="SI29" s="803"/>
      <c r="SJ29" s="803"/>
      <c r="SK29" s="803"/>
      <c r="SL29" s="803"/>
      <c r="SM29" s="521">
        <f>ROW()</f>
        <v>29</v>
      </c>
      <c r="SN29" s="102" t="s">
        <v>369</v>
      </c>
      <c r="SO29" s="608"/>
      <c r="SP29" s="606"/>
      <c r="SQ29" s="606"/>
      <c r="SR29" s="606"/>
      <c r="SS29" s="39">
        <v>-3491440.8531900002</v>
      </c>
      <c r="ST29" s="39">
        <f>SS29</f>
        <v>-3491440.8531900002</v>
      </c>
      <c r="SU29" s="39">
        <v>-23093220.441034999</v>
      </c>
      <c r="SV29" s="39">
        <f>SU29+ST29</f>
        <v>-26584661.294225</v>
      </c>
      <c r="SW29" s="39">
        <v>-20796623.425300002</v>
      </c>
      <c r="SX29" s="39">
        <f>SW29+SV29</f>
        <v>-47381284.719525002</v>
      </c>
      <c r="SY29" s="39">
        <v>-57040442.009044982</v>
      </c>
      <c r="SZ29" s="39">
        <f>SY29+SX29</f>
        <v>-104421726.72856998</v>
      </c>
      <c r="TA29" s="606"/>
      <c r="TB29" s="606"/>
      <c r="TC29" s="606"/>
      <c r="TD29" s="606"/>
      <c r="TF29" s="950">
        <f>ROW()</f>
        <v>29</v>
      </c>
      <c r="TG29" s="20" t="s">
        <v>370</v>
      </c>
      <c r="TH29" s="610"/>
      <c r="TI29" s="78">
        <v>-90690232.219999999</v>
      </c>
      <c r="TJ29" s="78">
        <f>-TI29</f>
        <v>90690232.219999999</v>
      </c>
      <c r="TK29" s="20"/>
      <c r="TL29" s="78">
        <f>-TK29</f>
        <v>0</v>
      </c>
      <c r="TM29" s="20"/>
      <c r="TN29" s="78">
        <f>-TM29</f>
        <v>0</v>
      </c>
      <c r="TO29" s="20"/>
      <c r="TP29" s="78">
        <f>-TO29</f>
        <v>0</v>
      </c>
      <c r="TQ29" s="20"/>
      <c r="TR29" s="78">
        <f>-TQ29</f>
        <v>0</v>
      </c>
      <c r="TS29" s="20"/>
      <c r="TU29" s="65" t="s">
        <v>30</v>
      </c>
      <c r="UJ29" s="521"/>
      <c r="UK29" s="20"/>
      <c r="UL29" s="610"/>
      <c r="UM29" s="633"/>
      <c r="UN29" s="633"/>
      <c r="UO29" s="633"/>
      <c r="UP29" s="633"/>
      <c r="UQ29" s="633"/>
      <c r="UR29" s="633"/>
      <c r="US29" s="633"/>
      <c r="UT29" s="633"/>
      <c r="UU29" s="633"/>
      <c r="UV29" s="633"/>
      <c r="UW29" s="633"/>
      <c r="UY29" s="521">
        <f>ROW()</f>
        <v>29</v>
      </c>
      <c r="UZ29" s="655"/>
      <c r="VB29" s="74"/>
      <c r="VC29" s="74"/>
      <c r="VD29" s="74"/>
      <c r="VE29" s="74"/>
      <c r="VF29" s="74"/>
      <c r="VG29" s="74"/>
      <c r="VH29" s="74"/>
      <c r="VI29" s="74"/>
      <c r="VJ29" s="74"/>
      <c r="VK29" s="74"/>
      <c r="VL29" s="74"/>
    </row>
    <row r="30" spans="1:614" ht="16.5" thickTop="1" thickBot="1" x14ac:dyDescent="0.3">
      <c r="A30" s="22">
        <f>ROW()</f>
        <v>30</v>
      </c>
      <c r="B30" s="524" t="s">
        <v>371</v>
      </c>
      <c r="C30" s="23"/>
      <c r="D30" s="618"/>
      <c r="E30" s="618">
        <v>187501067.45250377</v>
      </c>
      <c r="F30" s="618">
        <f t="shared" si="17"/>
        <v>187501067.45250377</v>
      </c>
      <c r="G30" s="640">
        <v>-187501067.45250377</v>
      </c>
      <c r="H30" s="618">
        <f t="shared" si="17"/>
        <v>0</v>
      </c>
      <c r="I30" s="618"/>
      <c r="J30" s="618">
        <f t="shared" si="17"/>
        <v>0</v>
      </c>
      <c r="K30" s="618"/>
      <c r="L30" s="618">
        <f t="shared" si="17"/>
        <v>0</v>
      </c>
      <c r="M30" s="618"/>
      <c r="N30" s="618">
        <f t="shared" si="17"/>
        <v>0</v>
      </c>
      <c r="O30" s="618"/>
      <c r="P30" s="618">
        <f t="shared" si="18"/>
        <v>0</v>
      </c>
      <c r="Q30" s="618"/>
      <c r="R30" s="618">
        <f t="shared" si="19"/>
        <v>0</v>
      </c>
      <c r="S30" s="529">
        <f>ROW()</f>
        <v>30</v>
      </c>
      <c r="T30" s="28" t="s">
        <v>372</v>
      </c>
      <c r="V30" s="620">
        <v>17506569.710000001</v>
      </c>
      <c r="W30" s="620"/>
      <c r="X30" s="74">
        <f>+W30+V30</f>
        <v>17506569.710000001</v>
      </c>
      <c r="Y30" s="74">
        <f>-X30</f>
        <v>-17506569.710000001</v>
      </c>
      <c r="Z30" s="74">
        <f t="shared" si="36"/>
        <v>0</v>
      </c>
      <c r="AB30" s="74"/>
      <c r="AD30" s="74"/>
      <c r="AF30" s="74"/>
      <c r="AG30" s="20"/>
      <c r="AH30" s="42"/>
      <c r="AI30" s="20"/>
      <c r="AJ30" s="42"/>
      <c r="AK30" s="22">
        <f>ROW()</f>
        <v>30</v>
      </c>
      <c r="AL30" s="28" t="s">
        <v>240</v>
      </c>
      <c r="AN30" s="804">
        <f>AN27-AN29</f>
        <v>1868360310.7923326</v>
      </c>
      <c r="AO30" s="804">
        <f>AO27-AO29</f>
        <v>-45679111.896429673</v>
      </c>
      <c r="AP30" s="804">
        <f>AP27-AP29</f>
        <v>1822681198.8959029</v>
      </c>
      <c r="AQ30" s="708">
        <f t="shared" ref="AQ30:AX30" si="139">AQ27-AQ29</f>
        <v>0</v>
      </c>
      <c r="AR30" s="804">
        <f t="shared" si="139"/>
        <v>-179296472.80411202</v>
      </c>
      <c r="AS30" s="708">
        <f t="shared" si="139"/>
        <v>0</v>
      </c>
      <c r="AT30" s="804">
        <f t="shared" si="139"/>
        <v>-179296472.80411202</v>
      </c>
      <c r="AU30" s="708">
        <f t="shared" si="139"/>
        <v>0</v>
      </c>
      <c r="AV30" s="804">
        <f t="shared" si="139"/>
        <v>-179296472.80411202</v>
      </c>
      <c r="AW30" s="708">
        <f t="shared" si="139"/>
        <v>0</v>
      </c>
      <c r="AX30" s="804">
        <f t="shared" si="139"/>
        <v>-179296472.80411202</v>
      </c>
      <c r="AY30" s="708"/>
      <c r="AZ30" s="708"/>
      <c r="BA30" s="22">
        <f>ROW()</f>
        <v>30</v>
      </c>
      <c r="BB30" s="796" t="s">
        <v>373</v>
      </c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T30" s="102"/>
      <c r="BU30" s="102"/>
      <c r="BV30" s="102"/>
      <c r="BW30"/>
      <c r="BX30"/>
      <c r="BY30"/>
      <c r="BZ30"/>
      <c r="CA30"/>
      <c r="CB30"/>
      <c r="CC30"/>
      <c r="CD30"/>
      <c r="CE30"/>
      <c r="CF30"/>
      <c r="CG30" s="805"/>
      <c r="CH30" s="805"/>
      <c r="CI30" s="805"/>
      <c r="CJ30" s="805"/>
      <c r="DC30" s="1"/>
      <c r="DD30" s="1"/>
      <c r="DE30" s="1"/>
      <c r="DF30" s="1"/>
      <c r="DG30" s="1"/>
      <c r="DH30" s="1"/>
      <c r="DI30" s="1"/>
      <c r="DJ30" s="1"/>
      <c r="FW30" s="22">
        <f>ROW()</f>
        <v>30</v>
      </c>
      <c r="FX30" s="722" t="s">
        <v>283</v>
      </c>
      <c r="FY30" s="610">
        <v>0.21</v>
      </c>
      <c r="FZ30" s="722">
        <f t="shared" ref="FZ30:GI30" si="140">-$FY$30*FZ28</f>
        <v>-2430271.6509469668</v>
      </c>
      <c r="GA30" s="722">
        <f t="shared" si="140"/>
        <v>855918.38239385316</v>
      </c>
      <c r="GB30" s="722">
        <f t="shared" si="140"/>
        <v>-1574353.2685531133</v>
      </c>
      <c r="GC30" s="722">
        <f t="shared" si="140"/>
        <v>-200515.9202794274</v>
      </c>
      <c r="GD30" s="722">
        <f t="shared" si="140"/>
        <v>-1774869.188832541</v>
      </c>
      <c r="GE30" s="722">
        <f t="shared" si="140"/>
        <v>-83423.902026905707</v>
      </c>
      <c r="GF30" s="722">
        <f t="shared" si="140"/>
        <v>-1858293.0908594469</v>
      </c>
      <c r="GG30" s="722">
        <f t="shared" si="140"/>
        <v>-18602.214805591087</v>
      </c>
      <c r="GH30" s="722">
        <f t="shared" si="140"/>
        <v>-1876895.3056650378</v>
      </c>
      <c r="GI30" s="722">
        <f t="shared" si="140"/>
        <v>-1081.7287939169673</v>
      </c>
      <c r="GJ30" s="722">
        <f>-$FY$30*GJ28</f>
        <v>-1877977.0344589548</v>
      </c>
      <c r="GK30" s="722">
        <f>-$FY$30*GK28</f>
        <v>0</v>
      </c>
      <c r="GL30" s="722">
        <f>-$FY$30*GL28</f>
        <v>-1877977.0344589548</v>
      </c>
      <c r="GM30" s="722">
        <f>-$FY$30*GM28</f>
        <v>0</v>
      </c>
      <c r="GN30" s="722">
        <f>-$FY$30*GN28</f>
        <v>-1877977.0344589548</v>
      </c>
      <c r="GO30" s="22">
        <f>ROW()</f>
        <v>30</v>
      </c>
      <c r="GP30" s="788"/>
      <c r="GQ30" s="755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78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102"/>
      <c r="IR30" s="102"/>
      <c r="IS30" s="102"/>
      <c r="IT30" s="102"/>
      <c r="IU30" s="102"/>
      <c r="IV30" s="102"/>
      <c r="IW30" s="102"/>
      <c r="IX30" s="102"/>
      <c r="IY30" s="102"/>
      <c r="IZ30" s="102"/>
      <c r="JA30" s="102"/>
      <c r="JB30" s="102"/>
      <c r="JC30" s="102"/>
      <c r="JD30" s="102"/>
      <c r="JE30" s="102"/>
      <c r="JF30" s="102"/>
      <c r="JG30" s="102"/>
      <c r="JH30" s="102"/>
      <c r="JI30" s="102"/>
      <c r="JJ30" s="102"/>
      <c r="JK30" s="102"/>
      <c r="JL30" s="102"/>
      <c r="JM30" s="102"/>
      <c r="JN30" s="102"/>
      <c r="JO30" s="102"/>
      <c r="JP30" s="102"/>
      <c r="JQ30" s="102"/>
      <c r="JR30" s="102"/>
      <c r="JS30" s="102"/>
      <c r="JT30" s="102"/>
      <c r="JU30" s="102"/>
      <c r="JV30" s="102"/>
      <c r="JW30" s="102"/>
      <c r="JX30" s="102"/>
      <c r="JY30" s="102"/>
      <c r="JZ30" s="102"/>
      <c r="KS30" s="22">
        <f>ROW()</f>
        <v>30</v>
      </c>
      <c r="KT30" s="806" t="s">
        <v>374</v>
      </c>
      <c r="KV30" s="807">
        <f>+KV28</f>
        <v>142546889.81182536</v>
      </c>
      <c r="KW30" s="807">
        <f>+KW28</f>
        <v>8348631.3880507909</v>
      </c>
      <c r="KX30" s="807">
        <f>+KX28</f>
        <v>150895521.19987616</v>
      </c>
      <c r="KY30" s="807">
        <f>+KY28</f>
        <v>0</v>
      </c>
      <c r="KZ30" s="807">
        <f>+KZ28</f>
        <v>150895521.19987616</v>
      </c>
      <c r="LA30" s="807">
        <f t="shared" ref="LA30:LI30" si="141">+LA28</f>
        <v>0</v>
      </c>
      <c r="LB30" s="807">
        <f t="shared" si="141"/>
        <v>150895521.19987616</v>
      </c>
      <c r="LC30" s="807">
        <f t="shared" si="141"/>
        <v>0</v>
      </c>
      <c r="LD30" s="807">
        <f t="shared" si="141"/>
        <v>150895521.19987616</v>
      </c>
      <c r="LE30" s="807">
        <f t="shared" si="141"/>
        <v>0</v>
      </c>
      <c r="LF30" s="807">
        <f t="shared" si="141"/>
        <v>150895521.19987616</v>
      </c>
      <c r="LG30" s="807">
        <f t="shared" si="141"/>
        <v>0</v>
      </c>
      <c r="LH30" s="807">
        <f>+LH28</f>
        <v>0</v>
      </c>
      <c r="LI30" s="807">
        <f t="shared" si="141"/>
        <v>0</v>
      </c>
      <c r="LJ30" s="807">
        <f>+LJ28</f>
        <v>0</v>
      </c>
      <c r="LK30" s="22"/>
      <c r="MC30" s="22">
        <f>ROW()</f>
        <v>30</v>
      </c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2"/>
      <c r="MV30" s="100"/>
      <c r="MW30" s="20"/>
      <c r="MX30" s="100"/>
      <c r="MY30" s="100"/>
      <c r="MZ30" s="100"/>
      <c r="NA30" s="100"/>
      <c r="NB30" s="100"/>
      <c r="NC30" s="100"/>
      <c r="ND30" s="100"/>
      <c r="NE30" s="100"/>
      <c r="NF30" s="100"/>
      <c r="NG30" s="100"/>
      <c r="NH30" s="100"/>
      <c r="NI30" s="50"/>
      <c r="NJ30" s="50"/>
      <c r="NK30" s="50"/>
      <c r="NL30" s="50"/>
      <c r="NM30" s="22">
        <f>ROW()</f>
        <v>30</v>
      </c>
      <c r="NN30" s="810"/>
      <c r="NW30" s="43"/>
      <c r="NX30" s="43"/>
      <c r="NY30" s="43"/>
      <c r="OE30" s="482">
        <f>ROW()</f>
        <v>30</v>
      </c>
      <c r="OF30" s="624" t="s">
        <v>108</v>
      </c>
      <c r="OG30" s="624"/>
      <c r="OH30" s="660">
        <f>OH28</f>
        <v>-4730967.9799999986</v>
      </c>
      <c r="OI30" s="660">
        <f>OI28</f>
        <v>0</v>
      </c>
      <c r="OJ30" s="660">
        <f>OJ28</f>
        <v>-4730967.9799999986</v>
      </c>
      <c r="OK30" s="660">
        <f>OK28</f>
        <v>4730967.9799999986</v>
      </c>
      <c r="OL30" s="660">
        <f>OL28</f>
        <v>0</v>
      </c>
      <c r="OM30" s="811"/>
      <c r="ON30" s="811"/>
      <c r="OO30" s="811"/>
      <c r="OP30" s="811"/>
      <c r="OQ30" s="811"/>
      <c r="OR30" s="811"/>
      <c r="OS30" s="600"/>
      <c r="OT30" s="600"/>
      <c r="OU30" s="600"/>
      <c r="OV30" s="600"/>
      <c r="OW30" s="22">
        <f>ROW()</f>
        <v>30</v>
      </c>
      <c r="OX30" s="644" t="s">
        <v>246</v>
      </c>
      <c r="OY30" s="562"/>
      <c r="OZ30" s="63">
        <v>-22567669.474146776</v>
      </c>
      <c r="PA30" s="624">
        <v>14530301.155840313</v>
      </c>
      <c r="PB30" s="63">
        <f>SUM(OZ30:PA30)</f>
        <v>-8037368.3183064628</v>
      </c>
      <c r="PC30" s="63">
        <v>-14530301.155840313</v>
      </c>
      <c r="PD30" s="600">
        <f>SUM(PB30:PC30)</f>
        <v>-22567669.474146776</v>
      </c>
      <c r="PE30" s="63">
        <v>0</v>
      </c>
      <c r="PF30" s="600">
        <f>SUM(PD30:PE30)</f>
        <v>-22567669.474146776</v>
      </c>
      <c r="PG30" s="63">
        <v>0</v>
      </c>
      <c r="PH30" s="647">
        <f>SUM(PF30:PG30)</f>
        <v>-22567669.474146776</v>
      </c>
      <c r="PI30" s="63">
        <v>0</v>
      </c>
      <c r="PJ30" s="647">
        <f>SUM(PH30:PI30)</f>
        <v>-22567669.474146776</v>
      </c>
      <c r="PK30" s="666">
        <v>0</v>
      </c>
      <c r="PL30" s="647">
        <f t="shared" ref="PL30:PL32" si="142">SUM(PJ30:PK30)</f>
        <v>-22567669.474146776</v>
      </c>
      <c r="PM30" s="666">
        <v>0</v>
      </c>
      <c r="PN30" s="647">
        <f t="shared" ref="PN30:PN32" si="143">SUM(PL30:PM30)</f>
        <v>-22567669.474146776</v>
      </c>
      <c r="PO30" s="7"/>
      <c r="PP30" s="7"/>
      <c r="PQ30" s="7"/>
      <c r="PR30" s="7"/>
      <c r="PS30" s="102"/>
      <c r="PT30" s="102"/>
      <c r="PU30" s="102"/>
      <c r="PV30" s="102"/>
      <c r="PW30" s="102"/>
      <c r="PX30" s="102"/>
      <c r="PY30" s="102"/>
      <c r="PZ30" s="102"/>
      <c r="QA30" s="102"/>
      <c r="QB30" s="102"/>
      <c r="QC30" s="102"/>
      <c r="QD30" s="102"/>
      <c r="QE30" s="102"/>
      <c r="QF30" s="102"/>
      <c r="QG30" s="102"/>
      <c r="QH30" s="102"/>
      <c r="QI30" s="102"/>
      <c r="QJ30" s="102"/>
      <c r="RC30" s="22">
        <f>ROW()</f>
        <v>30</v>
      </c>
      <c r="RF30" s="812"/>
      <c r="RG30" s="812"/>
      <c r="RH30" s="1208"/>
      <c r="RI30" s="1208"/>
      <c r="RJ30" s="1208"/>
      <c r="RK30" s="1208"/>
      <c r="RL30" s="1208"/>
      <c r="RM30" s="1208"/>
      <c r="RN30" s="1208"/>
      <c r="RO30" s="1208"/>
      <c r="RP30" s="1208"/>
      <c r="RQ30" s="812"/>
      <c r="RR30" s="812"/>
      <c r="RS30" s="812"/>
      <c r="RT30" s="812"/>
      <c r="RU30" s="521">
        <f>ROW()</f>
        <v>30</v>
      </c>
      <c r="RV30" s="102" t="s">
        <v>240</v>
      </c>
      <c r="RW30" s="520"/>
      <c r="RX30" s="773"/>
      <c r="RY30" s="773"/>
      <c r="RZ30" s="773">
        <f>-RZ26-RZ28</f>
        <v>0</v>
      </c>
      <c r="SA30" s="1209">
        <f t="shared" ref="SA30:SH30" si="144">-SA26-SA28</f>
        <v>138079.79450000002</v>
      </c>
      <c r="SB30" s="1209">
        <f t="shared" si="144"/>
        <v>138079.79450000002</v>
      </c>
      <c r="SC30" s="1209">
        <f t="shared" si="144"/>
        <v>1226499.4979000003</v>
      </c>
      <c r="SD30" s="1209">
        <f t="shared" si="144"/>
        <v>1364579.2924000002</v>
      </c>
      <c r="SE30" s="1209">
        <f t="shared" si="144"/>
        <v>1373709.4487999985</v>
      </c>
      <c r="SF30" s="1209">
        <f t="shared" si="144"/>
        <v>2738288.7411999987</v>
      </c>
      <c r="SG30" s="1209">
        <f t="shared" si="144"/>
        <v>1373709.4488000064</v>
      </c>
      <c r="SH30" s="1209">
        <f t="shared" si="144"/>
        <v>4111998.1900000051</v>
      </c>
      <c r="SI30" s="773">
        <f>-SI26-SI28</f>
        <v>0</v>
      </c>
      <c r="SJ30" s="773">
        <f>-SJ26-SJ28</f>
        <v>4111998.1900000051</v>
      </c>
      <c r="SK30" s="773">
        <f>-SK26-SK28</f>
        <v>0</v>
      </c>
      <c r="SL30" s="773">
        <f>-SL26-SL28</f>
        <v>4111998.1900000051</v>
      </c>
      <c r="SM30" s="521">
        <f>ROW()</f>
        <v>30</v>
      </c>
      <c r="SN30" s="102" t="s">
        <v>375</v>
      </c>
      <c r="SO30" s="608"/>
      <c r="SP30" s="669"/>
      <c r="SQ30" s="669"/>
      <c r="SR30" s="669"/>
      <c r="SS30" s="745">
        <v>-1405924.7317849998</v>
      </c>
      <c r="ST30" s="745">
        <f>SS30</f>
        <v>-1405924.7317849998</v>
      </c>
      <c r="SU30" s="745">
        <v>-5095900.6903099995</v>
      </c>
      <c r="SV30" s="745">
        <f>SU30+ST30</f>
        <v>-6501825.4220949989</v>
      </c>
      <c r="SW30" s="745">
        <v>-4900371.4298849991</v>
      </c>
      <c r="SX30" s="745">
        <f>SW30+SV30</f>
        <v>-11402196.851979997</v>
      </c>
      <c r="SY30" s="745">
        <v>-12001436.604545003</v>
      </c>
      <c r="SZ30" s="745">
        <f>SY30+SX30</f>
        <v>-23403633.456524998</v>
      </c>
      <c r="TA30" s="669"/>
      <c r="TB30" s="669"/>
      <c r="TC30" s="669"/>
      <c r="TD30" s="669"/>
      <c r="TF30" s="950">
        <f>ROW()</f>
        <v>30</v>
      </c>
      <c r="TG30" s="17" t="s">
        <v>376</v>
      </c>
      <c r="TH30" s="610"/>
      <c r="TI30" s="651">
        <v>-3405812.4870000007</v>
      </c>
      <c r="TJ30" s="651">
        <f>-TI30</f>
        <v>3405812.4870000007</v>
      </c>
      <c r="TK30" s="17"/>
      <c r="TL30" s="651">
        <f>-TK30</f>
        <v>0</v>
      </c>
      <c r="TM30" s="17"/>
      <c r="TN30" s="651">
        <f>-TM30</f>
        <v>0</v>
      </c>
      <c r="TO30" s="17"/>
      <c r="TP30" s="651">
        <f>-TO30</f>
        <v>0</v>
      </c>
      <c r="TQ30" s="17"/>
      <c r="TR30" s="651">
        <f>-TQ30</f>
        <v>0</v>
      </c>
      <c r="TS30" s="17"/>
      <c r="UJ30" s="521"/>
      <c r="UK30" s="20"/>
      <c r="UL30" s="610"/>
      <c r="UM30" s="633"/>
      <c r="UN30" s="633"/>
      <c r="UO30" s="633"/>
      <c r="UP30" s="633"/>
      <c r="UQ30" s="633"/>
      <c r="UR30" s="633"/>
      <c r="US30" s="633"/>
      <c r="UT30" s="633"/>
      <c r="UU30" s="633"/>
      <c r="UV30" s="633"/>
      <c r="UW30" s="633"/>
      <c r="UY30" s="521">
        <f>ROW()</f>
        <v>30</v>
      </c>
      <c r="UZ30" s="694" t="s">
        <v>283</v>
      </c>
      <c r="VA30" s="695">
        <v>0.21</v>
      </c>
      <c r="VB30" s="633">
        <f t="shared" ref="VB30:VL30" si="145">-VB28*$VA$30</f>
        <v>29127.669900000001</v>
      </c>
      <c r="VC30" s="633">
        <f t="shared" si="145"/>
        <v>-29127.669900000001</v>
      </c>
      <c r="VD30" s="633">
        <f t="shared" si="145"/>
        <v>0</v>
      </c>
      <c r="VE30" s="633">
        <f t="shared" si="145"/>
        <v>0</v>
      </c>
      <c r="VF30" s="633">
        <f t="shared" si="145"/>
        <v>0</v>
      </c>
      <c r="VG30" s="633">
        <f t="shared" si="145"/>
        <v>0</v>
      </c>
      <c r="VH30" s="633">
        <f t="shared" si="145"/>
        <v>0</v>
      </c>
      <c r="VI30" s="633">
        <f t="shared" si="145"/>
        <v>-1574999.99999999</v>
      </c>
      <c r="VJ30" s="633">
        <f t="shared" si="145"/>
        <v>-1574999.99999999</v>
      </c>
      <c r="VK30" s="633">
        <f t="shared" si="145"/>
        <v>0</v>
      </c>
      <c r="VL30" s="633">
        <f t="shared" si="145"/>
        <v>-1574999.99999999</v>
      </c>
    </row>
    <row r="31" spans="1:614" ht="16.5" thickTop="1" thickBot="1" x14ac:dyDescent="0.3">
      <c r="A31" s="22">
        <f>ROW()</f>
        <v>31</v>
      </c>
      <c r="B31" s="524" t="s">
        <v>377</v>
      </c>
      <c r="C31" s="23"/>
      <c r="D31" s="618"/>
      <c r="E31" s="618">
        <v>94144319.000397965</v>
      </c>
      <c r="F31" s="618">
        <f t="shared" si="17"/>
        <v>94144319.000397965</v>
      </c>
      <c r="G31" s="640">
        <v>-94144319.000397965</v>
      </c>
      <c r="H31" s="618">
        <f t="shared" si="17"/>
        <v>0</v>
      </c>
      <c r="I31" s="618"/>
      <c r="J31" s="618">
        <f t="shared" si="17"/>
        <v>0</v>
      </c>
      <c r="K31" s="618"/>
      <c r="L31" s="618">
        <f t="shared" si="17"/>
        <v>0</v>
      </c>
      <c r="M31" s="618"/>
      <c r="N31" s="618">
        <f t="shared" si="17"/>
        <v>0</v>
      </c>
      <c r="O31" s="618"/>
      <c r="P31" s="618">
        <f t="shared" si="18"/>
        <v>0</v>
      </c>
      <c r="Q31" s="618"/>
      <c r="R31" s="618">
        <f t="shared" si="19"/>
        <v>0</v>
      </c>
      <c r="S31" s="529">
        <f>ROW()</f>
        <v>31</v>
      </c>
      <c r="T31" s="679" t="s">
        <v>378</v>
      </c>
      <c r="V31" s="813"/>
      <c r="W31" s="620"/>
      <c r="X31" s="74">
        <f>+W31+V31</f>
        <v>0</v>
      </c>
      <c r="Y31" s="74">
        <f>-X31</f>
        <v>0</v>
      </c>
      <c r="Z31" s="74"/>
      <c r="AB31" s="74"/>
      <c r="AD31" s="74"/>
      <c r="AF31" s="74"/>
      <c r="AG31" s="20"/>
      <c r="AH31" s="42"/>
      <c r="AI31" s="20"/>
      <c r="AJ31" s="42"/>
      <c r="AK31" s="22">
        <f>ROW()</f>
        <v>31</v>
      </c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22">
        <f>ROW()</f>
        <v>31</v>
      </c>
      <c r="BB31" s="814" t="s">
        <v>379</v>
      </c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T31" s="102"/>
      <c r="BU31" s="102"/>
      <c r="BV31" s="102"/>
      <c r="BW31"/>
      <c r="BX31"/>
      <c r="BY31"/>
      <c r="BZ31"/>
      <c r="CA31"/>
      <c r="CB31"/>
      <c r="CC31"/>
      <c r="CD31"/>
      <c r="CE31"/>
      <c r="CF31"/>
      <c r="CG31" s="815">
        <v>2.5000000000000001E-2</v>
      </c>
      <c r="CH31" s="815">
        <v>2.5000000000000001E-2</v>
      </c>
      <c r="CI31" s="815">
        <v>2.5000000000000001E-2</v>
      </c>
      <c r="CJ31" s="815">
        <v>2.5000000000000001E-2</v>
      </c>
      <c r="DC31" s="1"/>
      <c r="DD31" s="1"/>
      <c r="DE31" s="1"/>
      <c r="DF31" s="1"/>
      <c r="DG31" s="1"/>
      <c r="DH31" s="1"/>
      <c r="DI31" s="1"/>
      <c r="DJ31" s="1"/>
      <c r="FW31" s="22">
        <f>ROW()</f>
        <v>31</v>
      </c>
      <c r="FX31" s="480" t="s">
        <v>240</v>
      </c>
      <c r="FZ31" s="816">
        <f t="shared" ref="FZ31:GI31" si="146">-FZ28-FZ30</f>
        <v>-9142450.4964195415</v>
      </c>
      <c r="GA31" s="816">
        <f>-GA28-GA30</f>
        <v>3219883.4385292572</v>
      </c>
      <c r="GB31" s="816">
        <f t="shared" si="146"/>
        <v>-5922567.0578902839</v>
      </c>
      <c r="GC31" s="816">
        <f t="shared" si="146"/>
        <v>-754321.79533689353</v>
      </c>
      <c r="GD31" s="816">
        <f t="shared" si="146"/>
        <v>-6676888.8532271786</v>
      </c>
      <c r="GE31" s="816">
        <f t="shared" si="146"/>
        <v>-313832.77429169288</v>
      </c>
      <c r="GF31" s="816">
        <f t="shared" si="146"/>
        <v>-6990721.6275188718</v>
      </c>
      <c r="GG31" s="816">
        <f t="shared" si="146"/>
        <v>-69979.760459128389</v>
      </c>
      <c r="GH31" s="816">
        <f t="shared" si="146"/>
        <v>-7060701.3879779996</v>
      </c>
      <c r="GI31" s="816">
        <f t="shared" si="146"/>
        <v>-4069.3607009257348</v>
      </c>
      <c r="GJ31" s="816">
        <f>-GJ28-GJ30</f>
        <v>-7064770.7486789254</v>
      </c>
      <c r="GK31" s="816">
        <f>-GK28-GK30</f>
        <v>0</v>
      </c>
      <c r="GL31" s="816">
        <f>-GL28-GL30</f>
        <v>-7064770.7486789254</v>
      </c>
      <c r="GM31" s="816">
        <f>-GM28-GM30</f>
        <v>0</v>
      </c>
      <c r="GN31" s="816">
        <f>-GN28-GN30</f>
        <v>-7064770.7486789254</v>
      </c>
      <c r="GO31" s="22">
        <f>ROW()</f>
        <v>31</v>
      </c>
      <c r="GP31" s="4" t="s">
        <v>243</v>
      </c>
      <c r="GQ31" s="480"/>
      <c r="GR31" s="538">
        <f t="shared" ref="GR31:HF31" si="147">SUM(GR29:GR30)</f>
        <v>9477520.7832948007</v>
      </c>
      <c r="GS31" s="538">
        <f t="shared" si="147"/>
        <v>502786.54106777551</v>
      </c>
      <c r="GT31" s="538">
        <f t="shared" si="147"/>
        <v>9980307.324362576</v>
      </c>
      <c r="GU31" s="538">
        <f t="shared" si="147"/>
        <v>0</v>
      </c>
      <c r="GV31" s="538">
        <f t="shared" si="147"/>
        <v>9980307.324362576</v>
      </c>
      <c r="GW31" s="538">
        <f t="shared" si="147"/>
        <v>0</v>
      </c>
      <c r="GX31" s="538">
        <f t="shared" si="147"/>
        <v>9980307.324362576</v>
      </c>
      <c r="GY31" s="538">
        <f t="shared" si="147"/>
        <v>0</v>
      </c>
      <c r="GZ31" s="538">
        <f t="shared" si="147"/>
        <v>9980307.324362576</v>
      </c>
      <c r="HA31" s="538">
        <f t="shared" si="147"/>
        <v>0</v>
      </c>
      <c r="HB31" s="538">
        <f t="shared" si="147"/>
        <v>9980307.324362576</v>
      </c>
      <c r="HC31" s="538">
        <f t="shared" si="147"/>
        <v>0</v>
      </c>
      <c r="HD31" s="538">
        <f t="shared" si="147"/>
        <v>0</v>
      </c>
      <c r="HE31" s="538">
        <f t="shared" si="147"/>
        <v>0</v>
      </c>
      <c r="HF31" s="538">
        <f t="shared" si="147"/>
        <v>0</v>
      </c>
      <c r="HG31" s="543"/>
      <c r="HH31" s="543"/>
      <c r="HI31" s="543"/>
      <c r="HJ31" s="543"/>
      <c r="HK31" s="543"/>
      <c r="HL31" s="543"/>
      <c r="HM31" s="543"/>
      <c r="HN31" s="543"/>
      <c r="HO31" s="543"/>
      <c r="HP31" s="543"/>
      <c r="HQ31" s="543"/>
      <c r="HR31" s="543"/>
      <c r="HS31" s="543"/>
      <c r="HT31" s="543"/>
      <c r="HU31" s="543"/>
      <c r="HV31" s="543"/>
      <c r="HW31" s="543"/>
      <c r="HX31" s="543"/>
      <c r="HY31" s="543"/>
      <c r="HZ31" s="543"/>
      <c r="IA31" s="543"/>
      <c r="IB31" s="543"/>
      <c r="IC31" s="543"/>
      <c r="ID31" s="543"/>
      <c r="IE31" s="543"/>
      <c r="IF31" s="543"/>
      <c r="IG31" s="543"/>
      <c r="IH31" s="543"/>
      <c r="II31" s="543"/>
      <c r="IJ31" s="543"/>
      <c r="IK31" s="543"/>
      <c r="IL31" s="543"/>
      <c r="IM31" s="543"/>
      <c r="IN31" s="543"/>
      <c r="IO31" s="543"/>
      <c r="IP31" s="543"/>
      <c r="IQ31" s="102"/>
      <c r="IR31" s="102"/>
      <c r="IS31" s="102"/>
      <c r="IT31" s="102"/>
      <c r="IU31" s="102"/>
      <c r="IV31" s="102"/>
      <c r="IW31" s="102"/>
      <c r="IX31" s="102"/>
      <c r="IY31" s="102"/>
      <c r="IZ31" s="102"/>
      <c r="JA31" s="102"/>
      <c r="JB31" s="102"/>
      <c r="JC31" s="102"/>
      <c r="JD31" s="102"/>
      <c r="JE31" s="102"/>
      <c r="JF31" s="102"/>
      <c r="JG31" s="102"/>
      <c r="JH31" s="102"/>
      <c r="JI31" s="102"/>
      <c r="JJ31" s="102"/>
      <c r="JK31" s="102"/>
      <c r="JL31" s="102"/>
      <c r="JM31" s="102"/>
      <c r="JN31" s="102"/>
      <c r="JO31" s="102"/>
      <c r="JP31" s="102"/>
      <c r="JQ31" s="102"/>
      <c r="JR31" s="102"/>
      <c r="JS31" s="102"/>
      <c r="JT31" s="102"/>
      <c r="JU31" s="102"/>
      <c r="JV31" s="102"/>
      <c r="JW31" s="102"/>
      <c r="JX31" s="102"/>
      <c r="JY31" s="102"/>
      <c r="JZ31" s="102"/>
      <c r="KS31" s="22">
        <f>ROW()</f>
        <v>31</v>
      </c>
      <c r="KT31" s="480" t="s">
        <v>311</v>
      </c>
      <c r="KU31" s="798">
        <v>0.21</v>
      </c>
      <c r="KV31" s="817">
        <f>-KV30*$KU$31</f>
        <v>-29934846.860483326</v>
      </c>
      <c r="KW31" s="817">
        <f>-KW30*$KU$31</f>
        <v>-1753212.5914906659</v>
      </c>
      <c r="KX31" s="817">
        <f>-KX30*$KU$31</f>
        <v>-31688059.451973993</v>
      </c>
      <c r="KY31" s="817">
        <f>-KY30*$KU$31</f>
        <v>0</v>
      </c>
      <c r="KZ31" s="817">
        <f>-KZ30*$KU$31</f>
        <v>-31688059.451973993</v>
      </c>
      <c r="LA31" s="817">
        <f t="shared" ref="LA31:LI31" si="148">-LA30*$KU$31</f>
        <v>0</v>
      </c>
      <c r="LB31" s="817">
        <f t="shared" si="148"/>
        <v>-31688059.451973993</v>
      </c>
      <c r="LC31" s="817">
        <f t="shared" si="148"/>
        <v>0</v>
      </c>
      <c r="LD31" s="817">
        <f t="shared" si="148"/>
        <v>-31688059.451973993</v>
      </c>
      <c r="LE31" s="817">
        <f t="shared" si="148"/>
        <v>0</v>
      </c>
      <c r="LF31" s="817">
        <f t="shared" si="148"/>
        <v>-31688059.451973993</v>
      </c>
      <c r="LG31" s="817">
        <f t="shared" si="148"/>
        <v>0</v>
      </c>
      <c r="LH31" s="817">
        <f>-LH30*$KU$31</f>
        <v>0</v>
      </c>
      <c r="LI31" s="817">
        <f t="shared" si="148"/>
        <v>0</v>
      </c>
      <c r="LJ31" s="817">
        <f>-LJ30*$KU$31</f>
        <v>0</v>
      </c>
      <c r="LK31" s="22"/>
      <c r="MC31" s="22">
        <f>ROW()</f>
        <v>31</v>
      </c>
      <c r="MD31" s="555" t="s">
        <v>240</v>
      </c>
      <c r="MF31" s="725">
        <f>-MF27-MF29</f>
        <v>-360048334.71732533</v>
      </c>
      <c r="MG31" s="725">
        <f>-MG27-MG29</f>
        <v>3150854.051515731</v>
      </c>
      <c r="MH31" s="725">
        <f>-MH27-MH29</f>
        <v>-356897480.66580957</v>
      </c>
      <c r="MI31" s="725">
        <f>-MI27-MI29</f>
        <v>0</v>
      </c>
      <c r="MJ31" s="725">
        <f t="shared" ref="MJ31:MT31" si="149">-MJ27-MJ29</f>
        <v>-356897480.66580957</v>
      </c>
      <c r="MK31" s="725">
        <f t="shared" si="149"/>
        <v>0</v>
      </c>
      <c r="ML31" s="725">
        <f t="shared" si="149"/>
        <v>-356897480.66580957</v>
      </c>
      <c r="MM31" s="725">
        <f t="shared" si="149"/>
        <v>0</v>
      </c>
      <c r="MN31" s="725">
        <f t="shared" si="149"/>
        <v>-356897480.66580957</v>
      </c>
      <c r="MO31" s="725">
        <f t="shared" si="149"/>
        <v>0</v>
      </c>
      <c r="MP31" s="725">
        <f t="shared" si="149"/>
        <v>-356897480.66580957</v>
      </c>
      <c r="MQ31" s="725">
        <f t="shared" si="149"/>
        <v>0</v>
      </c>
      <c r="MR31" s="725">
        <f t="shared" si="149"/>
        <v>0</v>
      </c>
      <c r="MS31" s="725">
        <f t="shared" si="149"/>
        <v>0</v>
      </c>
      <c r="MT31" s="725">
        <f t="shared" si="149"/>
        <v>0</v>
      </c>
      <c r="MU31" s="22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50"/>
      <c r="NJ31" s="50"/>
      <c r="NK31" s="50"/>
      <c r="NL31" s="50"/>
      <c r="NM31" s="22">
        <f>ROW()</f>
        <v>31</v>
      </c>
      <c r="NN31" s="810" t="s">
        <v>380</v>
      </c>
      <c r="NO31" s="798"/>
      <c r="NP31" s="64">
        <f>-NP28</f>
        <v>0</v>
      </c>
      <c r="NQ31" s="64">
        <f t="shared" ref="NQ31:NW31" si="150">-NQ28</f>
        <v>0</v>
      </c>
      <c r="NR31" s="64">
        <f t="shared" si="150"/>
        <v>0</v>
      </c>
      <c r="NS31" s="64">
        <f t="shared" si="150"/>
        <v>0</v>
      </c>
      <c r="NT31" s="64">
        <f t="shared" si="150"/>
        <v>0</v>
      </c>
      <c r="NU31" s="64">
        <f t="shared" si="150"/>
        <v>0</v>
      </c>
      <c r="NV31" s="794">
        <f t="shared" si="150"/>
        <v>-555808809.25116348</v>
      </c>
      <c r="NW31" s="641">
        <f t="shared" si="150"/>
        <v>-30475070.386487197</v>
      </c>
      <c r="NX31" s="747">
        <f>-NX28</f>
        <v>-586283879.63765061</v>
      </c>
      <c r="NY31" s="641">
        <f>-NY28</f>
        <v>-20732302.603377342</v>
      </c>
      <c r="NZ31" s="747">
        <f>-NZ28</f>
        <v>-607016182.24102807</v>
      </c>
      <c r="OA31" s="641"/>
      <c r="OB31" s="641"/>
      <c r="OC31" s="641"/>
      <c r="OD31" s="641"/>
      <c r="OE31" s="482">
        <f>ROW()</f>
        <v>31</v>
      </c>
      <c r="OF31" s="1" t="s">
        <v>306</v>
      </c>
      <c r="OH31" s="818"/>
      <c r="OI31" s="818"/>
      <c r="OJ31" s="818"/>
      <c r="OK31" s="818"/>
      <c r="OL31" s="818"/>
      <c r="OM31"/>
      <c r="ON31"/>
      <c r="OO31"/>
      <c r="OP31"/>
      <c r="OQ31"/>
      <c r="OR31"/>
      <c r="OS31" s="772"/>
      <c r="OT31" s="772"/>
      <c r="OU31" s="772"/>
      <c r="OV31" s="772"/>
      <c r="OW31" s="22">
        <f>ROW()</f>
        <v>31</v>
      </c>
      <c r="OX31" s="644" t="s">
        <v>381</v>
      </c>
      <c r="OY31" s="598"/>
      <c r="OZ31" s="63">
        <v>-3585977.1385614835</v>
      </c>
      <c r="PA31" s="63">
        <v>2308848.4090458713</v>
      </c>
      <c r="PB31" s="63">
        <f>SUM(OZ31:PA31)</f>
        <v>-1277128.7295156121</v>
      </c>
      <c r="PC31" s="63">
        <v>-2308848.4090458713</v>
      </c>
      <c r="PD31" s="600">
        <f>SUM(PB31:PC31)</f>
        <v>-3585977.1385614835</v>
      </c>
      <c r="PE31" s="63">
        <v>0</v>
      </c>
      <c r="PF31" s="600">
        <f>SUM(PD31:PE31)</f>
        <v>-3585977.1385614835</v>
      </c>
      <c r="PG31" s="63">
        <v>0</v>
      </c>
      <c r="PH31" s="647">
        <f>SUM(PF31:PG31)</f>
        <v>-3585977.1385614835</v>
      </c>
      <c r="PI31" s="63">
        <v>0</v>
      </c>
      <c r="PJ31" s="647">
        <f>SUM(PH31:PI31)</f>
        <v>-3585977.1385614835</v>
      </c>
      <c r="PK31" s="666">
        <v>0</v>
      </c>
      <c r="PL31" s="647">
        <f t="shared" si="142"/>
        <v>-3585977.1385614835</v>
      </c>
      <c r="PM31" s="666">
        <v>0</v>
      </c>
      <c r="PN31" s="647">
        <f t="shared" si="143"/>
        <v>-3585977.1385614835</v>
      </c>
      <c r="PO31" s="7"/>
      <c r="PP31" s="7"/>
      <c r="PQ31" s="7"/>
      <c r="PR31" s="7"/>
      <c r="PS31" s="102"/>
      <c r="PT31" s="102"/>
      <c r="PU31" s="102"/>
      <c r="PV31" s="102"/>
      <c r="PW31" s="102"/>
      <c r="PX31" s="102"/>
      <c r="PY31" s="102"/>
      <c r="PZ31" s="102"/>
      <c r="QA31" s="102"/>
      <c r="QB31" s="102"/>
      <c r="QC31" s="102"/>
      <c r="QD31" s="102"/>
      <c r="QE31" s="102"/>
      <c r="QF31" s="102"/>
      <c r="QG31" s="102"/>
      <c r="QH31" s="102"/>
      <c r="QI31" s="102"/>
      <c r="QJ31" s="102"/>
      <c r="RC31" s="22">
        <f>ROW()</f>
        <v>31</v>
      </c>
      <c r="RD31" s="102" t="s">
        <v>240</v>
      </c>
      <c r="RF31" s="773"/>
      <c r="RG31" s="773"/>
      <c r="RH31" s="1209">
        <f t="shared" ref="RH31:RT31" si="151">-RH27-RH29</f>
        <v>-327229797.63730955</v>
      </c>
      <c r="RI31" s="1209">
        <f t="shared" si="151"/>
        <v>-885933.75207547843</v>
      </c>
      <c r="RJ31" s="1209">
        <f t="shared" si="151"/>
        <v>-328115731.38938504</v>
      </c>
      <c r="RK31" s="1209">
        <f t="shared" si="151"/>
        <v>3193600.8028125861</v>
      </c>
      <c r="RL31" s="1209">
        <f t="shared" si="151"/>
        <v>-324922130.58657247</v>
      </c>
      <c r="RM31" s="1209">
        <f t="shared" si="151"/>
        <v>4888615.928123828</v>
      </c>
      <c r="RN31" s="1209">
        <f t="shared" si="151"/>
        <v>-320033514.65844864</v>
      </c>
      <c r="RO31" s="1209">
        <f t="shared" si="151"/>
        <v>17358777.87647894</v>
      </c>
      <c r="RP31" s="1209">
        <f t="shared" si="151"/>
        <v>-302674736.78196973</v>
      </c>
      <c r="RQ31" s="773">
        <f t="shared" si="151"/>
        <v>0</v>
      </c>
      <c r="RR31" s="773">
        <f t="shared" si="151"/>
        <v>80457841.423055232</v>
      </c>
      <c r="RS31" s="773">
        <f t="shared" si="151"/>
        <v>0</v>
      </c>
      <c r="RT31" s="773">
        <f t="shared" si="151"/>
        <v>80457841.423055232</v>
      </c>
      <c r="RU31" s="521">
        <f>ROW()</f>
        <v>31</v>
      </c>
      <c r="RV31" s="520"/>
      <c r="RW31" s="520"/>
      <c r="RX31" s="520"/>
      <c r="RY31" s="520"/>
      <c r="RZ31" s="520"/>
      <c r="SA31" s="43"/>
      <c r="SB31" s="43"/>
      <c r="SC31" s="43"/>
      <c r="SD31" s="43"/>
      <c r="SE31" s="43"/>
      <c r="SF31" s="43"/>
      <c r="SG31" s="43"/>
      <c r="SH31" s="43"/>
      <c r="SI31" s="520"/>
      <c r="SJ31" s="520"/>
      <c r="SK31" s="520"/>
      <c r="SL31" s="520"/>
      <c r="SM31" s="521">
        <f>ROW()</f>
        <v>31</v>
      </c>
      <c r="SN31" s="102" t="s">
        <v>382</v>
      </c>
      <c r="SO31" s="608"/>
      <c r="SP31" s="819"/>
      <c r="SQ31" s="819"/>
      <c r="SR31" s="819"/>
      <c r="SS31" s="821">
        <f>SUM(SS28:SS30)</f>
        <v>193636571.05324996</v>
      </c>
      <c r="ST31" s="821">
        <f t="shared" ref="ST31:TD31" si="152">SUM(ST28:ST30)</f>
        <v>193636571.05324996</v>
      </c>
      <c r="SU31" s="821">
        <f t="shared" si="152"/>
        <v>372227780.35451001</v>
      </c>
      <c r="SV31" s="821">
        <f t="shared" si="152"/>
        <v>565864351.40776002</v>
      </c>
      <c r="SW31" s="821">
        <f t="shared" si="152"/>
        <v>140816957.66638008</v>
      </c>
      <c r="SX31" s="821">
        <f t="shared" si="152"/>
        <v>706681309.07414007</v>
      </c>
      <c r="SY31" s="821">
        <f t="shared" si="152"/>
        <v>418971407.62234509</v>
      </c>
      <c r="SZ31" s="821">
        <f t="shared" si="152"/>
        <v>1125652716.696485</v>
      </c>
      <c r="TA31" s="819">
        <f t="shared" si="152"/>
        <v>0</v>
      </c>
      <c r="TB31" s="819">
        <f t="shared" si="152"/>
        <v>0</v>
      </c>
      <c r="TC31" s="819">
        <f t="shared" si="152"/>
        <v>0</v>
      </c>
      <c r="TD31" s="819">
        <f t="shared" si="152"/>
        <v>0</v>
      </c>
      <c r="TF31" s="950">
        <f>ROW()</f>
        <v>31</v>
      </c>
      <c r="TG31" s="477" t="s">
        <v>265</v>
      </c>
      <c r="TH31" s="610"/>
      <c r="TI31" s="651">
        <f>SUM(TI27:TI30)</f>
        <v>-94787979.607000008</v>
      </c>
      <c r="TJ31" s="651">
        <f>SUM(TJ27:TJ30)</f>
        <v>94787979.607000008</v>
      </c>
      <c r="TK31" s="17"/>
      <c r="TL31" s="651"/>
      <c r="TM31" s="17"/>
      <c r="TN31" s="651"/>
      <c r="TO31" s="17"/>
      <c r="TP31" s="651"/>
      <c r="TQ31" s="17"/>
      <c r="TR31" s="651"/>
      <c r="TS31" s="17"/>
      <c r="TV31" s="938"/>
      <c r="TW31" s="938"/>
      <c r="TX31" s="937"/>
      <c r="TY31" s="20"/>
      <c r="TZ31" s="937"/>
      <c r="UA31" s="20"/>
      <c r="UB31" s="937"/>
      <c r="UC31" s="20"/>
      <c r="UD31" s="937"/>
      <c r="UE31" s="20"/>
      <c r="UF31" s="937"/>
      <c r="UG31" s="20"/>
      <c r="UH31" s="937"/>
      <c r="UJ31" s="521"/>
      <c r="UK31" s="20"/>
      <c r="UL31" s="610"/>
      <c r="UM31" s="633"/>
      <c r="UN31" s="633"/>
      <c r="UO31" s="633"/>
      <c r="UP31" s="633"/>
      <c r="UQ31" s="633"/>
      <c r="UR31" s="633"/>
      <c r="US31" s="633"/>
      <c r="UT31" s="633"/>
      <c r="UU31" s="633"/>
      <c r="UV31" s="633"/>
      <c r="UW31" s="633"/>
      <c r="UY31" s="521">
        <f>ROW()</f>
        <v>31</v>
      </c>
      <c r="UZ31" s="694" t="s">
        <v>240</v>
      </c>
      <c r="VB31" s="715">
        <f t="shared" ref="VB31:VL31" si="153">-VB28-VB30</f>
        <v>109575.52009999999</v>
      </c>
      <c r="VC31" s="715">
        <f t="shared" si="153"/>
        <v>-109575.52009999999</v>
      </c>
      <c r="VD31" s="715">
        <f t="shared" si="153"/>
        <v>0</v>
      </c>
      <c r="VE31" s="715">
        <f t="shared" si="153"/>
        <v>0</v>
      </c>
      <c r="VF31" s="715">
        <f t="shared" si="153"/>
        <v>0</v>
      </c>
      <c r="VG31" s="715">
        <f t="shared" si="153"/>
        <v>0</v>
      </c>
      <c r="VH31" s="715">
        <f t="shared" si="153"/>
        <v>0</v>
      </c>
      <c r="VI31" s="715">
        <f t="shared" si="153"/>
        <v>-5924999.9999999627</v>
      </c>
      <c r="VJ31" s="715">
        <f t="shared" si="153"/>
        <v>-5924999.9999999627</v>
      </c>
      <c r="VK31" s="715">
        <f t="shared" si="153"/>
        <v>0</v>
      </c>
      <c r="VL31" s="715">
        <f t="shared" si="153"/>
        <v>-5924999.9999999627</v>
      </c>
    </row>
    <row r="32" spans="1:614" ht="16.5" thickTop="1" thickBot="1" x14ac:dyDescent="0.3">
      <c r="A32" s="22">
        <f>ROW()</f>
        <v>32</v>
      </c>
      <c r="B32" s="510" t="s">
        <v>383</v>
      </c>
      <c r="C32" s="23"/>
      <c r="D32" s="618"/>
      <c r="E32" s="618"/>
      <c r="F32" s="618"/>
      <c r="G32" s="640"/>
      <c r="H32" s="618"/>
      <c r="I32" s="618"/>
      <c r="J32" s="618"/>
      <c r="K32" s="618"/>
      <c r="L32" s="618"/>
      <c r="M32" s="618"/>
      <c r="N32" s="618"/>
      <c r="O32" s="618"/>
      <c r="P32" s="618"/>
      <c r="Q32" s="618"/>
      <c r="R32" s="618"/>
      <c r="S32" s="529">
        <f>ROW()</f>
        <v>32</v>
      </c>
      <c r="T32" s="679" t="s">
        <v>384</v>
      </c>
      <c r="V32" s="620">
        <v>-2466633.94</v>
      </c>
      <c r="X32" s="74">
        <f>+W32+V32</f>
        <v>-2466633.94</v>
      </c>
      <c r="Y32" s="74">
        <f>-X32</f>
        <v>2466633.94</v>
      </c>
      <c r="AG32" s="20"/>
      <c r="AH32" s="42"/>
      <c r="AI32" s="20"/>
      <c r="AJ32" s="42"/>
      <c r="AK32" s="22">
        <f>ROW()</f>
        <v>32</v>
      </c>
      <c r="AL32" s="1" t="str">
        <f>"PORTION OF LINE "&amp;AK20&amp;" ASSOCIATED WITH RETAIL CUSTOMERS"</f>
        <v>PORTION OF LINE 20 ASSOCIATED WITH RETAIL CUSTOMERS</v>
      </c>
      <c r="AO32" s="95">
        <v>-60848842</v>
      </c>
      <c r="AP32" s="50"/>
      <c r="AQ32" s="51"/>
      <c r="AS32" s="51"/>
      <c r="AT32" s="51"/>
      <c r="AU32" s="51"/>
      <c r="AV32" s="51"/>
      <c r="AW32" s="51"/>
      <c r="AX32" s="51"/>
      <c r="AY32" s="51"/>
      <c r="AZ32" s="51"/>
      <c r="BA32" s="22"/>
      <c r="BB32" s="21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T32" s="102"/>
      <c r="BU32" s="102"/>
      <c r="BV32" s="102"/>
      <c r="BW32"/>
      <c r="BX32"/>
      <c r="BY32"/>
      <c r="BZ32"/>
      <c r="CA32"/>
      <c r="CB32"/>
      <c r="CC32"/>
      <c r="CD32"/>
      <c r="CE32"/>
      <c r="CF32"/>
      <c r="CG32" s="820">
        <v>-465743.67578461766</v>
      </c>
      <c r="CH32" s="820">
        <v>139585977.18885657</v>
      </c>
      <c r="CI32" s="820">
        <v>-424891.35119119287</v>
      </c>
      <c r="CJ32" s="820">
        <v>139161085.83766538</v>
      </c>
      <c r="DC32" s="1"/>
      <c r="DD32" s="1"/>
      <c r="DE32" s="1"/>
      <c r="DF32" s="1"/>
      <c r="DG32" s="1"/>
      <c r="DH32" s="1"/>
      <c r="DI32" s="1"/>
      <c r="DJ32" s="1"/>
      <c r="GO32" s="22">
        <f>ROW()</f>
        <v>32</v>
      </c>
      <c r="GP32" s="4"/>
      <c r="GQ32" s="480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IQ32" s="102"/>
      <c r="IR32" s="102"/>
      <c r="IS32" s="102"/>
      <c r="IT32" s="102"/>
      <c r="IU32" s="102"/>
      <c r="IV32" s="102"/>
      <c r="IW32" s="102"/>
      <c r="IX32" s="102"/>
      <c r="IY32" s="102"/>
      <c r="IZ32" s="102"/>
      <c r="JA32" s="102"/>
      <c r="JB32" s="102"/>
      <c r="JC32" s="102"/>
      <c r="JD32" s="102"/>
      <c r="JE32" s="102"/>
      <c r="JF32" s="102"/>
      <c r="JG32" s="102"/>
      <c r="JH32" s="102"/>
      <c r="JI32" s="102"/>
      <c r="JJ32" s="102"/>
      <c r="JK32" s="102"/>
      <c r="JL32" s="102"/>
      <c r="JM32" s="102"/>
      <c r="JN32" s="102"/>
      <c r="JO32" s="102"/>
      <c r="JP32" s="102"/>
      <c r="JQ32" s="102"/>
      <c r="JR32" s="102"/>
      <c r="JS32" s="102"/>
      <c r="JT32" s="102"/>
      <c r="JU32" s="102"/>
      <c r="JV32" s="102"/>
      <c r="JW32" s="102"/>
      <c r="JX32" s="102"/>
      <c r="JY32" s="102"/>
      <c r="JZ32" s="102"/>
      <c r="KS32" s="22">
        <f>ROW()</f>
        <v>32</v>
      </c>
      <c r="KT32" s="480" t="s">
        <v>240</v>
      </c>
      <c r="KV32" s="821">
        <f>-KV30-KV31</f>
        <v>-112612042.95134205</v>
      </c>
      <c r="KW32" s="821">
        <f>-KW30-KW31</f>
        <v>-6595418.7965601254</v>
      </c>
      <c r="KX32" s="821">
        <f>-KX30-KX31</f>
        <v>-119207461.74790217</v>
      </c>
      <c r="KY32" s="821">
        <f>-KY30-KY31</f>
        <v>0</v>
      </c>
      <c r="KZ32" s="821">
        <f>-KZ30-KZ31</f>
        <v>-119207461.74790217</v>
      </c>
      <c r="LA32" s="821">
        <f t="shared" ref="LA32:LI32" si="154">-LA30-LA31</f>
        <v>0</v>
      </c>
      <c r="LB32" s="821">
        <f t="shared" si="154"/>
        <v>-119207461.74790217</v>
      </c>
      <c r="LC32" s="821">
        <f t="shared" si="154"/>
        <v>0</v>
      </c>
      <c r="LD32" s="821">
        <f t="shared" si="154"/>
        <v>-119207461.74790217</v>
      </c>
      <c r="LE32" s="821">
        <f t="shared" si="154"/>
        <v>0</v>
      </c>
      <c r="LF32" s="821">
        <f t="shared" si="154"/>
        <v>-119207461.74790217</v>
      </c>
      <c r="LG32" s="821">
        <f t="shared" si="154"/>
        <v>0</v>
      </c>
      <c r="LH32" s="821">
        <f>-LH30-LH31</f>
        <v>0</v>
      </c>
      <c r="LI32" s="821">
        <f t="shared" si="154"/>
        <v>0</v>
      </c>
      <c r="LJ32" s="821">
        <f>-LJ30-LJ31</f>
        <v>0</v>
      </c>
      <c r="MC32" s="22">
        <f>ROW()</f>
        <v>32</v>
      </c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22"/>
      <c r="MV32" s="609"/>
      <c r="MW32" s="1193"/>
      <c r="MX32" s="1193"/>
      <c r="MY32" s="1193"/>
      <c r="MZ32" s="1193"/>
      <c r="NA32" s="1193"/>
      <c r="NB32" s="1193"/>
      <c r="NC32" s="1193"/>
      <c r="ND32" s="1193"/>
      <c r="NE32" s="1193"/>
      <c r="NF32" s="1193"/>
      <c r="NG32" s="1193"/>
      <c r="NH32" s="1193"/>
      <c r="NI32" s="549"/>
      <c r="NJ32" s="549"/>
      <c r="NK32" s="549"/>
      <c r="NL32" s="549"/>
      <c r="NM32" s="22">
        <f>ROW()</f>
        <v>32</v>
      </c>
      <c r="NN32" s="810" t="s">
        <v>283</v>
      </c>
      <c r="NO32" s="822">
        <v>0.21</v>
      </c>
      <c r="NP32" s="647">
        <f t="shared" ref="NP32:NW32" si="155">NP31*$NO$32</f>
        <v>0</v>
      </c>
      <c r="NQ32" s="647">
        <f t="shared" si="155"/>
        <v>0</v>
      </c>
      <c r="NR32" s="647">
        <f t="shared" si="155"/>
        <v>0</v>
      </c>
      <c r="NS32" s="647">
        <f t="shared" si="155"/>
        <v>0</v>
      </c>
      <c r="NT32" s="647">
        <f t="shared" si="155"/>
        <v>0</v>
      </c>
      <c r="NU32" s="647">
        <f t="shared" si="155"/>
        <v>0</v>
      </c>
      <c r="NV32" s="823">
        <f t="shared" si="155"/>
        <v>-116719849.94274433</v>
      </c>
      <c r="NW32" s="647">
        <f t="shared" si="155"/>
        <v>-6399764.7811623113</v>
      </c>
      <c r="NX32" s="823">
        <f>NX31*$NO$32</f>
        <v>-123119614.72390662</v>
      </c>
      <c r="NY32" s="647">
        <f>NY31*$NO$32</f>
        <v>-4353783.5467092413</v>
      </c>
      <c r="NZ32" s="823">
        <f>NZ31*$NO$32</f>
        <v>-127473398.27061589</v>
      </c>
      <c r="OA32" s="647"/>
      <c r="OB32" s="647"/>
      <c r="OC32" s="647"/>
      <c r="OD32" s="647"/>
      <c r="OE32" s="482">
        <f>ROW()</f>
        <v>32</v>
      </c>
      <c r="OF32" s="1" t="s">
        <v>313</v>
      </c>
      <c r="OH32" s="667">
        <f>-OH30</f>
        <v>4730967.9799999986</v>
      </c>
      <c r="OI32" s="667">
        <f>-OI30</f>
        <v>0</v>
      </c>
      <c r="OJ32" s="667">
        <f>-OJ30</f>
        <v>4730967.9799999986</v>
      </c>
      <c r="OK32" s="667">
        <f>-OK30</f>
        <v>-4730967.9799999986</v>
      </c>
      <c r="OL32" s="667">
        <f>-OL30</f>
        <v>0</v>
      </c>
      <c r="OM32"/>
      <c r="ON32"/>
      <c r="OO32"/>
      <c r="OP32"/>
      <c r="OQ32"/>
      <c r="OR32"/>
      <c r="OS32" s="600"/>
      <c r="OT32" s="600"/>
      <c r="OU32" s="600"/>
      <c r="OV32" s="600"/>
      <c r="OW32" s="22">
        <f>ROW()</f>
        <v>32</v>
      </c>
      <c r="OX32" s="644"/>
      <c r="OZ32" s="63"/>
      <c r="PA32" s="63"/>
      <c r="PB32" s="63">
        <f>SUM(OZ32:PA32)</f>
        <v>0</v>
      </c>
      <c r="PC32" s="63"/>
      <c r="PD32" s="600">
        <f>SUM(PB32:PC32)</f>
        <v>0</v>
      </c>
      <c r="PE32" s="600"/>
      <c r="PF32" s="600">
        <f>SUM(PD32:PE32)</f>
        <v>0</v>
      </c>
      <c r="PG32" s="647"/>
      <c r="PH32" s="647">
        <f>SUM(PF32:PG32)</f>
        <v>0</v>
      </c>
      <c r="PI32" s="647"/>
      <c r="PJ32" s="647">
        <f>SUM(PH32:PI32)</f>
        <v>0</v>
      </c>
      <c r="PK32" s="647"/>
      <c r="PL32" s="647">
        <f t="shared" si="142"/>
        <v>0</v>
      </c>
      <c r="PM32" s="647"/>
      <c r="PN32" s="647">
        <f t="shared" si="143"/>
        <v>0</v>
      </c>
      <c r="PO32" s="7"/>
      <c r="PP32" s="7"/>
      <c r="PQ32" s="7"/>
      <c r="PR32" s="7"/>
      <c r="PS32" s="102"/>
      <c r="PT32" s="102"/>
      <c r="PU32" s="102"/>
      <c r="PV32" s="102"/>
      <c r="PW32" s="102"/>
      <c r="PX32" s="102"/>
      <c r="PY32" s="102"/>
      <c r="PZ32" s="102"/>
      <c r="QA32" s="102"/>
      <c r="QB32" s="102"/>
      <c r="QC32" s="102"/>
      <c r="QD32" s="102"/>
      <c r="QE32" s="102"/>
      <c r="QF32" s="102"/>
      <c r="QG32" s="102"/>
      <c r="QH32" s="102"/>
      <c r="QI32" s="102"/>
      <c r="QJ32" s="102"/>
      <c r="RC32" s="22">
        <f>ROW()</f>
        <v>32</v>
      </c>
      <c r="RF32" s="520"/>
      <c r="RG32" s="520"/>
      <c r="RH32" s="43"/>
      <c r="RI32" s="43"/>
      <c r="RJ32" s="43"/>
      <c r="RK32" s="43"/>
      <c r="RL32" s="43"/>
      <c r="RM32" s="43"/>
      <c r="RN32" s="43"/>
      <c r="RO32" s="43"/>
      <c r="RP32" s="43"/>
      <c r="RQ32" s="520"/>
      <c r="RR32" s="520"/>
      <c r="RS32" s="520"/>
      <c r="RT32" s="520"/>
      <c r="RU32" s="521">
        <f>ROW()</f>
        <v>32</v>
      </c>
      <c r="RV32" s="102" t="s">
        <v>248</v>
      </c>
      <c r="RW32" s="520"/>
      <c r="RX32" s="520"/>
      <c r="RY32" s="520"/>
      <c r="RZ32" s="520"/>
      <c r="SA32" s="1210"/>
      <c r="SB32" s="1210"/>
      <c r="SC32" s="1210"/>
      <c r="SD32" s="1210"/>
      <c r="SE32" s="1210"/>
      <c r="SF32" s="1210"/>
      <c r="SG32" s="1210"/>
      <c r="SH32" s="1210"/>
      <c r="SI32" s="568"/>
      <c r="SJ32" s="568"/>
      <c r="SK32" s="568"/>
      <c r="SL32" s="568"/>
      <c r="SM32" s="521">
        <f>ROW()</f>
        <v>32</v>
      </c>
      <c r="SO32" s="608"/>
      <c r="SP32" s="520"/>
      <c r="SQ32" s="520"/>
      <c r="SR32" s="520"/>
      <c r="SS32" s="43"/>
      <c r="ST32" s="43"/>
      <c r="SU32" s="43"/>
      <c r="SV32" s="43"/>
      <c r="SW32" s="43"/>
      <c r="SX32" s="43"/>
      <c r="SY32" s="43"/>
      <c r="SZ32" s="43"/>
      <c r="TA32" s="520"/>
      <c r="TB32" s="520"/>
      <c r="TC32" s="520"/>
      <c r="TD32" s="520"/>
      <c r="TF32" s="950">
        <f>ROW()</f>
        <v>32</v>
      </c>
      <c r="TG32" s="555"/>
      <c r="TH32" s="610"/>
      <c r="TI32" s="51"/>
      <c r="TJ32" s="51"/>
      <c r="TK32" s="51"/>
      <c r="TL32" s="51"/>
      <c r="TM32" s="51"/>
      <c r="TN32" s="51"/>
      <c r="TO32" s="51"/>
      <c r="TP32" s="51"/>
      <c r="TQ32" s="51"/>
      <c r="TR32" s="51"/>
      <c r="TS32" s="51"/>
      <c r="TV32" s="924"/>
      <c r="TW32" s="924"/>
      <c r="TX32" s="938"/>
      <c r="TY32" s="924"/>
      <c r="TZ32" s="924"/>
      <c r="UA32" s="924"/>
      <c r="UB32" s="924"/>
      <c r="UC32" s="924"/>
      <c r="UD32" s="924"/>
      <c r="UE32" s="924"/>
      <c r="UF32" s="924"/>
      <c r="UG32" s="924"/>
      <c r="UH32" s="924"/>
      <c r="UJ32" s="521"/>
      <c r="UK32" s="20"/>
      <c r="UL32" s="610"/>
      <c r="UM32" s="633"/>
      <c r="UN32" s="633"/>
      <c r="UO32" s="633"/>
      <c r="UP32" s="633"/>
      <c r="UQ32" s="633"/>
      <c r="UR32" s="633"/>
      <c r="US32" s="633"/>
      <c r="UT32" s="633"/>
      <c r="UU32" s="633"/>
      <c r="UV32" s="633"/>
      <c r="UW32" s="633"/>
    </row>
    <row r="33" spans="1:569" ht="16.5" thickTop="1" thickBot="1" x14ac:dyDescent="0.3">
      <c r="A33" s="22">
        <f>ROW()</f>
        <v>33</v>
      </c>
      <c r="B33" s="524" t="s">
        <v>385</v>
      </c>
      <c r="C33" s="23"/>
      <c r="D33" s="618">
        <v>-13154883</v>
      </c>
      <c r="E33" s="618">
        <f t="shared" si="91"/>
        <v>13154883</v>
      </c>
      <c r="F33" s="618">
        <f t="shared" si="17"/>
        <v>0</v>
      </c>
      <c r="G33" s="640"/>
      <c r="H33" s="618">
        <f t="shared" si="17"/>
        <v>0</v>
      </c>
      <c r="I33" s="618"/>
      <c r="J33" s="618">
        <f t="shared" si="17"/>
        <v>0</v>
      </c>
      <c r="K33" s="618"/>
      <c r="L33" s="618">
        <f t="shared" si="17"/>
        <v>0</v>
      </c>
      <c r="M33" s="618"/>
      <c r="N33" s="618">
        <f t="shared" si="17"/>
        <v>0</v>
      </c>
      <c r="O33" s="618"/>
      <c r="P33" s="618">
        <f t="shared" ref="P33:P45" si="156">N33+O33</f>
        <v>0</v>
      </c>
      <c r="Q33" s="618"/>
      <c r="R33" s="618">
        <f t="shared" ref="R33:R45" si="157">P33+Q33</f>
        <v>0</v>
      </c>
      <c r="S33" s="529">
        <f>ROW()</f>
        <v>33</v>
      </c>
      <c r="T33" s="679" t="s">
        <v>386</v>
      </c>
      <c r="V33" s="620">
        <v>46393846.565533124</v>
      </c>
      <c r="W33" s="620">
        <f>-V33</f>
        <v>-46393846.565533124</v>
      </c>
      <c r="X33" s="74">
        <f>+W33+V33</f>
        <v>0</v>
      </c>
      <c r="Z33" s="74">
        <f>+Y33+X33</f>
        <v>0</v>
      </c>
      <c r="AB33" s="74">
        <f>+AA33+Z33</f>
        <v>0</v>
      </c>
      <c r="AD33" s="74">
        <f>+AC33+AB33</f>
        <v>0</v>
      </c>
      <c r="AF33" s="74">
        <f>+AE33+AD33</f>
        <v>0</v>
      </c>
      <c r="AG33" s="78"/>
      <c r="AH33" s="78"/>
      <c r="AI33" s="78"/>
      <c r="AJ33" s="78"/>
      <c r="AK33" s="22">
        <f>ROW()</f>
        <v>33</v>
      </c>
      <c r="AL33" s="1" t="str">
        <f>"PORTION OF LINE "&amp;AK20&amp;" ASSOCIATED WITH WHOLESALE CUSTOMERS"</f>
        <v>PORTION OF LINE 20 ASSOCIATED WITH WHOLESALE CUSTOMERS</v>
      </c>
      <c r="AO33" s="50">
        <v>-14206</v>
      </c>
      <c r="AP33" s="50"/>
      <c r="AQ33" s="50"/>
      <c r="AS33" s="50"/>
      <c r="AT33" s="50"/>
      <c r="AU33" s="50"/>
      <c r="AV33" s="50"/>
      <c r="AW33" s="50"/>
      <c r="AX33" s="50"/>
      <c r="AY33" s="50"/>
      <c r="AZ33" s="50"/>
      <c r="BA33" s="22"/>
      <c r="BB33" s="21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T33" s="102"/>
      <c r="BU33" s="102"/>
      <c r="BV33" s="102"/>
      <c r="BW33"/>
      <c r="BX33"/>
      <c r="BY33"/>
      <c r="BZ33"/>
      <c r="CA33"/>
      <c r="CB33"/>
      <c r="CC33"/>
      <c r="CD33"/>
      <c r="CE33"/>
      <c r="CF33"/>
      <c r="CG33" s="805"/>
      <c r="CH33" s="805"/>
      <c r="CI33" s="805"/>
      <c r="CJ33" s="805"/>
      <c r="DC33" s="1"/>
      <c r="DD33" s="1"/>
      <c r="DE33" s="1"/>
      <c r="DF33" s="1"/>
      <c r="DG33" s="1"/>
      <c r="DH33" s="1"/>
      <c r="DI33" s="1"/>
      <c r="DJ33" s="1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 s="74"/>
      <c r="GL33" s="74"/>
      <c r="GM33" s="74"/>
      <c r="GN33" s="74"/>
      <c r="GO33" s="22">
        <f>ROW()</f>
        <v>33</v>
      </c>
      <c r="GP33" s="4" t="s">
        <v>261</v>
      </c>
      <c r="GQ33" s="480"/>
      <c r="GR33" s="51">
        <f t="shared" ref="GR33:HF33" si="158">+GR31</f>
        <v>9477520.7832948007</v>
      </c>
      <c r="GS33" s="51">
        <f t="shared" si="158"/>
        <v>502786.54106777551</v>
      </c>
      <c r="GT33" s="51">
        <f t="shared" si="158"/>
        <v>9980307.324362576</v>
      </c>
      <c r="GU33" s="51">
        <f t="shared" si="158"/>
        <v>0</v>
      </c>
      <c r="GV33" s="51">
        <f t="shared" si="158"/>
        <v>9980307.324362576</v>
      </c>
      <c r="GW33" s="51">
        <f t="shared" si="158"/>
        <v>0</v>
      </c>
      <c r="GX33" s="51">
        <f t="shared" si="158"/>
        <v>9980307.324362576</v>
      </c>
      <c r="GY33" s="51">
        <f t="shared" si="158"/>
        <v>0</v>
      </c>
      <c r="GZ33" s="51">
        <f t="shared" si="158"/>
        <v>9980307.324362576</v>
      </c>
      <c r="HA33" s="51">
        <f t="shared" si="158"/>
        <v>0</v>
      </c>
      <c r="HB33" s="51">
        <f t="shared" si="158"/>
        <v>9980307.324362576</v>
      </c>
      <c r="HC33" s="51">
        <f t="shared" si="158"/>
        <v>0</v>
      </c>
      <c r="HD33" s="51">
        <f t="shared" si="158"/>
        <v>0</v>
      </c>
      <c r="HE33" s="51">
        <f t="shared" si="158"/>
        <v>0</v>
      </c>
      <c r="HF33" s="51">
        <f t="shared" si="158"/>
        <v>0</v>
      </c>
      <c r="IQ33" s="102"/>
      <c r="IR33" s="102"/>
      <c r="IS33" s="102"/>
      <c r="IT33" s="102"/>
      <c r="IU33" s="102"/>
      <c r="IV33" s="102"/>
      <c r="IW33" s="102"/>
      <c r="IX33" s="102"/>
      <c r="IY33" s="102"/>
      <c r="IZ33" s="102"/>
      <c r="JA33" s="102"/>
      <c r="JB33" s="102"/>
      <c r="JC33" s="102"/>
      <c r="JD33" s="102"/>
      <c r="JE33" s="102"/>
      <c r="JF33" s="102"/>
      <c r="JG33" s="102"/>
      <c r="JH33" s="102"/>
      <c r="JI33" s="102"/>
      <c r="JJ33" s="102"/>
      <c r="JK33" s="102"/>
      <c r="JL33" s="102"/>
      <c r="JM33" s="102"/>
      <c r="JN33" s="102"/>
      <c r="JO33" s="102"/>
      <c r="JP33" s="102"/>
      <c r="JQ33" s="102"/>
      <c r="JR33" s="102"/>
      <c r="JS33" s="102"/>
      <c r="JT33" s="102"/>
      <c r="JU33" s="102"/>
      <c r="JV33" s="102"/>
      <c r="JW33" s="102"/>
      <c r="JX33" s="102"/>
      <c r="JY33" s="102"/>
      <c r="JZ33" s="102"/>
      <c r="MC33" s="22">
        <f>ROW()</f>
        <v>33</v>
      </c>
      <c r="MD33" s="555" t="s">
        <v>248</v>
      </c>
      <c r="MF33" s="50"/>
      <c r="MG33" s="50"/>
      <c r="MH33" s="50"/>
      <c r="MI33" s="50"/>
      <c r="MJ33" s="50"/>
      <c r="MK33" s="50"/>
      <c r="ML33" s="50"/>
      <c r="MM33" s="50"/>
      <c r="MN33" s="50"/>
      <c r="MO33" s="50"/>
      <c r="MP33" s="50"/>
      <c r="MQ33" s="50"/>
      <c r="MR33" s="50"/>
      <c r="MS33" s="50"/>
      <c r="MT33" s="50"/>
      <c r="MU33" s="22"/>
      <c r="MV33" s="609"/>
      <c r="MW33" s="78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50"/>
      <c r="NJ33" s="50"/>
      <c r="NK33" s="50"/>
      <c r="NL33" s="50"/>
      <c r="NM33" s="22">
        <f>ROW()</f>
        <v>33</v>
      </c>
      <c r="NN33" s="810" t="s">
        <v>240</v>
      </c>
      <c r="NO33" s="23"/>
      <c r="NP33" s="824">
        <f>NP31-NP32</f>
        <v>0</v>
      </c>
      <c r="NQ33" s="824">
        <f t="shared" ref="NQ33:NW33" si="159">NQ31-NQ32</f>
        <v>0</v>
      </c>
      <c r="NR33" s="824">
        <f t="shared" si="159"/>
        <v>0</v>
      </c>
      <c r="NS33" s="824">
        <f t="shared" si="159"/>
        <v>0</v>
      </c>
      <c r="NT33" s="824">
        <f t="shared" si="159"/>
        <v>0</v>
      </c>
      <c r="NU33" s="824">
        <f t="shared" si="159"/>
        <v>0</v>
      </c>
      <c r="NV33" s="704">
        <f t="shared" si="159"/>
        <v>-439088959.30841917</v>
      </c>
      <c r="NW33" s="824">
        <f t="shared" si="159"/>
        <v>-24075305.605324887</v>
      </c>
      <c r="NX33" s="704">
        <f>NX31-NX32</f>
        <v>-463164264.91374397</v>
      </c>
      <c r="NY33" s="824">
        <f>NY31-NY32</f>
        <v>-16378519.056668101</v>
      </c>
      <c r="NZ33" s="704">
        <f>NZ31-NZ32</f>
        <v>-479542783.97041219</v>
      </c>
      <c r="OA33" s="824"/>
      <c r="OB33" s="824"/>
      <c r="OC33" s="824"/>
      <c r="OD33" s="824"/>
      <c r="OE33" s="482">
        <f>ROW()</f>
        <v>33</v>
      </c>
      <c r="OF33" s="1" t="s">
        <v>306</v>
      </c>
      <c r="OH33" s="667"/>
      <c r="OI33" s="667"/>
      <c r="OJ33" s="667"/>
      <c r="OK33" s="667"/>
      <c r="OL33" s="667"/>
      <c r="OM33"/>
      <c r="ON33"/>
      <c r="OO33"/>
      <c r="OP33"/>
      <c r="OQ33"/>
      <c r="OR33"/>
      <c r="OS33" s="561"/>
      <c r="OT33" s="561"/>
      <c r="OU33" s="561"/>
      <c r="OV33" s="561"/>
      <c r="OW33" s="22">
        <f>ROW()</f>
        <v>33</v>
      </c>
      <c r="OX33" s="480" t="s">
        <v>387</v>
      </c>
      <c r="OY33" s="598"/>
      <c r="OZ33" s="825">
        <f>SUM(OZ30:OZ32)</f>
        <v>-26153646.612708259</v>
      </c>
      <c r="PA33" s="825">
        <f>SUM(PA30:PA32)</f>
        <v>16839149.564886183</v>
      </c>
      <c r="PB33" s="825">
        <f>SUM(PB30:PB32)</f>
        <v>-9314497.047822075</v>
      </c>
      <c r="PC33" s="825">
        <f t="shared" ref="PC33:PN33" si="160">SUM(PC30:PC32)</f>
        <v>-16839149.564886183</v>
      </c>
      <c r="PD33" s="826">
        <f t="shared" si="160"/>
        <v>-26153646.612708259</v>
      </c>
      <c r="PE33" s="826">
        <f t="shared" si="160"/>
        <v>0</v>
      </c>
      <c r="PF33" s="826">
        <f t="shared" si="160"/>
        <v>-26153646.612708259</v>
      </c>
      <c r="PG33" s="827">
        <f t="shared" si="160"/>
        <v>0</v>
      </c>
      <c r="PH33" s="827">
        <f t="shared" si="160"/>
        <v>-26153646.612708259</v>
      </c>
      <c r="PI33" s="827">
        <f t="shared" si="160"/>
        <v>0</v>
      </c>
      <c r="PJ33" s="827">
        <f t="shared" si="160"/>
        <v>-26153646.612708259</v>
      </c>
      <c r="PK33" s="827">
        <f t="shared" si="160"/>
        <v>0</v>
      </c>
      <c r="PL33" s="827">
        <f t="shared" si="160"/>
        <v>-26153646.612708259</v>
      </c>
      <c r="PM33" s="827">
        <f t="shared" si="160"/>
        <v>0</v>
      </c>
      <c r="PN33" s="827">
        <f t="shared" si="160"/>
        <v>-26153646.612708259</v>
      </c>
      <c r="PO33" s="7"/>
      <c r="PP33" s="7"/>
      <c r="PQ33" s="7"/>
      <c r="PR33" s="7"/>
      <c r="PS33" s="102"/>
      <c r="PT33" s="102"/>
      <c r="PU33" s="102"/>
      <c r="PV33" s="102"/>
      <c r="PW33" s="102"/>
      <c r="PX33" s="102"/>
      <c r="PY33" s="102"/>
      <c r="PZ33" s="102"/>
      <c r="QA33" s="102"/>
      <c r="QB33" s="102"/>
      <c r="QC33" s="102"/>
      <c r="QD33" s="102"/>
      <c r="QE33" s="102"/>
      <c r="QF33" s="102"/>
      <c r="QG33" s="102"/>
      <c r="QH33" s="102"/>
      <c r="QI33" s="102"/>
      <c r="QJ33" s="102"/>
      <c r="RC33" s="22">
        <f>ROW()</f>
        <v>33</v>
      </c>
      <c r="RD33" s="102" t="s">
        <v>248</v>
      </c>
      <c r="RF33" s="520"/>
      <c r="RG33" s="520"/>
      <c r="RH33" s="43"/>
      <c r="RI33" s="1210"/>
      <c r="RJ33" s="1210"/>
      <c r="RK33" s="1210"/>
      <c r="RL33" s="1210"/>
      <c r="RM33" s="1210"/>
      <c r="RN33" s="1210"/>
      <c r="RO33" s="1210"/>
      <c r="RP33" s="1210"/>
      <c r="RQ33" s="568"/>
      <c r="RR33" s="568"/>
      <c r="RS33" s="568"/>
      <c r="RT33" s="568"/>
      <c r="RU33" s="521">
        <f>ROW()</f>
        <v>33</v>
      </c>
      <c r="RV33" s="102" t="s">
        <v>388</v>
      </c>
      <c r="RW33" s="520"/>
      <c r="RX33" s="570"/>
      <c r="RY33" s="570"/>
      <c r="RZ33" s="570"/>
      <c r="SA33" s="98">
        <f>SB33</f>
        <v>174784.55000000002</v>
      </c>
      <c r="SB33" s="98">
        <v>174784.55000000002</v>
      </c>
      <c r="SC33" s="98">
        <f>SD33-SB33</f>
        <v>1727315.5599999998</v>
      </c>
      <c r="SD33" s="98">
        <v>1902100.1099999999</v>
      </c>
      <c r="SE33" s="98">
        <f>SF33-SD33</f>
        <v>1611738.4900000002</v>
      </c>
      <c r="SF33" s="98">
        <v>3513838.6</v>
      </c>
      <c r="SG33" s="98">
        <f>SH33-SF33</f>
        <v>4335624.6499999985</v>
      </c>
      <c r="SH33" s="98">
        <v>7849463.2499999991</v>
      </c>
      <c r="SI33" s="570"/>
      <c r="SJ33" s="572"/>
      <c r="SK33" s="570">
        <f>SL33-SJ33</f>
        <v>0</v>
      </c>
      <c r="SL33" s="572"/>
      <c r="SM33" s="521">
        <f>ROW()</f>
        <v>33</v>
      </c>
      <c r="SN33" s="828" t="s">
        <v>730</v>
      </c>
      <c r="SO33" s="608"/>
      <c r="SP33" s="520"/>
      <c r="SQ33" s="520"/>
      <c r="SR33" s="520"/>
      <c r="SS33" s="43"/>
      <c r="ST33" s="43"/>
      <c r="SU33" s="43"/>
      <c r="SV33" s="43"/>
      <c r="SW33" s="43"/>
      <c r="SX33" s="43"/>
      <c r="SY33" s="43"/>
      <c r="SZ33" s="43"/>
      <c r="TA33" s="520"/>
      <c r="TB33" s="520"/>
      <c r="TC33" s="520"/>
      <c r="TD33" s="520"/>
      <c r="TF33" s="950">
        <f>ROW()</f>
        <v>33</v>
      </c>
      <c r="TG33" s="555" t="s">
        <v>261</v>
      </c>
      <c r="TH33" s="610"/>
      <c r="TI33" s="638">
        <f>+TI19-TI24-TI31</f>
        <v>94828555.982109442</v>
      </c>
      <c r="TJ33" s="638">
        <f>+TJ19-TJ24-TJ31</f>
        <v>-94828555.982109442</v>
      </c>
      <c r="TK33" s="78">
        <f>TI33+TJ33</f>
        <v>0</v>
      </c>
      <c r="TL33" s="78">
        <f>TL32</f>
        <v>0</v>
      </c>
      <c r="TM33" s="78">
        <f>SUM(TK33:TL33)</f>
        <v>0</v>
      </c>
      <c r="TN33" s="78">
        <f>TN32</f>
        <v>0</v>
      </c>
      <c r="TO33" s="78">
        <f>SUM(TM33:TN33)</f>
        <v>0</v>
      </c>
      <c r="TP33" s="78">
        <f>TP32</f>
        <v>0</v>
      </c>
      <c r="TQ33" s="78">
        <f>SUM(TO33:TP33)</f>
        <v>0</v>
      </c>
      <c r="TR33" s="78">
        <f>TR32</f>
        <v>0</v>
      </c>
      <c r="TS33" s="78">
        <f>TS32</f>
        <v>0</v>
      </c>
      <c r="TV33" s="924"/>
      <c r="TW33" s="924"/>
      <c r="TX33" s="20"/>
      <c r="TY33" s="20"/>
      <c r="TZ33" s="20"/>
      <c r="UA33" s="939"/>
      <c r="UB33" s="940"/>
      <c r="UC33" s="100"/>
      <c r="UD33" s="100"/>
      <c r="UE33" s="100"/>
      <c r="UF33" s="100"/>
      <c r="UG33" s="100"/>
      <c r="UH33" s="100"/>
      <c r="UJ33" s="521"/>
      <c r="UK33" s="20"/>
      <c r="UL33" s="610"/>
      <c r="UM33" s="633"/>
      <c r="UN33" s="633"/>
      <c r="UO33" s="633"/>
      <c r="UP33" s="633"/>
      <c r="UQ33" s="633"/>
      <c r="UR33" s="633"/>
      <c r="US33" s="633"/>
      <c r="UT33" s="633"/>
      <c r="UU33" s="633"/>
      <c r="UV33" s="633"/>
      <c r="UW33" s="633"/>
    </row>
    <row r="34" spans="1:569" ht="16.5" thickTop="1" thickBot="1" x14ac:dyDescent="0.3">
      <c r="A34" s="22">
        <f>ROW()</f>
        <v>34</v>
      </c>
      <c r="B34" s="524" t="s">
        <v>389</v>
      </c>
      <c r="D34" s="618">
        <v>2163901.0641108206</v>
      </c>
      <c r="E34" s="618">
        <f t="shared" si="91"/>
        <v>-2163901.0641108206</v>
      </c>
      <c r="F34" s="618">
        <f t="shared" si="17"/>
        <v>0</v>
      </c>
      <c r="G34" s="641"/>
      <c r="H34" s="618">
        <f t="shared" si="17"/>
        <v>0</v>
      </c>
      <c r="I34" s="618"/>
      <c r="J34" s="618">
        <f t="shared" si="17"/>
        <v>0</v>
      </c>
      <c r="K34" s="618"/>
      <c r="L34" s="618">
        <f t="shared" si="17"/>
        <v>0</v>
      </c>
      <c r="M34" s="618"/>
      <c r="N34" s="618">
        <f t="shared" si="17"/>
        <v>0</v>
      </c>
      <c r="O34" s="618"/>
      <c r="P34" s="618">
        <f t="shared" si="156"/>
        <v>0</v>
      </c>
      <c r="Q34" s="618"/>
      <c r="R34" s="618">
        <f t="shared" si="157"/>
        <v>0</v>
      </c>
      <c r="S34" s="529">
        <f>ROW()</f>
        <v>34</v>
      </c>
      <c r="T34" s="829" t="s">
        <v>390</v>
      </c>
      <c r="U34" s="830"/>
      <c r="V34" s="663">
        <f t="shared" ref="V34:AF34" si="161">SUM(V17:V33)</f>
        <v>299689671.24553311</v>
      </c>
      <c r="W34" s="663">
        <f t="shared" si="161"/>
        <v>-284649735.47553307</v>
      </c>
      <c r="X34" s="663">
        <f t="shared" si="161"/>
        <v>15039935.770000001</v>
      </c>
      <c r="Y34" s="663">
        <f t="shared" si="161"/>
        <v>-15039935.770000001</v>
      </c>
      <c r="Z34" s="663">
        <f t="shared" si="161"/>
        <v>0</v>
      </c>
      <c r="AA34" s="663">
        <f t="shared" si="161"/>
        <v>0</v>
      </c>
      <c r="AB34" s="663">
        <f t="shared" si="161"/>
        <v>0</v>
      </c>
      <c r="AC34" s="663">
        <f t="shared" si="161"/>
        <v>0</v>
      </c>
      <c r="AD34" s="663">
        <f t="shared" si="161"/>
        <v>0</v>
      </c>
      <c r="AE34" s="663">
        <f t="shared" si="161"/>
        <v>0</v>
      </c>
      <c r="AF34" s="663">
        <f t="shared" si="161"/>
        <v>0</v>
      </c>
      <c r="AG34" s="20"/>
      <c r="AH34" s="20"/>
      <c r="AI34" s="20"/>
      <c r="AJ34" s="20"/>
      <c r="AK34" s="22">
        <f>ROW()</f>
        <v>34</v>
      </c>
      <c r="AL34" s="1" t="s">
        <v>332</v>
      </c>
      <c r="AO34" s="804">
        <f>SUM(AO32:AO33)</f>
        <v>-60863048</v>
      </c>
      <c r="AP34" s="50"/>
      <c r="AQ34" s="708"/>
      <c r="AS34" s="21"/>
      <c r="AT34" s="21"/>
      <c r="AU34" s="21"/>
      <c r="AV34" s="21"/>
      <c r="AW34" s="21"/>
      <c r="AX34" s="21"/>
      <c r="AY34" s="21"/>
      <c r="AZ34" s="21"/>
      <c r="BA34" s="22"/>
      <c r="BB34" s="21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T34" s="102"/>
      <c r="BU34" s="102"/>
      <c r="BV34" s="102"/>
      <c r="BW34"/>
      <c r="BX34"/>
      <c r="BY34"/>
      <c r="BZ34"/>
      <c r="CA34"/>
      <c r="CB34"/>
      <c r="CC34"/>
      <c r="CD34"/>
      <c r="CE34"/>
      <c r="CF34"/>
      <c r="CG34" s="831">
        <v>97806.1719147697</v>
      </c>
      <c r="CH34" s="831">
        <v>-29313055.209659878</v>
      </c>
      <c r="CI34" s="831">
        <v>89227.183750150492</v>
      </c>
      <c r="CJ34" s="831">
        <v>-29223828.025909729</v>
      </c>
      <c r="DC34" s="1"/>
      <c r="DD34" s="1"/>
      <c r="DE34" s="1"/>
      <c r="DF34" s="1"/>
      <c r="DG34" s="1"/>
      <c r="DH34" s="1"/>
      <c r="DI34" s="1"/>
      <c r="DJ34" s="1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O34" s="22">
        <f>ROW()</f>
        <v>34</v>
      </c>
      <c r="GP34" s="4"/>
      <c r="GQ34" s="480"/>
      <c r="IQ34" s="102"/>
      <c r="IR34" s="102"/>
      <c r="IS34" s="102"/>
      <c r="IT34" s="102"/>
      <c r="IU34" s="102"/>
      <c r="IV34" s="102"/>
      <c r="IW34" s="102"/>
      <c r="IX34" s="102"/>
      <c r="IY34" s="102"/>
      <c r="IZ34" s="102"/>
      <c r="JA34" s="102"/>
      <c r="JB34" s="102"/>
      <c r="JC34" s="102"/>
      <c r="JD34" s="102"/>
      <c r="JE34" s="102"/>
      <c r="JF34" s="102"/>
      <c r="JG34" s="102"/>
      <c r="JH34" s="102"/>
      <c r="JI34" s="102"/>
      <c r="JJ34" s="102"/>
      <c r="JK34" s="102"/>
      <c r="JL34" s="102"/>
      <c r="JM34" s="102"/>
      <c r="JN34" s="102"/>
      <c r="JO34" s="102"/>
      <c r="JP34" s="102"/>
      <c r="JQ34" s="102"/>
      <c r="JR34" s="102"/>
      <c r="JS34" s="102"/>
      <c r="JT34" s="102"/>
      <c r="JU34" s="102"/>
      <c r="JV34" s="102"/>
      <c r="JW34" s="102"/>
      <c r="JX34" s="102"/>
      <c r="JY34" s="102"/>
      <c r="JZ34" s="102"/>
      <c r="MC34" s="22">
        <f>ROW()</f>
        <v>34</v>
      </c>
      <c r="MD34" s="555" t="s">
        <v>391</v>
      </c>
      <c r="MF34" s="549">
        <f>-MF27</f>
        <v>-455757385.71813333</v>
      </c>
      <c r="MG34" s="549">
        <f>-MG27</f>
        <v>3988422.8500199127</v>
      </c>
      <c r="MH34" s="549">
        <f>-MH27</f>
        <v>-451768962.8681134</v>
      </c>
      <c r="MI34" s="549">
        <f>-MI27</f>
        <v>0</v>
      </c>
      <c r="MJ34" s="549">
        <f t="shared" ref="MJ34:MP34" si="162">-MJ27</f>
        <v>-451768962.8681134</v>
      </c>
      <c r="MK34" s="549">
        <f t="shared" si="162"/>
        <v>0</v>
      </c>
      <c r="ML34" s="549">
        <f t="shared" si="162"/>
        <v>-451768962.8681134</v>
      </c>
      <c r="MM34" s="549">
        <f t="shared" si="162"/>
        <v>0</v>
      </c>
      <c r="MN34" s="549">
        <f t="shared" si="162"/>
        <v>-451768962.8681134</v>
      </c>
      <c r="MO34" s="549">
        <f t="shared" si="162"/>
        <v>0</v>
      </c>
      <c r="MP34" s="549">
        <f t="shared" si="162"/>
        <v>-451768962.8681134</v>
      </c>
      <c r="MQ34" s="549"/>
      <c r="MR34" s="549">
        <f>-MR27</f>
        <v>0</v>
      </c>
      <c r="MS34" s="549"/>
      <c r="MT34" s="549">
        <f>-MT27</f>
        <v>0</v>
      </c>
      <c r="MU34" s="22"/>
      <c r="MV34" s="609"/>
      <c r="MW34" s="78"/>
      <c r="MX34" s="78"/>
      <c r="MY34" s="78"/>
      <c r="MZ34" s="78"/>
      <c r="NA34" s="78"/>
      <c r="NB34" s="78"/>
      <c r="NC34" s="78"/>
      <c r="ND34" s="78"/>
      <c r="NE34" s="78"/>
      <c r="NF34" s="78"/>
      <c r="NG34" s="78"/>
      <c r="NH34" s="78"/>
      <c r="NI34" s="624"/>
      <c r="NJ34" s="624"/>
      <c r="NK34" s="624"/>
      <c r="NL34" s="624"/>
      <c r="NM34" s="22"/>
      <c r="OE34" s="482">
        <f>ROW()</f>
        <v>34</v>
      </c>
      <c r="OF34" s="1" t="s">
        <v>283</v>
      </c>
      <c r="OG34" s="731">
        <v>0.21</v>
      </c>
      <c r="OH34" s="667">
        <f>-OH32*$OG$34</f>
        <v>-993503.27579999971</v>
      </c>
      <c r="OI34" s="667">
        <f>-OI32*$OG$34</f>
        <v>0</v>
      </c>
      <c r="OJ34" s="667">
        <f>-OJ32*$OG$34</f>
        <v>-993503.27579999971</v>
      </c>
      <c r="OK34" s="667">
        <f>-OK32*$OG$34</f>
        <v>993503.27579999971</v>
      </c>
      <c r="OL34" s="667">
        <f>-OL32*$OG$34</f>
        <v>0</v>
      </c>
      <c r="OM34"/>
      <c r="ON34"/>
      <c r="OO34"/>
      <c r="OP34"/>
      <c r="OQ34"/>
      <c r="OR34"/>
      <c r="OS34" s="667"/>
      <c r="OT34" s="667"/>
      <c r="OU34" s="667"/>
      <c r="OV34" s="667"/>
      <c r="OW34" s="22">
        <f>ROW()</f>
        <v>34</v>
      </c>
      <c r="OX34" s="598"/>
      <c r="OY34" s="598"/>
      <c r="OZ34" s="667"/>
      <c r="PA34" s="667"/>
      <c r="PB34" s="667"/>
      <c r="PC34" s="667"/>
      <c r="PD34" s="600"/>
      <c r="PE34" s="600"/>
      <c r="PF34" s="600"/>
      <c r="PG34" s="647"/>
      <c r="PH34" s="647"/>
      <c r="PI34" s="647"/>
      <c r="PJ34" s="647"/>
      <c r="PK34" s="647"/>
      <c r="PL34" s="647"/>
      <c r="PM34" s="647"/>
      <c r="PN34" s="647"/>
      <c r="PO34" s="7"/>
      <c r="PP34" s="7"/>
      <c r="PQ34" s="7"/>
      <c r="PR34" s="7"/>
      <c r="PS34" s="102"/>
      <c r="PT34" s="102"/>
      <c r="PU34" s="102"/>
      <c r="PV34" s="102"/>
      <c r="PW34" s="102"/>
      <c r="PX34" s="102"/>
      <c r="PY34" s="102"/>
      <c r="PZ34" s="102"/>
      <c r="QA34" s="102"/>
      <c r="QB34" s="102"/>
      <c r="QC34" s="102"/>
      <c r="QD34" s="102"/>
      <c r="QE34" s="102"/>
      <c r="QF34" s="102"/>
      <c r="QG34" s="102"/>
      <c r="QH34" s="102"/>
      <c r="QI34" s="102"/>
      <c r="QJ34" s="102"/>
      <c r="RC34" s="22">
        <f>ROW()</f>
        <v>34</v>
      </c>
      <c r="RD34" s="102" t="s">
        <v>388</v>
      </c>
      <c r="RF34" s="568"/>
      <c r="RG34" s="568"/>
      <c r="RH34" s="98">
        <v>-4724726174.8414154</v>
      </c>
      <c r="RI34" s="98">
        <v>-210203843.5857296</v>
      </c>
      <c r="RJ34" s="98">
        <f>RH34+RI34</f>
        <v>-4934930018.427145</v>
      </c>
      <c r="RK34" s="98">
        <v>-411293836.18553448</v>
      </c>
      <c r="RL34" s="98">
        <f>RJ34+RK34</f>
        <v>-5346223854.6126795</v>
      </c>
      <c r="RM34" s="98">
        <v>-203371069.2402916</v>
      </c>
      <c r="RN34" s="98">
        <f>RL34+RM34</f>
        <v>-5549594923.8529711</v>
      </c>
      <c r="RO34" s="98">
        <v>-394042042.19181442</v>
      </c>
      <c r="RP34" s="98">
        <f>RN34+RO34</f>
        <v>-5943636966.0447855</v>
      </c>
      <c r="RQ34" s="570"/>
      <c r="RR34" s="570">
        <f>RP34+RQ34</f>
        <v>-5943636966.0447855</v>
      </c>
      <c r="RS34" s="570"/>
      <c r="RT34" s="570">
        <f>RR34+RS34</f>
        <v>-5943636966.0447855</v>
      </c>
      <c r="RU34" s="521">
        <f>ROW()</f>
        <v>34</v>
      </c>
      <c r="RV34" s="102" t="s">
        <v>392</v>
      </c>
      <c r="RW34" s="520"/>
      <c r="RX34" s="745"/>
      <c r="RY34" s="745"/>
      <c r="RZ34" s="745"/>
      <c r="SA34" s="745"/>
      <c r="SB34" s="745">
        <v>0</v>
      </c>
      <c r="SC34" s="745"/>
      <c r="SD34" s="745">
        <v>0</v>
      </c>
      <c r="SE34" s="745"/>
      <c r="SF34" s="745">
        <v>0</v>
      </c>
      <c r="SG34" s="745"/>
      <c r="SH34" s="745">
        <v>0</v>
      </c>
      <c r="SI34" s="745"/>
      <c r="SJ34" s="745">
        <f>SI34+SH34</f>
        <v>0</v>
      </c>
      <c r="SK34" s="745"/>
      <c r="SL34" s="745">
        <f>SK34+SJ34</f>
        <v>0</v>
      </c>
      <c r="SM34" s="521">
        <f>ROW()</f>
        <v>34</v>
      </c>
      <c r="SN34" s="102" t="s">
        <v>201</v>
      </c>
      <c r="SO34" s="608"/>
      <c r="SP34" s="571"/>
      <c r="SQ34" s="576"/>
      <c r="SR34" s="576"/>
      <c r="SS34" s="98">
        <v>301743.54000000004</v>
      </c>
      <c r="ST34" s="98">
        <f>SS34</f>
        <v>301743.54000000004</v>
      </c>
      <c r="SU34" s="98">
        <v>2874771.1399999997</v>
      </c>
      <c r="SV34" s="98">
        <f>SU34+ST34</f>
        <v>3176514.6799999997</v>
      </c>
      <c r="SW34" s="98">
        <v>3596245.0900000008</v>
      </c>
      <c r="SX34" s="98">
        <f>SW34+SV34</f>
        <v>6772759.7700000005</v>
      </c>
      <c r="SY34" s="98">
        <v>3997892.6900000004</v>
      </c>
      <c r="SZ34" s="98">
        <f>SY34+SX34</f>
        <v>10770652.460000001</v>
      </c>
      <c r="TA34" s="570"/>
      <c r="TB34" s="570">
        <f>TA34+SZ34</f>
        <v>10770652.460000001</v>
      </c>
      <c r="TC34" s="571"/>
      <c r="TD34" s="570">
        <f>TC34+TB34</f>
        <v>10770652.460000001</v>
      </c>
      <c r="TF34" s="950">
        <f>ROW()</f>
        <v>34</v>
      </c>
      <c r="TG34" s="555" t="s">
        <v>276</v>
      </c>
      <c r="TH34" s="610">
        <v>0.21</v>
      </c>
      <c r="TI34" s="832">
        <f>TH34*TI33</f>
        <v>19913996.756242983</v>
      </c>
      <c r="TJ34" s="832">
        <f>TH34*TJ33</f>
        <v>-19913996.756242983</v>
      </c>
      <c r="TK34" s="78">
        <f>TI34+TJ34</f>
        <v>0</v>
      </c>
      <c r="TL34" s="78">
        <f>-$C$43*TL33</f>
        <v>0</v>
      </c>
      <c r="TM34" s="78">
        <f>SUM(TK34:TL34)</f>
        <v>0</v>
      </c>
      <c r="TN34" s="78">
        <f>-$C$43*TN33</f>
        <v>0</v>
      </c>
      <c r="TO34" s="78">
        <f>SUM(TM34:TN34)</f>
        <v>0</v>
      </c>
      <c r="TP34" s="78">
        <f>-$C$43*TP33</f>
        <v>0</v>
      </c>
      <c r="TQ34" s="78">
        <f>SUM(TO34:TP34)</f>
        <v>0</v>
      </c>
      <c r="TR34" s="78">
        <f>-$C$43*TR33</f>
        <v>0</v>
      </c>
      <c r="TS34" s="78">
        <f>SUM(TQ34:TR34)</f>
        <v>0</v>
      </c>
      <c r="TV34" s="20"/>
      <c r="TW34" s="490"/>
      <c r="TX34" s="100"/>
      <c r="TY34" s="942"/>
      <c r="TZ34" s="100"/>
      <c r="UA34" s="100"/>
      <c r="UB34" s="100"/>
      <c r="UC34" s="100"/>
      <c r="UD34" s="100"/>
      <c r="UE34" s="100"/>
      <c r="UF34" s="100"/>
      <c r="UG34" s="100"/>
      <c r="UH34" s="100"/>
      <c r="UJ34" s="521"/>
      <c r="UK34" s="20"/>
      <c r="UL34" s="610"/>
      <c r="UM34" s="633"/>
      <c r="UN34" s="633"/>
      <c r="UO34" s="633"/>
      <c r="UP34" s="633"/>
      <c r="UQ34" s="633"/>
      <c r="UR34" s="633"/>
      <c r="US34" s="633"/>
      <c r="UT34" s="633"/>
      <c r="UU34" s="633"/>
      <c r="UV34" s="633"/>
      <c r="UW34" s="633"/>
    </row>
    <row r="35" spans="1:569" ht="16.5" thickTop="1" thickBot="1" x14ac:dyDescent="0.3">
      <c r="A35" s="22">
        <f>ROW()</f>
        <v>35</v>
      </c>
      <c r="B35" s="524" t="s">
        <v>393</v>
      </c>
      <c r="C35" s="23"/>
      <c r="D35" s="618">
        <v>-283221.01109729579</v>
      </c>
      <c r="E35" s="618">
        <f t="shared" si="91"/>
        <v>283221.01109729579</v>
      </c>
      <c r="F35" s="618">
        <f t="shared" si="17"/>
        <v>0</v>
      </c>
      <c r="G35" s="640"/>
      <c r="H35" s="618">
        <f t="shared" si="17"/>
        <v>0</v>
      </c>
      <c r="I35" s="618"/>
      <c r="J35" s="618">
        <f t="shared" si="17"/>
        <v>0</v>
      </c>
      <c r="K35" s="618"/>
      <c r="L35" s="618">
        <f t="shared" si="17"/>
        <v>0</v>
      </c>
      <c r="M35" s="618"/>
      <c r="N35" s="618">
        <f t="shared" si="17"/>
        <v>0</v>
      </c>
      <c r="O35" s="618"/>
      <c r="P35" s="618">
        <f t="shared" si="156"/>
        <v>0</v>
      </c>
      <c r="Q35" s="618"/>
      <c r="R35" s="618">
        <f t="shared" si="157"/>
        <v>0</v>
      </c>
      <c r="S35" s="529">
        <f>ROW()</f>
        <v>35</v>
      </c>
      <c r="T35" s="29"/>
      <c r="U35" s="29"/>
      <c r="V35" s="833"/>
      <c r="AG35" s="20"/>
      <c r="AH35" s="20"/>
      <c r="AI35" s="20"/>
      <c r="AJ35" s="20"/>
      <c r="AP35" s="50"/>
      <c r="BA35" s="22"/>
      <c r="BB35" s="21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T35" s="102"/>
      <c r="BU35" s="102"/>
      <c r="BV35" s="102"/>
      <c r="BW35"/>
      <c r="BX35"/>
      <c r="BY35"/>
      <c r="BZ35"/>
      <c r="CA35"/>
      <c r="CB35"/>
      <c r="CC35"/>
      <c r="CD35"/>
      <c r="CE35"/>
      <c r="CF35"/>
      <c r="CG35" s="834">
        <v>-97806.1719147697</v>
      </c>
      <c r="CH35" s="834">
        <v>29313055.209659878</v>
      </c>
      <c r="CI35" s="834">
        <v>-89227.183750150492</v>
      </c>
      <c r="CJ35" s="834">
        <v>29223828.025909729</v>
      </c>
      <c r="DC35" s="1"/>
      <c r="DD35" s="1"/>
      <c r="DE35" s="1"/>
      <c r="DF35" s="1"/>
      <c r="DG35" s="1"/>
      <c r="DH35" s="1"/>
      <c r="DI35" s="1"/>
      <c r="DJ35" s="1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O35" s="22">
        <f>ROW()</f>
        <v>35</v>
      </c>
      <c r="GP35" s="4" t="s">
        <v>283</v>
      </c>
      <c r="GQ35" s="798">
        <v>0.21</v>
      </c>
      <c r="GR35" s="724">
        <f t="shared" ref="GR35:HF35" si="163">-GR33*$GQ$35</f>
        <v>-1990279.3644919081</v>
      </c>
      <c r="GS35" s="724">
        <f t="shared" si="163"/>
        <v>-105585.17362423285</v>
      </c>
      <c r="GT35" s="724">
        <f t="shared" si="163"/>
        <v>-2095864.538116141</v>
      </c>
      <c r="GU35" s="724">
        <f t="shared" si="163"/>
        <v>0</v>
      </c>
      <c r="GV35" s="724">
        <f t="shared" si="163"/>
        <v>-2095864.538116141</v>
      </c>
      <c r="GW35" s="724">
        <f t="shared" si="163"/>
        <v>0</v>
      </c>
      <c r="GX35" s="724">
        <f t="shared" si="163"/>
        <v>-2095864.538116141</v>
      </c>
      <c r="GY35" s="724">
        <f t="shared" si="163"/>
        <v>0</v>
      </c>
      <c r="GZ35" s="724">
        <f t="shared" si="163"/>
        <v>-2095864.538116141</v>
      </c>
      <c r="HA35" s="724">
        <f t="shared" si="163"/>
        <v>0</v>
      </c>
      <c r="HB35" s="724">
        <f t="shared" si="163"/>
        <v>-2095864.538116141</v>
      </c>
      <c r="HC35" s="724">
        <f t="shared" si="163"/>
        <v>0</v>
      </c>
      <c r="HD35" s="724">
        <f t="shared" si="163"/>
        <v>0</v>
      </c>
      <c r="HE35" s="724">
        <f t="shared" si="163"/>
        <v>0</v>
      </c>
      <c r="HF35" s="724">
        <f t="shared" si="163"/>
        <v>0</v>
      </c>
      <c r="IQ35" s="102"/>
      <c r="IR35" s="102"/>
      <c r="IS35" s="102"/>
      <c r="IT35" s="102"/>
      <c r="IU35" s="102"/>
      <c r="IV35" s="102"/>
      <c r="IW35" s="102"/>
      <c r="IX35" s="102"/>
      <c r="IY35" s="102"/>
      <c r="IZ35" s="102"/>
      <c r="JA35" s="102"/>
      <c r="JB35" s="102"/>
      <c r="JC35" s="102"/>
      <c r="JD35" s="102"/>
      <c r="JE35" s="102"/>
      <c r="JF35" s="102"/>
      <c r="JG35" s="102"/>
      <c r="JH35" s="102"/>
      <c r="JI35" s="102"/>
      <c r="JJ35" s="102"/>
      <c r="JK35" s="102"/>
      <c r="JL35" s="102"/>
      <c r="JM35" s="102"/>
      <c r="JN35" s="102"/>
      <c r="JO35" s="102"/>
      <c r="JP35" s="102"/>
      <c r="JQ35" s="102"/>
      <c r="JR35" s="102"/>
      <c r="JS35" s="102"/>
      <c r="JT35" s="102"/>
      <c r="JU35" s="102"/>
      <c r="JV35" s="102"/>
      <c r="JW35" s="102"/>
      <c r="JX35" s="102"/>
      <c r="JY35" s="102"/>
      <c r="JZ35" s="102"/>
      <c r="MC35" s="22">
        <f>ROW()</f>
        <v>35</v>
      </c>
      <c r="MD35" s="555" t="s">
        <v>394</v>
      </c>
      <c r="MF35" s="50">
        <f>-MF34*0.21</f>
        <v>95709051.000808001</v>
      </c>
      <c r="MG35" s="50">
        <f>-MG34*0.21</f>
        <v>-837568.79850418167</v>
      </c>
      <c r="MH35" s="50">
        <f>-MH34*0.21</f>
        <v>94871482.202303812</v>
      </c>
      <c r="MI35" s="50">
        <f>-MI34*0.21</f>
        <v>0</v>
      </c>
      <c r="MJ35" s="50">
        <f t="shared" ref="MJ35:MP35" si="164">-MJ34*0.21</f>
        <v>94871482.202303812</v>
      </c>
      <c r="MK35" s="50">
        <f t="shared" si="164"/>
        <v>0</v>
      </c>
      <c r="ML35" s="50">
        <f t="shared" si="164"/>
        <v>94871482.202303812</v>
      </c>
      <c r="MM35" s="50">
        <f t="shared" si="164"/>
        <v>0</v>
      </c>
      <c r="MN35" s="50">
        <f t="shared" si="164"/>
        <v>94871482.202303812</v>
      </c>
      <c r="MO35" s="50">
        <f t="shared" si="164"/>
        <v>0</v>
      </c>
      <c r="MP35" s="50">
        <f t="shared" si="164"/>
        <v>94871482.202303812</v>
      </c>
      <c r="MQ35" s="50"/>
      <c r="MR35" s="50">
        <f>-MR34*0.21</f>
        <v>0</v>
      </c>
      <c r="MS35" s="50"/>
      <c r="MT35" s="50">
        <f>-MT34*0.21</f>
        <v>0</v>
      </c>
      <c r="MV35" s="609"/>
      <c r="MW35" s="78"/>
      <c r="MX35" s="78"/>
      <c r="MY35" s="78"/>
      <c r="MZ35" s="78"/>
      <c r="NA35" s="78"/>
      <c r="NB35" s="78"/>
      <c r="NC35" s="78"/>
      <c r="ND35" s="78"/>
      <c r="NE35" s="78"/>
      <c r="NF35" s="78"/>
      <c r="NG35" s="78"/>
      <c r="NH35" s="78"/>
      <c r="NM35" s="65" t="s">
        <v>30</v>
      </c>
      <c r="OE35" s="482">
        <f>ROW()</f>
        <v>35</v>
      </c>
      <c r="OF35" s="1" t="s">
        <v>240</v>
      </c>
      <c r="OH35" s="835">
        <f>-OH32-OH34</f>
        <v>-3737464.7041999986</v>
      </c>
      <c r="OI35" s="835">
        <f>-OI32-OI34</f>
        <v>0</v>
      </c>
      <c r="OJ35" s="835">
        <f>-OJ32-OJ34</f>
        <v>-3737464.7041999986</v>
      </c>
      <c r="OK35" s="835">
        <f>-OK32-OK34</f>
        <v>3737464.7041999986</v>
      </c>
      <c r="OL35" s="835">
        <f>OL32+OL34</f>
        <v>0</v>
      </c>
      <c r="OM35" s="836"/>
      <c r="ON35" s="836"/>
      <c r="OO35" s="836"/>
      <c r="OP35" s="836"/>
      <c r="OQ35" s="836"/>
      <c r="OR35" s="836"/>
      <c r="OS35" s="660">
        <f>SUM(OS33:OS34)</f>
        <v>0</v>
      </c>
      <c r="OT35" s="660">
        <f>SUM(OT33:OT34)</f>
        <v>0</v>
      </c>
      <c r="OU35" s="660">
        <f>SUM(OU33:OU34)</f>
        <v>0</v>
      </c>
      <c r="OV35" s="660">
        <f>SUM(OV33:OV34)</f>
        <v>0</v>
      </c>
      <c r="OW35" s="22">
        <f>ROW()</f>
        <v>35</v>
      </c>
      <c r="OX35" s="7" t="s">
        <v>330</v>
      </c>
      <c r="OY35" s="7"/>
      <c r="OZ35" s="837">
        <f>OZ21+OZ27+OZ33</f>
        <v>182936245.95373607</v>
      </c>
      <c r="PA35" s="837">
        <f t="shared" ref="PA35:PN35" si="165">PA21+PA27+PA33</f>
        <v>-117784370.64898372</v>
      </c>
      <c r="PB35" s="837">
        <f t="shared" si="165"/>
        <v>65151875.30475235</v>
      </c>
      <c r="PC35" s="837">
        <f t="shared" si="165"/>
        <v>117784370.64898372</v>
      </c>
      <c r="PD35" s="838">
        <f t="shared" si="165"/>
        <v>182936245.95373607</v>
      </c>
      <c r="PE35" s="838">
        <f t="shared" si="165"/>
        <v>0</v>
      </c>
      <c r="PF35" s="838">
        <f t="shared" si="165"/>
        <v>182936245.95373607</v>
      </c>
      <c r="PG35" s="839">
        <f t="shared" si="165"/>
        <v>0</v>
      </c>
      <c r="PH35" s="839">
        <f t="shared" si="165"/>
        <v>182936245.95373607</v>
      </c>
      <c r="PI35" s="839">
        <f t="shared" si="165"/>
        <v>0</v>
      </c>
      <c r="PJ35" s="839">
        <f t="shared" si="165"/>
        <v>182936245.95373607</v>
      </c>
      <c r="PK35" s="839">
        <f t="shared" si="165"/>
        <v>0</v>
      </c>
      <c r="PL35" s="839">
        <f t="shared" si="165"/>
        <v>182936245.95373607</v>
      </c>
      <c r="PM35" s="839">
        <f t="shared" si="165"/>
        <v>0</v>
      </c>
      <c r="PN35" s="839">
        <f t="shared" si="165"/>
        <v>182936245.95373607</v>
      </c>
      <c r="PO35" s="7"/>
      <c r="PP35" s="7"/>
      <c r="PQ35" s="7"/>
      <c r="PR35" s="7"/>
      <c r="PS35" s="102"/>
      <c r="PT35" s="102"/>
      <c r="PU35" s="102"/>
      <c r="PV35" s="102"/>
      <c r="PW35" s="102"/>
      <c r="PX35" s="102"/>
      <c r="PY35" s="102"/>
      <c r="PZ35" s="102"/>
      <c r="QA35" s="102"/>
      <c r="QB35" s="102"/>
      <c r="QC35" s="102"/>
      <c r="QD35" s="102"/>
      <c r="QE35" s="102"/>
      <c r="QF35" s="102"/>
      <c r="QG35" s="102"/>
      <c r="QH35" s="102"/>
      <c r="QI35" s="102"/>
      <c r="QJ35" s="102"/>
      <c r="RC35" s="22">
        <f>ROW()</f>
        <v>35</v>
      </c>
      <c r="RD35" s="102" t="s">
        <v>394</v>
      </c>
      <c r="RF35" s="604"/>
      <c r="RG35" s="604"/>
      <c r="RH35" s="739">
        <v>-1229979121.3289661</v>
      </c>
      <c r="RI35" s="739">
        <v>-3213422.2463583946</v>
      </c>
      <c r="RJ35" s="745">
        <f>RI35+RH35</f>
        <v>-1233192543.5753245</v>
      </c>
      <c r="RK35" s="739">
        <v>29264042.796705246</v>
      </c>
      <c r="RL35" s="745">
        <f>RK35+RJ35</f>
        <v>-1203928500.7786193</v>
      </c>
      <c r="RM35" s="739">
        <v>18401207.36012435</v>
      </c>
      <c r="RN35" s="745">
        <f>RM35+RL35</f>
        <v>-1185527293.4184949</v>
      </c>
      <c r="RO35" s="739">
        <v>41791813.648655891</v>
      </c>
      <c r="RP35" s="745">
        <f>RO35+RN35</f>
        <v>-1143735479.769839</v>
      </c>
      <c r="RQ35" s="739"/>
      <c r="RR35" s="745">
        <f>RQ35+RP35</f>
        <v>-1143735479.769839</v>
      </c>
      <c r="RS35" s="739"/>
      <c r="RT35" s="745">
        <f>RS35+RR35</f>
        <v>-1143735479.769839</v>
      </c>
      <c r="RU35" s="521">
        <f>ROW()</f>
        <v>35</v>
      </c>
      <c r="RV35" s="102" t="s">
        <v>295</v>
      </c>
      <c r="RW35" s="520"/>
      <c r="RX35" s="819"/>
      <c r="RY35" s="819"/>
      <c r="RZ35" s="819">
        <f t="shared" ref="RZ35:SL35" si="166">SUM(RZ32:RZ34)</f>
        <v>0</v>
      </c>
      <c r="SA35" s="821">
        <f t="shared" si="166"/>
        <v>174784.55000000002</v>
      </c>
      <c r="SB35" s="821">
        <f t="shared" si="166"/>
        <v>174784.55000000002</v>
      </c>
      <c r="SC35" s="821">
        <f t="shared" si="166"/>
        <v>1727315.5599999998</v>
      </c>
      <c r="SD35" s="821">
        <f t="shared" si="166"/>
        <v>1902100.1099999999</v>
      </c>
      <c r="SE35" s="821">
        <f t="shared" si="166"/>
        <v>1611738.4900000002</v>
      </c>
      <c r="SF35" s="821">
        <f t="shared" si="166"/>
        <v>3513838.6</v>
      </c>
      <c r="SG35" s="821">
        <f t="shared" si="166"/>
        <v>4335624.6499999985</v>
      </c>
      <c r="SH35" s="821">
        <f>SUM(SH32:SH34)</f>
        <v>7849463.2499999991</v>
      </c>
      <c r="SI35" s="819">
        <f t="shared" si="166"/>
        <v>0</v>
      </c>
      <c r="SJ35" s="819">
        <f t="shared" si="166"/>
        <v>0</v>
      </c>
      <c r="SK35" s="819">
        <f t="shared" si="166"/>
        <v>0</v>
      </c>
      <c r="SL35" s="819">
        <f t="shared" si="166"/>
        <v>0</v>
      </c>
      <c r="SM35" s="521">
        <f>ROW()</f>
        <v>35</v>
      </c>
      <c r="SN35" s="102" t="s">
        <v>222</v>
      </c>
      <c r="SO35" s="608"/>
      <c r="SP35" s="607"/>
      <c r="SQ35" s="74"/>
      <c r="SR35" s="74"/>
      <c r="SS35" s="39">
        <v>0</v>
      </c>
      <c r="ST35" s="39">
        <f>SS35</f>
        <v>0</v>
      </c>
      <c r="SU35" s="39">
        <v>0</v>
      </c>
      <c r="SV35" s="39">
        <f>SU35+ST35</f>
        <v>0</v>
      </c>
      <c r="SW35" s="39">
        <v>0</v>
      </c>
      <c r="SX35" s="39">
        <f>SW35+SV35</f>
        <v>0</v>
      </c>
      <c r="SY35" s="39">
        <v>0</v>
      </c>
      <c r="SZ35" s="39">
        <f t="shared" ref="SZ35:TD37" si="167">SY35+SX35</f>
        <v>0</v>
      </c>
      <c r="TA35" s="606"/>
      <c r="TB35" s="606">
        <f t="shared" si="167"/>
        <v>0</v>
      </c>
      <c r="TC35" s="607"/>
      <c r="TD35" s="606">
        <f t="shared" si="167"/>
        <v>0</v>
      </c>
      <c r="TF35" s="950">
        <f>ROW()</f>
        <v>35</v>
      </c>
      <c r="TG35" s="555" t="s">
        <v>292</v>
      </c>
      <c r="TH35" s="610"/>
      <c r="TI35" s="704">
        <f>TI33-TI34</f>
        <v>74914559.225866467</v>
      </c>
      <c r="TJ35" s="704">
        <f>TJ33-TJ34</f>
        <v>-74914559.225866467</v>
      </c>
      <c r="TK35" s="635">
        <f>SUM(TI35:TJ35)</f>
        <v>0</v>
      </c>
      <c r="TL35" s="635">
        <f>-TL33-TL34</f>
        <v>0</v>
      </c>
      <c r="TM35" s="635">
        <f>SUM(TK35:TL35)</f>
        <v>0</v>
      </c>
      <c r="TN35" s="635">
        <f>-TN33-TN34</f>
        <v>0</v>
      </c>
      <c r="TO35" s="635">
        <f>SUM(TM35:TN35)</f>
        <v>0</v>
      </c>
      <c r="TP35" s="635">
        <f>-TP33-TP34</f>
        <v>0</v>
      </c>
      <c r="TQ35" s="635">
        <f>SUM(TO35:TP35)</f>
        <v>0</v>
      </c>
      <c r="TR35" s="635">
        <f>-TR33-TR34</f>
        <v>0</v>
      </c>
      <c r="TS35" s="635">
        <f>-TS33-TS34</f>
        <v>0</v>
      </c>
      <c r="TV35" s="515"/>
      <c r="TW35" s="491"/>
      <c r="TX35" s="100"/>
      <c r="TY35" s="100"/>
      <c r="TZ35" s="100"/>
      <c r="UA35" s="100"/>
      <c r="UB35" s="100"/>
      <c r="UC35" s="100"/>
      <c r="UD35" s="100"/>
      <c r="UE35" s="100"/>
      <c r="UF35" s="100"/>
      <c r="UG35" s="100"/>
      <c r="UH35" s="100"/>
      <c r="UJ35" s="521"/>
      <c r="UK35" s="20"/>
      <c r="UL35" s="610"/>
      <c r="UM35" s="633"/>
      <c r="UN35" s="633"/>
      <c r="UO35" s="633"/>
      <c r="UP35" s="633"/>
      <c r="UQ35" s="633"/>
      <c r="UR35" s="633"/>
      <c r="US35" s="633"/>
      <c r="UT35" s="633"/>
      <c r="UU35" s="633"/>
      <c r="UV35" s="633"/>
      <c r="UW35" s="633"/>
    </row>
    <row r="36" spans="1:569" ht="16.5" thickTop="1" thickBot="1" x14ac:dyDescent="0.3">
      <c r="A36" s="22">
        <f>ROW()</f>
        <v>36</v>
      </c>
      <c r="B36" s="524" t="s">
        <v>395</v>
      </c>
      <c r="C36" s="23"/>
      <c r="D36" s="618">
        <v>33274362.822046958</v>
      </c>
      <c r="E36" s="618"/>
      <c r="F36" s="618">
        <f t="shared" si="17"/>
        <v>33274362.822046958</v>
      </c>
      <c r="G36" s="640">
        <f>-F36</f>
        <v>-33274362.822046958</v>
      </c>
      <c r="H36" s="618">
        <f t="shared" si="17"/>
        <v>0</v>
      </c>
      <c r="I36" s="618"/>
      <c r="J36" s="618">
        <f t="shared" si="17"/>
        <v>0</v>
      </c>
      <c r="K36" s="618"/>
      <c r="L36" s="618">
        <f t="shared" si="17"/>
        <v>0</v>
      </c>
      <c r="M36" s="618"/>
      <c r="N36" s="618">
        <f t="shared" si="17"/>
        <v>0</v>
      </c>
      <c r="O36" s="618"/>
      <c r="P36" s="618">
        <f t="shared" si="156"/>
        <v>0</v>
      </c>
      <c r="Q36" s="618"/>
      <c r="R36" s="618">
        <f t="shared" si="157"/>
        <v>0</v>
      </c>
      <c r="S36" s="529">
        <f>ROW()</f>
        <v>36</v>
      </c>
      <c r="T36" s="689" t="s">
        <v>281</v>
      </c>
      <c r="U36" s="690"/>
      <c r="V36" s="840"/>
      <c r="AG36" s="78"/>
      <c r="AH36" s="78"/>
      <c r="AI36" s="78"/>
      <c r="AJ36" s="78"/>
      <c r="AK36" s="65" t="s">
        <v>30</v>
      </c>
      <c r="AY36" s="50"/>
      <c r="AZ36" s="50"/>
      <c r="BB36" s="21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T36" s="102"/>
      <c r="BU36" s="102"/>
      <c r="BV36" s="102"/>
      <c r="BW36"/>
      <c r="BX36"/>
      <c r="BY36"/>
      <c r="BZ36"/>
      <c r="CA36"/>
      <c r="CB36"/>
      <c r="CC36"/>
      <c r="CD36"/>
      <c r="CE36"/>
      <c r="CF36"/>
      <c r="CG36" s="841">
        <f>CG24-CG35</f>
        <v>97806.1719147697</v>
      </c>
      <c r="CH36" s="841">
        <f>CH24-CH35</f>
        <v>-29313055.209659878</v>
      </c>
      <c r="CI36" s="841">
        <f>CI24-CI35</f>
        <v>89227.183750150492</v>
      </c>
      <c r="CJ36" s="841">
        <f>CJ24-CJ35</f>
        <v>-29223828.025909729</v>
      </c>
      <c r="DC36" s="1"/>
      <c r="DD36" s="1"/>
      <c r="DE36" s="1"/>
      <c r="DF36" s="1"/>
      <c r="DG36" s="1"/>
      <c r="DH36" s="1"/>
      <c r="DI36" s="1"/>
      <c r="DJ36" s="1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O36" s="22">
        <f>ROW()</f>
        <v>36</v>
      </c>
      <c r="GP36" s="4"/>
      <c r="GQ36" s="480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IQ36" s="102"/>
      <c r="IR36" s="102"/>
      <c r="IS36" s="102"/>
      <c r="IT36" s="102"/>
      <c r="IU36" s="102"/>
      <c r="IV36" s="102"/>
      <c r="IW36" s="102"/>
      <c r="IX36" s="102"/>
      <c r="IY36" s="102"/>
      <c r="IZ36" s="102"/>
      <c r="JA36" s="102"/>
      <c r="JB36" s="102"/>
      <c r="JC36" s="102"/>
      <c r="JD36" s="102"/>
      <c r="JE36" s="102"/>
      <c r="JF36" s="102"/>
      <c r="JG36" s="102"/>
      <c r="JH36" s="102"/>
      <c r="JI36" s="102"/>
      <c r="JJ36" s="102"/>
      <c r="JK36" s="102"/>
      <c r="JL36" s="102"/>
      <c r="JM36" s="102"/>
      <c r="JN36" s="102"/>
      <c r="JO36" s="102"/>
      <c r="JP36" s="102"/>
      <c r="JQ36" s="102"/>
      <c r="JR36" s="102"/>
      <c r="JS36" s="102"/>
      <c r="JT36" s="102"/>
      <c r="JU36" s="102"/>
      <c r="JV36" s="102"/>
      <c r="JW36" s="102"/>
      <c r="JX36" s="102"/>
      <c r="JY36" s="102"/>
      <c r="JZ36" s="102"/>
      <c r="MC36" s="22"/>
      <c r="MD36" s="555" t="s">
        <v>295</v>
      </c>
      <c r="MF36" s="635">
        <f>SUM(MF34:MF35)</f>
        <v>-360048334.71732533</v>
      </c>
      <c r="MG36" s="635">
        <f>SUM(MG34:MG35)</f>
        <v>3150854.051515731</v>
      </c>
      <c r="MH36" s="635">
        <f>SUM(MH34:MH35)</f>
        <v>-356897480.66580957</v>
      </c>
      <c r="MI36" s="635">
        <f>SUM(MI34:MI35)</f>
        <v>0</v>
      </c>
      <c r="MJ36" s="635">
        <f t="shared" ref="MJ36:MT36" si="168">SUM(MJ34:MJ35)</f>
        <v>-356897480.66580957</v>
      </c>
      <c r="MK36" s="635">
        <f t="shared" si="168"/>
        <v>0</v>
      </c>
      <c r="ML36" s="635">
        <f t="shared" si="168"/>
        <v>-356897480.66580957</v>
      </c>
      <c r="MM36" s="635">
        <f t="shared" si="168"/>
        <v>0</v>
      </c>
      <c r="MN36" s="635">
        <f t="shared" si="168"/>
        <v>-356897480.66580957</v>
      </c>
      <c r="MO36" s="635">
        <f t="shared" si="168"/>
        <v>0</v>
      </c>
      <c r="MP36" s="635">
        <f t="shared" si="168"/>
        <v>-356897480.66580957</v>
      </c>
      <c r="MQ36" s="635">
        <f t="shared" si="168"/>
        <v>0</v>
      </c>
      <c r="MR36" s="635">
        <f t="shared" si="168"/>
        <v>0</v>
      </c>
      <c r="MS36" s="635">
        <f t="shared" si="168"/>
        <v>0</v>
      </c>
      <c r="MT36" s="635">
        <f t="shared" si="168"/>
        <v>0</v>
      </c>
      <c r="MV36" s="609"/>
      <c r="MW36" s="610"/>
      <c r="MX36" s="78"/>
      <c r="MY36" s="78"/>
      <c r="MZ36" s="78"/>
      <c r="NA36" s="78"/>
      <c r="NB36" s="78"/>
      <c r="NC36" s="78"/>
      <c r="ND36" s="78"/>
      <c r="NE36" s="78"/>
      <c r="NF36" s="78"/>
      <c r="NG36" s="78"/>
      <c r="NH36" s="78"/>
      <c r="OA36" s="550"/>
      <c r="OB36" s="550"/>
      <c r="OC36" s="550"/>
      <c r="OD36" s="550"/>
      <c r="OE36" s="482">
        <f>ROW()</f>
        <v>36</v>
      </c>
      <c r="OH36" s="102"/>
      <c r="OI36" s="102"/>
      <c r="OJ36" s="102"/>
      <c r="OK36" s="102"/>
      <c r="OL36" s="102"/>
      <c r="OM36"/>
      <c r="ON36"/>
      <c r="OO36"/>
      <c r="OP36"/>
      <c r="OQ36"/>
      <c r="OR36"/>
      <c r="OS36" s="818"/>
      <c r="OT36" s="818"/>
      <c r="OU36" s="818"/>
      <c r="OV36" s="818"/>
      <c r="OW36" s="22">
        <f>ROW()</f>
        <v>36</v>
      </c>
      <c r="OX36" s="842" t="s">
        <v>306</v>
      </c>
      <c r="OY36" s="842"/>
      <c r="OZ36" s="63"/>
      <c r="PA36" s="63"/>
      <c r="PB36" s="63"/>
      <c r="PC36" s="63"/>
      <c r="PD36" s="63"/>
      <c r="PE36" s="63"/>
      <c r="PF36" s="63"/>
      <c r="PG36" s="64"/>
      <c r="PH36" s="64"/>
      <c r="PI36" s="64"/>
      <c r="PJ36" s="64"/>
      <c r="PK36" s="64"/>
      <c r="PL36" s="64"/>
      <c r="PM36" s="64"/>
      <c r="PN36" s="64"/>
      <c r="PO36" s="7"/>
      <c r="PP36" s="7"/>
      <c r="PQ36" s="7"/>
      <c r="PR36" s="7"/>
      <c r="PS36" s="102"/>
      <c r="PT36" s="102"/>
      <c r="PU36" s="102"/>
      <c r="PV36" s="102"/>
      <c r="PW36" s="102"/>
      <c r="PX36" s="102"/>
      <c r="PY36" s="102"/>
      <c r="PZ36" s="102"/>
      <c r="QA36" s="102"/>
      <c r="QB36" s="102"/>
      <c r="QC36" s="102"/>
      <c r="QD36" s="102"/>
      <c r="QE36" s="102"/>
      <c r="QF36" s="102"/>
      <c r="QG36" s="102"/>
      <c r="QH36" s="102"/>
      <c r="QI36" s="102"/>
      <c r="QJ36" s="102"/>
      <c r="RC36" s="22">
        <f>ROW()</f>
        <v>36</v>
      </c>
      <c r="RD36" s="102" t="s">
        <v>295</v>
      </c>
      <c r="RE36" s="795"/>
      <c r="RF36" s="843"/>
      <c r="RG36" s="843"/>
      <c r="RH36" s="821">
        <f t="shared" ref="RH36:RT36" si="169">SUM(RH33:RH35)</f>
        <v>-5954705296.1703815</v>
      </c>
      <c r="RI36" s="821">
        <f t="shared" si="169"/>
        <v>-213417265.83208799</v>
      </c>
      <c r="RJ36" s="821">
        <f t="shared" si="169"/>
        <v>-6168122562.00247</v>
      </c>
      <c r="RK36" s="821">
        <f t="shared" si="169"/>
        <v>-382029793.38882923</v>
      </c>
      <c r="RL36" s="821">
        <f t="shared" si="169"/>
        <v>-6550152355.3912983</v>
      </c>
      <c r="RM36" s="821">
        <f t="shared" si="169"/>
        <v>-184969861.88016725</v>
      </c>
      <c r="RN36" s="821">
        <f t="shared" si="169"/>
        <v>-6735122217.2714663</v>
      </c>
      <c r="RO36" s="821">
        <f t="shared" si="169"/>
        <v>-352250228.54315853</v>
      </c>
      <c r="RP36" s="821">
        <f t="shared" si="169"/>
        <v>-7087372445.8146248</v>
      </c>
      <c r="RQ36" s="819">
        <f t="shared" si="169"/>
        <v>0</v>
      </c>
      <c r="RR36" s="819">
        <f t="shared" si="169"/>
        <v>-7087372445.8146248</v>
      </c>
      <c r="RS36" s="819">
        <f t="shared" si="169"/>
        <v>0</v>
      </c>
      <c r="RT36" s="819">
        <f t="shared" si="169"/>
        <v>-7087372445.8146248</v>
      </c>
      <c r="SM36" s="521">
        <f>ROW()</f>
        <v>36</v>
      </c>
      <c r="SN36" s="102" t="s">
        <v>244</v>
      </c>
      <c r="SO36" s="608"/>
      <c r="SP36" s="607"/>
      <c r="SQ36" s="74"/>
      <c r="SR36" s="74"/>
      <c r="SS36" s="39">
        <v>2048.9499999999998</v>
      </c>
      <c r="ST36" s="39">
        <f>SS36</f>
        <v>2048.9499999999998</v>
      </c>
      <c r="SU36" s="39">
        <v>55344.950000000004</v>
      </c>
      <c r="SV36" s="39">
        <f>SU36+ST36</f>
        <v>57393.9</v>
      </c>
      <c r="SW36" s="39">
        <v>87905.459999999992</v>
      </c>
      <c r="SX36" s="39">
        <f>SW36+SV36</f>
        <v>145299.35999999999</v>
      </c>
      <c r="SY36" s="39">
        <v>88036.5</v>
      </c>
      <c r="SZ36" s="39">
        <f t="shared" si="167"/>
        <v>233335.86</v>
      </c>
      <c r="TA36" s="606"/>
      <c r="TB36" s="606">
        <f t="shared" si="167"/>
        <v>233335.86</v>
      </c>
      <c r="TC36" s="607"/>
      <c r="TD36" s="606">
        <f t="shared" si="167"/>
        <v>233335.86</v>
      </c>
      <c r="TF36" s="950">
        <f>ROW()</f>
        <v>36</v>
      </c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V36" s="508"/>
      <c r="TW36" s="509"/>
      <c r="TX36" s="100"/>
      <c r="TY36" s="100"/>
      <c r="TZ36" s="100"/>
      <c r="UA36" s="100"/>
      <c r="UB36" s="100"/>
      <c r="UC36" s="100"/>
      <c r="UD36" s="100"/>
      <c r="UE36" s="100"/>
      <c r="UF36" s="100"/>
      <c r="UG36" s="100"/>
      <c r="UH36" s="100"/>
      <c r="UJ36" s="521"/>
      <c r="UK36" s="20"/>
      <c r="UL36" s="610"/>
      <c r="UM36" s="633"/>
      <c r="UN36" s="633"/>
      <c r="UO36" s="633"/>
      <c r="UP36" s="633"/>
      <c r="UQ36" s="633"/>
      <c r="UR36" s="633"/>
      <c r="US36" s="633"/>
      <c r="UT36" s="633"/>
      <c r="UU36" s="633"/>
      <c r="UV36" s="633"/>
      <c r="UW36" s="633"/>
    </row>
    <row r="37" spans="1:569" ht="16.5" thickTop="1" thickBot="1" x14ac:dyDescent="0.3">
      <c r="A37" s="22">
        <f>ROW()</f>
        <v>37</v>
      </c>
      <c r="B37" s="524" t="s">
        <v>396</v>
      </c>
      <c r="C37" s="618"/>
      <c r="D37" s="618">
        <v>-31206131.68</v>
      </c>
      <c r="E37" s="618"/>
      <c r="F37" s="618">
        <f t="shared" si="17"/>
        <v>-31206131.68</v>
      </c>
      <c r="G37" s="640">
        <f>-F37</f>
        <v>31206131.68</v>
      </c>
      <c r="H37" s="618">
        <f t="shared" si="17"/>
        <v>0</v>
      </c>
      <c r="I37" s="618"/>
      <c r="J37" s="618">
        <f t="shared" si="17"/>
        <v>0</v>
      </c>
      <c r="K37" s="618"/>
      <c r="L37" s="618">
        <f t="shared" si="17"/>
        <v>0</v>
      </c>
      <c r="M37" s="618"/>
      <c r="N37" s="618">
        <f t="shared" si="17"/>
        <v>0</v>
      </c>
      <c r="O37" s="618"/>
      <c r="P37" s="618">
        <f t="shared" si="156"/>
        <v>0</v>
      </c>
      <c r="Q37" s="618"/>
      <c r="R37" s="618">
        <f t="shared" si="157"/>
        <v>0</v>
      </c>
      <c r="S37" s="529">
        <f>ROW()</f>
        <v>37</v>
      </c>
      <c r="T37" s="679" t="s">
        <v>17</v>
      </c>
      <c r="U37" s="711">
        <f>+'SEF-31'!$E$12</f>
        <v>6.4879999999999998E-3</v>
      </c>
      <c r="V37" s="50">
        <f>SUM(V$17:V$24,V$28:V33)*U37</f>
        <v>1943095.8498527787</v>
      </c>
      <c r="W37" s="50">
        <f>SUM(W$17:W$24,W$28:W$30,W33:W33)*U37</f>
        <v>-1845516.7465770189</v>
      </c>
      <c r="X37" s="50">
        <f>SUM(V37:W37)</f>
        <v>97579.103275759844</v>
      </c>
      <c r="Y37" s="50">
        <f>SUM(Y$17:Y$24,Y$28:Y$33)*$U37</f>
        <v>-97579.103275760004</v>
      </c>
      <c r="Z37" s="50">
        <f t="shared" ref="Z37:AF37" si="170">SUM(Z$17:Z$24,Z$28:Z$33)*$C$55</f>
        <v>0</v>
      </c>
      <c r="AA37" s="50">
        <f t="shared" si="170"/>
        <v>0</v>
      </c>
      <c r="AB37" s="50">
        <f t="shared" si="170"/>
        <v>0</v>
      </c>
      <c r="AC37" s="50">
        <f t="shared" si="170"/>
        <v>0</v>
      </c>
      <c r="AD37" s="50">
        <f t="shared" si="170"/>
        <v>0</v>
      </c>
      <c r="AE37" s="50">
        <f t="shared" si="170"/>
        <v>0</v>
      </c>
      <c r="AF37" s="50">
        <f t="shared" si="170"/>
        <v>0</v>
      </c>
      <c r="AG37" s="78"/>
      <c r="AH37" s="78"/>
      <c r="AI37" s="78"/>
      <c r="AJ37" s="78"/>
      <c r="BB37" s="21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W37"/>
      <c r="BX37"/>
      <c r="BY37"/>
      <c r="BZ37"/>
      <c r="CA37"/>
      <c r="CB37"/>
      <c r="CC37"/>
      <c r="CD37"/>
      <c r="CE37"/>
      <c r="CF37"/>
      <c r="DC37" s="1"/>
      <c r="DD37" s="1"/>
      <c r="DE37" s="1"/>
      <c r="DF37" s="1"/>
      <c r="DG37" s="1"/>
      <c r="DH37" s="1"/>
      <c r="DI37" s="1"/>
      <c r="DJ37" s="1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O37" s="22">
        <f>ROW()</f>
        <v>37</v>
      </c>
      <c r="GP37" s="480" t="s">
        <v>240</v>
      </c>
      <c r="GQ37" s="480"/>
      <c r="GR37" s="725">
        <f t="shared" ref="GR37:HF37" si="171">-GR33-GR35</f>
        <v>-7487241.4188028928</v>
      </c>
      <c r="GS37" s="725">
        <f t="shared" si="171"/>
        <v>-397201.36744354269</v>
      </c>
      <c r="GT37" s="725">
        <f t="shared" si="171"/>
        <v>-7884442.7862464348</v>
      </c>
      <c r="GU37" s="725">
        <f t="shared" si="171"/>
        <v>0</v>
      </c>
      <c r="GV37" s="725">
        <f t="shared" si="171"/>
        <v>-7884442.7862464348</v>
      </c>
      <c r="GW37" s="725">
        <f t="shared" si="171"/>
        <v>0</v>
      </c>
      <c r="GX37" s="725">
        <f t="shared" si="171"/>
        <v>-7884442.7862464348</v>
      </c>
      <c r="GY37" s="725">
        <f t="shared" si="171"/>
        <v>0</v>
      </c>
      <c r="GZ37" s="725">
        <f t="shared" si="171"/>
        <v>-7884442.7862464348</v>
      </c>
      <c r="HA37" s="725">
        <f t="shared" si="171"/>
        <v>0</v>
      </c>
      <c r="HB37" s="725">
        <f t="shared" si="171"/>
        <v>-7884442.7862464348</v>
      </c>
      <c r="HC37" s="725">
        <f t="shared" si="171"/>
        <v>0</v>
      </c>
      <c r="HD37" s="725">
        <f t="shared" si="171"/>
        <v>0</v>
      </c>
      <c r="HE37" s="725">
        <f t="shared" si="171"/>
        <v>0</v>
      </c>
      <c r="HF37" s="725">
        <f t="shared" si="171"/>
        <v>0</v>
      </c>
      <c r="IQ37" s="102"/>
      <c r="IR37" s="102"/>
      <c r="IS37" s="102"/>
      <c r="IT37" s="102"/>
      <c r="IU37" s="102"/>
      <c r="IV37" s="102"/>
      <c r="IW37" s="102"/>
      <c r="IX37" s="102"/>
      <c r="IY37" s="102"/>
      <c r="IZ37" s="102"/>
      <c r="JA37" s="102"/>
      <c r="JB37" s="102"/>
      <c r="JC37" s="102"/>
      <c r="JD37" s="102"/>
      <c r="JE37" s="102"/>
      <c r="JF37" s="102"/>
      <c r="JG37" s="102"/>
      <c r="JH37" s="102"/>
      <c r="JI37" s="102"/>
      <c r="JJ37" s="102"/>
      <c r="JK37" s="102"/>
      <c r="JL37" s="102"/>
      <c r="JM37" s="102"/>
      <c r="JN37" s="102"/>
      <c r="JO37" s="102"/>
      <c r="JP37" s="102"/>
      <c r="JQ37" s="102"/>
      <c r="JR37" s="102"/>
      <c r="JS37" s="102"/>
      <c r="JT37" s="102"/>
      <c r="JU37" s="102"/>
      <c r="JV37" s="102"/>
      <c r="JW37" s="102"/>
      <c r="JX37" s="102"/>
      <c r="JY37" s="102"/>
      <c r="JZ37" s="102"/>
      <c r="MF37" s="102"/>
      <c r="MH37" s="102"/>
      <c r="MI37" s="102"/>
      <c r="MJ37" s="102"/>
      <c r="MK37" s="102"/>
      <c r="MV37" s="609"/>
      <c r="MW37" s="78"/>
      <c r="MX37" s="624"/>
      <c r="MY37" s="624"/>
      <c r="MZ37" s="624"/>
      <c r="NA37" s="624"/>
      <c r="NB37" s="624"/>
      <c r="NC37" s="624"/>
      <c r="ND37" s="624"/>
      <c r="NE37" s="624"/>
      <c r="NF37" s="624"/>
      <c r="NG37" s="624"/>
      <c r="NH37" s="624"/>
      <c r="NM37" s="523"/>
      <c r="NN37" s="917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550"/>
      <c r="OB37" s="550"/>
      <c r="OC37" s="550"/>
      <c r="OD37" s="550"/>
      <c r="OE37" s="482">
        <f>ROW()</f>
        <v>37</v>
      </c>
      <c r="OF37"/>
      <c r="OH37" s="102"/>
      <c r="OI37" s="102"/>
      <c r="OJ37" s="102"/>
      <c r="OK37" s="102"/>
      <c r="OL37" s="102"/>
      <c r="OM37"/>
      <c r="ON37"/>
      <c r="OO37"/>
      <c r="OP37"/>
      <c r="OQ37"/>
      <c r="OR37"/>
      <c r="OS37" s="667">
        <f>OS35</f>
        <v>0</v>
      </c>
      <c r="OT37" s="667">
        <f>OT35</f>
        <v>0</v>
      </c>
      <c r="OU37" s="667">
        <f>OU35</f>
        <v>0</v>
      </c>
      <c r="OV37" s="667">
        <f>OV35</f>
        <v>0</v>
      </c>
      <c r="OW37" s="22">
        <f>ROW()</f>
        <v>37</v>
      </c>
      <c r="OX37" s="562" t="s">
        <v>397</v>
      </c>
      <c r="PG37" s="43"/>
      <c r="PH37" s="43"/>
      <c r="PI37" s="43"/>
      <c r="PJ37" s="43"/>
      <c r="PK37" s="520"/>
      <c r="PL37" s="520"/>
      <c r="PM37" s="520"/>
      <c r="PN37" s="520"/>
      <c r="PO37" s="7"/>
      <c r="PP37" s="7"/>
      <c r="PQ37" s="7"/>
      <c r="PR37" s="7"/>
      <c r="PS37" s="102"/>
      <c r="PT37" s="102"/>
      <c r="PU37" s="102"/>
      <c r="PV37" s="102"/>
      <c r="PW37" s="102"/>
      <c r="PX37" s="102"/>
      <c r="PY37" s="102"/>
      <c r="PZ37" s="102"/>
      <c r="QA37" s="102"/>
      <c r="QB37" s="102"/>
      <c r="QC37" s="102"/>
      <c r="QD37" s="102"/>
      <c r="QE37" s="102"/>
      <c r="QF37" s="102"/>
      <c r="QG37" s="102"/>
      <c r="QH37" s="102"/>
      <c r="QI37" s="102"/>
      <c r="QJ37" s="102"/>
      <c r="RC37" s="22"/>
      <c r="RH37" s="1"/>
      <c r="RI37" s="1"/>
      <c r="RJ37" s="1"/>
      <c r="RK37" s="1"/>
      <c r="RL37" s="1"/>
      <c r="RM37" s="1"/>
      <c r="RN37" s="1"/>
      <c r="RO37" s="1"/>
      <c r="RP37" s="1"/>
      <c r="SM37" s="521">
        <f>ROW()</f>
        <v>37</v>
      </c>
      <c r="SN37" s="102" t="s">
        <v>260</v>
      </c>
      <c r="SO37" s="608"/>
      <c r="SP37" s="671"/>
      <c r="SQ37" s="739"/>
      <c r="SR37" s="739"/>
      <c r="SS37" s="745">
        <v>0</v>
      </c>
      <c r="ST37" s="745">
        <f>SS37</f>
        <v>0</v>
      </c>
      <c r="SU37" s="745">
        <v>0</v>
      </c>
      <c r="SV37" s="745">
        <f>SU37+ST37</f>
        <v>0</v>
      </c>
      <c r="SW37" s="745">
        <v>0</v>
      </c>
      <c r="SX37" s="745">
        <f>SW37+SV37</f>
        <v>0</v>
      </c>
      <c r="SY37" s="745">
        <v>0</v>
      </c>
      <c r="SZ37" s="745">
        <f t="shared" si="167"/>
        <v>0</v>
      </c>
      <c r="TA37" s="669"/>
      <c r="TB37" s="669">
        <f t="shared" si="167"/>
        <v>0</v>
      </c>
      <c r="TC37" s="671"/>
      <c r="TD37" s="669">
        <f t="shared" si="167"/>
        <v>0</v>
      </c>
      <c r="TF37" s="950">
        <f>ROW()</f>
        <v>37</v>
      </c>
      <c r="TG37" s="72" t="s">
        <v>398</v>
      </c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J37" s="521"/>
      <c r="UK37" s="20"/>
      <c r="UL37" s="610"/>
      <c r="UM37" s="633"/>
      <c r="UN37" s="633"/>
      <c r="UO37" s="633"/>
      <c r="UP37" s="633"/>
      <c r="UQ37" s="633"/>
      <c r="UR37" s="633"/>
      <c r="US37" s="633"/>
      <c r="UT37" s="633"/>
      <c r="UU37" s="633"/>
      <c r="UV37" s="633"/>
      <c r="UW37" s="633"/>
    </row>
    <row r="38" spans="1:569" ht="16.5" customHeight="1" thickTop="1" x14ac:dyDescent="0.25">
      <c r="A38" s="22">
        <f>ROW()</f>
        <v>38</v>
      </c>
      <c r="B38" s="524" t="s">
        <v>399</v>
      </c>
      <c r="C38" s="618"/>
      <c r="D38" s="618">
        <v>-741313.72204695607</v>
      </c>
      <c r="E38" s="618"/>
      <c r="F38" s="618">
        <f t="shared" si="17"/>
        <v>-741313.72204695607</v>
      </c>
      <c r="G38" s="640">
        <f>-F38</f>
        <v>741313.72204695607</v>
      </c>
      <c r="H38" s="618">
        <f t="shared" si="17"/>
        <v>0</v>
      </c>
      <c r="I38" s="618"/>
      <c r="J38" s="618">
        <f t="shared" si="17"/>
        <v>0</v>
      </c>
      <c r="K38" s="618"/>
      <c r="L38" s="618">
        <f t="shared" si="17"/>
        <v>0</v>
      </c>
      <c r="M38" s="618"/>
      <c r="N38" s="618">
        <f t="shared" si="17"/>
        <v>0</v>
      </c>
      <c r="O38" s="618"/>
      <c r="P38" s="618">
        <f t="shared" si="156"/>
        <v>0</v>
      </c>
      <c r="Q38" s="618"/>
      <c r="R38" s="618">
        <f t="shared" si="157"/>
        <v>0</v>
      </c>
      <c r="S38" s="529">
        <f>ROW()</f>
        <v>38</v>
      </c>
      <c r="T38" s="679" t="s">
        <v>20</v>
      </c>
      <c r="U38" s="1151">
        <v>5.0000000000000001E-3</v>
      </c>
      <c r="V38" s="750">
        <f>SUM(V$17:V$24,V$28:V33)*U38</f>
        <v>1497453.6450776656</v>
      </c>
      <c r="W38" s="750">
        <f>SUM(W$17:W$24,W$28:W$30,W33:W33)*U38</f>
        <v>-1422253.9662276655</v>
      </c>
      <c r="X38" s="750">
        <f>SUM(V38:W38)</f>
        <v>75199.678850000026</v>
      </c>
      <c r="Y38" s="750">
        <f>SUM(Y$17:Y$24,Y$28:Y$33)*$U38</f>
        <v>-75199.678850000011</v>
      </c>
      <c r="Z38" s="50">
        <f t="shared" ref="Z38:AF38" si="172">SUM(Z$17:Z$24,Z$28:Z$33)*$C$56</f>
        <v>0</v>
      </c>
      <c r="AA38" s="50">
        <f t="shared" si="172"/>
        <v>0</v>
      </c>
      <c r="AB38" s="50">
        <f t="shared" si="172"/>
        <v>0</v>
      </c>
      <c r="AC38" s="50">
        <f t="shared" si="172"/>
        <v>0</v>
      </c>
      <c r="AD38" s="50">
        <f t="shared" si="172"/>
        <v>0</v>
      </c>
      <c r="AE38" s="50">
        <f t="shared" si="172"/>
        <v>0</v>
      </c>
      <c r="AF38" s="50">
        <f t="shared" si="172"/>
        <v>0</v>
      </c>
      <c r="AG38" s="78"/>
      <c r="AH38" s="78"/>
      <c r="AI38" s="78"/>
      <c r="AJ38" s="78"/>
      <c r="AL38" s="523"/>
      <c r="AM38" s="20"/>
      <c r="AN38" s="20"/>
      <c r="AO38" s="20"/>
      <c r="AP38" s="20"/>
      <c r="AQ38" s="78"/>
      <c r="AR38" s="78"/>
      <c r="AS38" s="78"/>
      <c r="AT38" s="78"/>
      <c r="AU38" s="78"/>
      <c r="AV38" s="78"/>
      <c r="AW38" s="78"/>
      <c r="AX38" s="78"/>
      <c r="BB38" s="21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W38"/>
      <c r="BX38"/>
      <c r="BY38"/>
      <c r="BZ38"/>
      <c r="CA38"/>
      <c r="CB38"/>
      <c r="CC38"/>
      <c r="CD38"/>
      <c r="CE38"/>
      <c r="CF38"/>
      <c r="DC38" s="1"/>
      <c r="DD38" s="1"/>
      <c r="DE38" s="1"/>
      <c r="DF38" s="1"/>
      <c r="DG38" s="1"/>
      <c r="DH38" s="1"/>
      <c r="DI38" s="1"/>
      <c r="DJ38" s="1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O38" s="22"/>
      <c r="IQ38" s="102"/>
      <c r="IR38" s="102"/>
      <c r="IS38" s="102"/>
      <c r="IT38" s="102"/>
      <c r="IU38" s="102"/>
      <c r="IV38" s="102"/>
      <c r="IW38" s="102"/>
      <c r="IX38" s="102"/>
      <c r="IY38" s="102"/>
      <c r="IZ38" s="102"/>
      <c r="JA38" s="102"/>
      <c r="JB38" s="102"/>
      <c r="JC38" s="102"/>
      <c r="JD38" s="102"/>
      <c r="JE38" s="102"/>
      <c r="JF38" s="102"/>
      <c r="JG38" s="102"/>
      <c r="JH38" s="102"/>
      <c r="JI38" s="102"/>
      <c r="JJ38" s="102"/>
      <c r="JK38" s="102"/>
      <c r="JL38" s="102"/>
      <c r="JM38" s="102"/>
      <c r="JN38" s="102"/>
      <c r="JO38" s="102"/>
      <c r="JP38" s="102"/>
      <c r="JQ38" s="102"/>
      <c r="JR38" s="102"/>
      <c r="JS38" s="102"/>
      <c r="JT38" s="102"/>
      <c r="JU38" s="102"/>
      <c r="JV38" s="102"/>
      <c r="JW38" s="102"/>
      <c r="JX38" s="102"/>
      <c r="JY38" s="102"/>
      <c r="JZ38" s="102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M38" s="30"/>
      <c r="NN38" s="1194"/>
      <c r="NO38" s="547"/>
      <c r="NP38" s="800"/>
      <c r="NQ38" s="800"/>
      <c r="NR38" s="800"/>
      <c r="NS38" s="800"/>
      <c r="NT38" s="800"/>
      <c r="NU38" s="800"/>
      <c r="NV38" s="800"/>
      <c r="NW38" s="800"/>
      <c r="NX38" s="800"/>
      <c r="NY38" s="800"/>
      <c r="NZ38" s="800"/>
      <c r="OA38" s="550"/>
      <c r="OB38" s="550"/>
      <c r="OC38" s="550"/>
      <c r="OD38" s="550"/>
      <c r="OE38" s="482">
        <f>ROW()</f>
        <v>38</v>
      </c>
      <c r="OF38" s="1" t="s">
        <v>400</v>
      </c>
      <c r="OH38" s="102"/>
      <c r="OI38" s="102"/>
      <c r="OJ38" s="102"/>
      <c r="OK38" s="102"/>
      <c r="OL38" s="102"/>
      <c r="OM38"/>
      <c r="ON38"/>
      <c r="OO38"/>
      <c r="OP38"/>
      <c r="OQ38"/>
      <c r="OR38"/>
      <c r="OS38" s="667"/>
      <c r="OT38" s="667"/>
      <c r="OU38" s="667"/>
      <c r="OV38" s="667"/>
      <c r="OW38" s="22">
        <f>ROW()</f>
        <v>38</v>
      </c>
      <c r="OX38" s="598" t="s">
        <v>401</v>
      </c>
      <c r="OY38" s="844">
        <f>+'SEF-29 pg 1-2'!$K$22</f>
        <v>2.6699999999999998E-2</v>
      </c>
      <c r="OZ38" s="667">
        <v>7727414.5999999996</v>
      </c>
      <c r="PA38" s="846">
        <v>-7727414.5999999996</v>
      </c>
      <c r="PB38" s="600">
        <f>OZ38+PA38</f>
        <v>0</v>
      </c>
      <c r="PC38" s="846"/>
      <c r="PD38" s="846"/>
      <c r="PE38" s="846"/>
      <c r="PF38" s="846"/>
      <c r="PG38" s="846"/>
      <c r="PH38" s="847"/>
      <c r="PI38" s="846"/>
      <c r="PJ38" s="847"/>
      <c r="PK38" s="845"/>
      <c r="PL38" s="847"/>
      <c r="PM38" s="845"/>
      <c r="PN38" s="847"/>
      <c r="PO38" s="7"/>
      <c r="PP38" s="7"/>
      <c r="PQ38" s="7"/>
      <c r="PR38" s="7"/>
      <c r="PS38" s="102"/>
      <c r="PT38" s="102"/>
      <c r="PU38" s="102"/>
      <c r="PV38" s="102"/>
      <c r="PW38" s="102"/>
      <c r="PX38" s="102"/>
      <c r="PY38" s="102"/>
      <c r="PZ38" s="102"/>
      <c r="QA38" s="102"/>
      <c r="QB38" s="102"/>
      <c r="QC38" s="102"/>
      <c r="QD38" s="102"/>
      <c r="QE38" s="102"/>
      <c r="QF38" s="102"/>
      <c r="QG38" s="102"/>
      <c r="QH38" s="102"/>
      <c r="QI38" s="102"/>
      <c r="QJ38" s="102"/>
      <c r="RC38" s="22"/>
      <c r="RH38" s="1"/>
      <c r="RI38" s="1"/>
      <c r="RJ38" s="1"/>
      <c r="RK38" s="1"/>
      <c r="RL38" s="1"/>
      <c r="RM38" s="1"/>
      <c r="RN38" s="1"/>
      <c r="RO38" s="1"/>
      <c r="RP38" s="1"/>
      <c r="SM38" s="521">
        <f>ROW()</f>
        <v>38</v>
      </c>
      <c r="SN38" s="102" t="s">
        <v>280</v>
      </c>
      <c r="SO38" s="608"/>
      <c r="SP38" s="606"/>
      <c r="SQ38" s="39"/>
      <c r="SR38" s="39"/>
      <c r="SS38" s="39">
        <f t="shared" ref="SS38:TD38" si="173">SUM(SS34:SS37)</f>
        <v>303792.49000000005</v>
      </c>
      <c r="ST38" s="39">
        <f t="shared" si="173"/>
        <v>303792.49000000005</v>
      </c>
      <c r="SU38" s="39">
        <f t="shared" si="173"/>
        <v>2930116.09</v>
      </c>
      <c r="SV38" s="39">
        <f t="shared" si="173"/>
        <v>3233908.5799999996</v>
      </c>
      <c r="SW38" s="39">
        <f t="shared" si="173"/>
        <v>3684150.5500000007</v>
      </c>
      <c r="SX38" s="39">
        <f t="shared" si="173"/>
        <v>6918059.1300000008</v>
      </c>
      <c r="SY38" s="39">
        <f t="shared" si="173"/>
        <v>4085929.1900000004</v>
      </c>
      <c r="SZ38" s="39">
        <f t="shared" si="173"/>
        <v>11003988.32</v>
      </c>
      <c r="TA38" s="606">
        <f t="shared" si="173"/>
        <v>0</v>
      </c>
      <c r="TB38" s="606">
        <f t="shared" si="173"/>
        <v>11003988.32</v>
      </c>
      <c r="TC38" s="606">
        <f t="shared" si="173"/>
        <v>0</v>
      </c>
      <c r="TD38" s="606">
        <f t="shared" si="173"/>
        <v>11003988.32</v>
      </c>
      <c r="TF38" s="950">
        <f>ROW()</f>
        <v>38</v>
      </c>
      <c r="TG38" s="848" t="s">
        <v>402</v>
      </c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V38" s="694"/>
      <c r="TW38" s="694"/>
      <c r="TX38" s="694"/>
      <c r="TY38" s="694"/>
      <c r="TZ38" s="694"/>
      <c r="UA38" s="694"/>
      <c r="UB38" s="694"/>
      <c r="UC38" s="694"/>
      <c r="UD38" s="694"/>
      <c r="UE38" s="694"/>
      <c r="UF38" s="694"/>
      <c r="UG38" s="694"/>
      <c r="UH38" s="694"/>
      <c r="UJ38" s="521"/>
      <c r="UK38" s="20"/>
      <c r="UL38" s="610"/>
      <c r="UM38" s="633"/>
      <c r="UN38" s="633"/>
      <c r="UO38" s="633"/>
      <c r="UP38" s="633"/>
      <c r="UQ38" s="633"/>
      <c r="UR38" s="633"/>
      <c r="US38" s="633"/>
      <c r="UT38" s="633"/>
      <c r="UU38" s="633"/>
      <c r="UV38" s="633"/>
      <c r="UW38" s="633"/>
    </row>
    <row r="39" spans="1:569" ht="15" x14ac:dyDescent="0.25">
      <c r="A39" s="22">
        <f>ROW()</f>
        <v>39</v>
      </c>
      <c r="B39" s="617"/>
      <c r="C39" s="618"/>
      <c r="D39" s="849"/>
      <c r="E39" s="849"/>
      <c r="F39" s="618">
        <f t="shared" si="17"/>
        <v>0</v>
      </c>
      <c r="G39" s="640"/>
      <c r="H39" s="618">
        <f t="shared" si="17"/>
        <v>0</v>
      </c>
      <c r="I39" s="618"/>
      <c r="J39" s="618">
        <f t="shared" si="17"/>
        <v>0</v>
      </c>
      <c r="K39" s="618"/>
      <c r="L39" s="618">
        <f t="shared" si="17"/>
        <v>0</v>
      </c>
      <c r="M39" s="618"/>
      <c r="N39" s="618">
        <f t="shared" si="17"/>
        <v>0</v>
      </c>
      <c r="O39" s="618"/>
      <c r="P39" s="618">
        <f t="shared" si="156"/>
        <v>0</v>
      </c>
      <c r="Q39" s="618"/>
      <c r="R39" s="618">
        <f t="shared" si="157"/>
        <v>0</v>
      </c>
      <c r="S39" s="529">
        <f>ROW()</f>
        <v>39</v>
      </c>
      <c r="T39" s="679" t="s">
        <v>319</v>
      </c>
      <c r="U39" s="711">
        <f>+'SEF-31'!$E$14</f>
        <v>3.8483000000000003E-2</v>
      </c>
      <c r="V39" s="50">
        <f>SUM(V$17:V$24,V$28:V33)*U39</f>
        <v>11525301.724704761</v>
      </c>
      <c r="W39" s="50">
        <f>SUM(W$17:W$24,W$28:W$30,W33:W33)*U39</f>
        <v>-10946519.876467852</v>
      </c>
      <c r="X39" s="50">
        <f>SUM(V39:W39)</f>
        <v>578781.84823690914</v>
      </c>
      <c r="Y39" s="50">
        <f>SUM(Y$17:Y$24,Y$28:Y$33)*$U39</f>
        <v>-578781.84823691007</v>
      </c>
      <c r="Z39" s="50">
        <f t="shared" ref="Z39:AF39" si="174">SUM(Z$17:Z$24,Z$28:Z$33)*$C$57</f>
        <v>0</v>
      </c>
      <c r="AA39" s="50">
        <f t="shared" si="174"/>
        <v>0</v>
      </c>
      <c r="AB39" s="50">
        <f t="shared" si="174"/>
        <v>0</v>
      </c>
      <c r="AC39" s="50">
        <f t="shared" si="174"/>
        <v>0</v>
      </c>
      <c r="AD39" s="50">
        <f t="shared" si="174"/>
        <v>0</v>
      </c>
      <c r="AE39" s="50">
        <f t="shared" si="174"/>
        <v>0</v>
      </c>
      <c r="AF39" s="50">
        <f t="shared" si="174"/>
        <v>0</v>
      </c>
      <c r="AG39" s="581"/>
      <c r="AH39" s="581"/>
      <c r="AI39" s="581"/>
      <c r="AJ39" s="581"/>
      <c r="AK39" s="850"/>
      <c r="AL39" s="1187"/>
      <c r="AM39" s="30"/>
      <c r="AN39" s="591"/>
      <c r="AO39" s="591"/>
      <c r="AP39" s="591"/>
      <c r="AQ39" s="591"/>
      <c r="AR39" s="591"/>
      <c r="AS39" s="591"/>
      <c r="AT39" s="591"/>
      <c r="AU39" s="591"/>
      <c r="AV39" s="591"/>
      <c r="AW39" s="591"/>
      <c r="AX39" s="591"/>
      <c r="BB39" s="21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W39"/>
      <c r="BX39"/>
      <c r="BY39"/>
      <c r="BZ39"/>
      <c r="CA39"/>
      <c r="CB39"/>
      <c r="CC39"/>
      <c r="CD39"/>
      <c r="CE39"/>
      <c r="CF39"/>
      <c r="DC39" s="1"/>
      <c r="DD39" s="1"/>
      <c r="DE39" s="1"/>
      <c r="DF39" s="1"/>
      <c r="DG39" s="1"/>
      <c r="DH39" s="1"/>
      <c r="DI39" s="1"/>
      <c r="DJ39" s="1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IQ39" s="102"/>
      <c r="IR39" s="102"/>
      <c r="IS39" s="102"/>
      <c r="IT39" s="102"/>
      <c r="IU39" s="102"/>
      <c r="IV39" s="102"/>
      <c r="IW39" s="102"/>
      <c r="IX39" s="102"/>
      <c r="IY39" s="102"/>
      <c r="IZ39" s="102"/>
      <c r="JA39" s="102"/>
      <c r="JB39" s="102"/>
      <c r="JC39" s="102"/>
      <c r="JD39" s="102"/>
      <c r="JE39" s="102"/>
      <c r="JF39" s="102"/>
      <c r="JG39" s="102"/>
      <c r="JH39" s="102"/>
      <c r="JI39" s="102"/>
      <c r="JJ39" s="102"/>
      <c r="JK39" s="102"/>
      <c r="JL39" s="102"/>
      <c r="JM39" s="102"/>
      <c r="JN39" s="102"/>
      <c r="JO39" s="102"/>
      <c r="JP39" s="102"/>
      <c r="JQ39" s="102"/>
      <c r="JR39" s="102"/>
      <c r="JS39" s="102"/>
      <c r="JT39" s="102"/>
      <c r="JU39" s="102"/>
      <c r="JV39" s="102"/>
      <c r="JW39" s="102"/>
      <c r="JX39" s="102"/>
      <c r="JY39" s="102"/>
      <c r="JZ39" s="102"/>
      <c r="MV39" s="523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M39" s="30"/>
      <c r="NN39" s="881"/>
      <c r="NO39" s="20"/>
      <c r="NP39" s="800"/>
      <c r="NQ39" s="619"/>
      <c r="NR39" s="800"/>
      <c r="NS39" s="619"/>
      <c r="NT39" s="800"/>
      <c r="NU39" s="619"/>
      <c r="NV39" s="619"/>
      <c r="NW39" s="640"/>
      <c r="NX39" s="619"/>
      <c r="NY39" s="640"/>
      <c r="NZ39" s="619"/>
      <c r="OA39" s="550"/>
      <c r="OB39" s="550"/>
      <c r="OC39" s="550"/>
      <c r="OD39" s="550"/>
      <c r="OE39"/>
      <c r="OF39"/>
      <c r="OH39" s="102"/>
      <c r="OI39" s="102"/>
      <c r="OJ39" s="102"/>
      <c r="OK39" s="102"/>
      <c r="OL39" s="102"/>
      <c r="OM39"/>
      <c r="ON39"/>
      <c r="OO39"/>
      <c r="OP39"/>
      <c r="OQ39"/>
      <c r="OR39"/>
      <c r="OS39" s="685">
        <f>-$OG$34*OS37</f>
        <v>0</v>
      </c>
      <c r="OT39" s="685">
        <f>-$OG$34*OT37</f>
        <v>0</v>
      </c>
      <c r="OU39" s="685">
        <f>-$OG$34*OU37</f>
        <v>0</v>
      </c>
      <c r="OV39" s="685">
        <f>-$OG$34*OV37</f>
        <v>0</v>
      </c>
      <c r="OW39" s="22">
        <f>ROW()</f>
        <v>39</v>
      </c>
      <c r="PO39" s="7"/>
      <c r="PP39" s="7"/>
      <c r="PQ39" s="7"/>
      <c r="PR39" s="7"/>
      <c r="PS39" s="102"/>
      <c r="PT39" s="102"/>
      <c r="PU39" s="102"/>
      <c r="PV39" s="102"/>
      <c r="PW39" s="102"/>
      <c r="PX39" s="102"/>
      <c r="PY39" s="102"/>
      <c r="PZ39" s="102"/>
      <c r="QA39" s="102"/>
      <c r="QB39" s="102"/>
      <c r="QC39" s="102"/>
      <c r="QD39" s="102"/>
      <c r="QE39" s="102"/>
      <c r="QF39" s="102"/>
      <c r="QG39" s="102"/>
      <c r="QH39" s="102"/>
      <c r="QI39" s="102"/>
      <c r="QJ39" s="102"/>
      <c r="RC39" s="22"/>
      <c r="RH39" s="1"/>
      <c r="RI39" s="1"/>
      <c r="RJ39" s="1"/>
      <c r="RK39" s="1"/>
      <c r="RL39" s="1"/>
      <c r="RM39" s="1"/>
      <c r="RN39" s="1"/>
      <c r="RO39" s="1"/>
      <c r="RP39" s="1"/>
      <c r="SM39" s="521">
        <f>ROW()</f>
        <v>39</v>
      </c>
      <c r="SO39" s="608"/>
      <c r="SP39" s="606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606"/>
      <c r="TB39" s="606"/>
      <c r="TC39" s="606"/>
      <c r="TD39" s="606"/>
      <c r="TF39" s="950">
        <f>ROW()</f>
        <v>39</v>
      </c>
      <c r="TG39" s="848" t="s">
        <v>403</v>
      </c>
      <c r="TH39" s="610"/>
      <c r="TI39" s="633"/>
      <c r="TJ39" s="633"/>
      <c r="TK39" s="633"/>
      <c r="TL39" s="633"/>
      <c r="TM39" s="633"/>
      <c r="TN39" s="633"/>
      <c r="TO39" s="633"/>
      <c r="TP39" s="633"/>
      <c r="TQ39" s="633"/>
      <c r="TR39" s="633"/>
      <c r="TS39" s="633"/>
      <c r="TV39" s="694"/>
      <c r="TW39" s="694"/>
      <c r="TX39" s="694"/>
      <c r="TY39" s="694"/>
      <c r="TZ39" s="694"/>
      <c r="UA39" s="694"/>
      <c r="UB39" s="694"/>
      <c r="UC39" s="694"/>
      <c r="UD39" s="694"/>
      <c r="UE39" s="694"/>
      <c r="UF39" s="694"/>
      <c r="UG39" s="694"/>
      <c r="UH39" s="694"/>
      <c r="UJ39" s="521"/>
      <c r="UK39" s="20"/>
      <c r="UL39" s="610"/>
      <c r="UM39" s="633"/>
      <c r="UN39" s="633"/>
      <c r="UO39" s="633"/>
      <c r="UP39" s="633"/>
      <c r="UQ39" s="633"/>
      <c r="UR39" s="633"/>
      <c r="US39" s="633"/>
      <c r="UT39" s="633"/>
      <c r="UU39" s="633"/>
      <c r="UV39" s="633"/>
      <c r="UW39" s="633"/>
    </row>
    <row r="40" spans="1:569" ht="15.75" thickBot="1" x14ac:dyDescent="0.3">
      <c r="A40" s="22">
        <f>ROW()</f>
        <v>40</v>
      </c>
      <c r="B40" s="617"/>
      <c r="C40" s="618"/>
      <c r="D40" s="849"/>
      <c r="E40" s="849"/>
      <c r="F40" s="618">
        <f t="shared" si="17"/>
        <v>0</v>
      </c>
      <c r="G40" s="640"/>
      <c r="H40" s="618">
        <f t="shared" si="17"/>
        <v>0</v>
      </c>
      <c r="I40" s="618"/>
      <c r="J40" s="618">
        <f t="shared" si="17"/>
        <v>0</v>
      </c>
      <c r="K40" s="618"/>
      <c r="L40" s="618">
        <f t="shared" si="17"/>
        <v>0</v>
      </c>
      <c r="M40" s="618"/>
      <c r="N40" s="618">
        <f t="shared" si="17"/>
        <v>0</v>
      </c>
      <c r="O40" s="618"/>
      <c r="P40" s="618">
        <f t="shared" si="156"/>
        <v>0</v>
      </c>
      <c r="Q40" s="618"/>
      <c r="R40" s="618">
        <f t="shared" si="157"/>
        <v>0</v>
      </c>
      <c r="S40" s="529">
        <f>ROW()</f>
        <v>40</v>
      </c>
      <c r="T40" s="690" t="s">
        <v>332</v>
      </c>
      <c r="U40" s="749"/>
      <c r="V40" s="851">
        <f t="shared" ref="V40:AF40" si="175">SUM(V37:V39)</f>
        <v>14965851.219635205</v>
      </c>
      <c r="W40" s="851">
        <f t="shared" si="175"/>
        <v>-14214290.589272536</v>
      </c>
      <c r="X40" s="851">
        <f t="shared" si="175"/>
        <v>751560.63036266901</v>
      </c>
      <c r="Y40" s="851">
        <f t="shared" si="175"/>
        <v>-751560.63036267005</v>
      </c>
      <c r="Z40" s="852">
        <f t="shared" si="175"/>
        <v>0</v>
      </c>
      <c r="AA40" s="852">
        <f t="shared" si="175"/>
        <v>0</v>
      </c>
      <c r="AB40" s="852">
        <f t="shared" si="175"/>
        <v>0</v>
      </c>
      <c r="AC40" s="852">
        <f t="shared" si="175"/>
        <v>0</v>
      </c>
      <c r="AD40" s="852">
        <f t="shared" si="175"/>
        <v>0</v>
      </c>
      <c r="AE40" s="852">
        <f t="shared" si="175"/>
        <v>0</v>
      </c>
      <c r="AF40" s="852">
        <f t="shared" si="175"/>
        <v>0</v>
      </c>
      <c r="AG40" s="20"/>
      <c r="AH40" s="20"/>
      <c r="AI40" s="20"/>
      <c r="AJ40" s="20"/>
      <c r="AL40" s="1188"/>
      <c r="AM40" s="1189"/>
      <c r="AN40" s="1189"/>
      <c r="AO40" s="1189"/>
      <c r="AP40" s="1189"/>
      <c r="AQ40" s="1189"/>
      <c r="AR40" s="1189"/>
      <c r="AS40" s="1189"/>
      <c r="AT40" s="1189"/>
      <c r="AU40" s="1189"/>
      <c r="AV40" s="1189"/>
      <c r="AW40" s="1189"/>
      <c r="AX40" s="1189"/>
      <c r="BB40" s="21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W40"/>
      <c r="BX40"/>
      <c r="BY40"/>
      <c r="BZ40"/>
      <c r="CA40"/>
      <c r="CB40"/>
      <c r="CC40"/>
      <c r="CD40"/>
      <c r="CE40"/>
      <c r="CF40"/>
      <c r="DC40" s="1"/>
      <c r="DD40" s="1"/>
      <c r="DE40" s="1"/>
      <c r="DF40" s="1"/>
      <c r="DG40" s="1"/>
      <c r="DH40" s="1"/>
      <c r="DI40" s="1"/>
      <c r="DJ40" s="1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IQ40" s="102"/>
      <c r="IR40" s="102"/>
      <c r="IS40" s="102"/>
      <c r="IT40" s="102"/>
      <c r="IU40" s="102"/>
      <c r="IV40" s="102"/>
      <c r="IW40" s="102"/>
      <c r="IX40" s="102"/>
      <c r="IY40" s="102"/>
      <c r="IZ40" s="102"/>
      <c r="JA40" s="102"/>
      <c r="JB40" s="102"/>
      <c r="JC40" s="102"/>
      <c r="JD40" s="102"/>
      <c r="JE40" s="102"/>
      <c r="JF40" s="102"/>
      <c r="JG40" s="102"/>
      <c r="JH40" s="102"/>
      <c r="JI40" s="102"/>
      <c r="JJ40" s="102"/>
      <c r="JK40" s="102"/>
      <c r="JL40" s="102"/>
      <c r="JM40" s="102"/>
      <c r="JN40" s="102"/>
      <c r="JO40" s="102"/>
      <c r="JP40" s="102"/>
      <c r="JQ40" s="102"/>
      <c r="JR40" s="102"/>
      <c r="JS40" s="102"/>
      <c r="JT40" s="102"/>
      <c r="JU40" s="102"/>
      <c r="JV40" s="102"/>
      <c r="JW40" s="102"/>
      <c r="JX40" s="102"/>
      <c r="JY40" s="102"/>
      <c r="JZ40" s="102"/>
      <c r="KS40" s="477"/>
      <c r="MV40" s="938"/>
      <c r="MW40" s="938"/>
      <c r="MX40" s="937"/>
      <c r="MY40" s="20"/>
      <c r="MZ40" s="937"/>
      <c r="NA40" s="20"/>
      <c r="NB40" s="937"/>
      <c r="NC40" s="20"/>
      <c r="ND40" s="937"/>
      <c r="NE40" s="20"/>
      <c r="NF40" s="937"/>
      <c r="NG40" s="20"/>
      <c r="NH40" s="937"/>
      <c r="NM40" s="30"/>
      <c r="NN40" s="842"/>
      <c r="NO40" s="20"/>
      <c r="NP40" s="800"/>
      <c r="NQ40" s="619"/>
      <c r="NR40" s="800"/>
      <c r="NS40" s="619"/>
      <c r="NT40" s="800"/>
      <c r="NU40" s="619"/>
      <c r="NV40" s="619"/>
      <c r="NW40" s="640"/>
      <c r="NX40" s="619"/>
      <c r="NY40" s="640"/>
      <c r="NZ40" s="619"/>
      <c r="OA40" s="550"/>
      <c r="OB40" s="550"/>
      <c r="OC40" s="550"/>
      <c r="OD40" s="550"/>
      <c r="OE40"/>
      <c r="OF40"/>
      <c r="OH40" s="102"/>
      <c r="OI40" s="102"/>
      <c r="OJ40" s="102"/>
      <c r="OK40" s="102"/>
      <c r="OL40" s="102"/>
      <c r="OM40"/>
      <c r="ON40"/>
      <c r="OO40"/>
      <c r="OP40"/>
      <c r="OQ40"/>
      <c r="OR40"/>
      <c r="OS40" s="835">
        <f>-OS37-OS39</f>
        <v>0</v>
      </c>
      <c r="OT40" s="835">
        <f>-OT37-OT39</f>
        <v>0</v>
      </c>
      <c r="OU40" s="835">
        <f>-OU37-OU39</f>
        <v>0</v>
      </c>
      <c r="OV40" s="835">
        <f>-OV37-OV39</f>
        <v>0</v>
      </c>
      <c r="OW40" s="22">
        <f>ROW()</f>
        <v>40</v>
      </c>
      <c r="OX40" s="689" t="s">
        <v>404</v>
      </c>
      <c r="OY40" s="690"/>
      <c r="OZ40" s="78"/>
      <c r="PA40" s="78"/>
      <c r="PO40" s="7"/>
      <c r="PP40" s="7"/>
      <c r="PQ40" s="7"/>
      <c r="PR40" s="7"/>
      <c r="PS40" s="102"/>
      <c r="PT40" s="102"/>
      <c r="PU40" s="102"/>
      <c r="PV40" s="102"/>
      <c r="PW40" s="102"/>
      <c r="PX40" s="102"/>
      <c r="PY40" s="102"/>
      <c r="PZ40" s="102"/>
      <c r="QA40" s="102"/>
      <c r="QB40" s="102"/>
      <c r="QC40" s="102"/>
      <c r="QD40" s="102"/>
      <c r="QE40" s="102"/>
      <c r="QF40" s="102"/>
      <c r="QG40" s="102"/>
      <c r="QH40" s="102"/>
      <c r="QI40" s="102"/>
      <c r="QJ40" s="102"/>
      <c r="RC40" s="22"/>
      <c r="RH40" s="1"/>
      <c r="RI40" s="857"/>
      <c r="RJ40" s="1"/>
      <c r="RK40" s="857"/>
      <c r="RL40" s="1"/>
      <c r="RM40" s="857"/>
      <c r="RN40" s="1"/>
      <c r="RO40" s="857"/>
      <c r="RP40" s="1"/>
      <c r="RS40" s="569"/>
      <c r="SM40" s="521">
        <f>ROW()</f>
        <v>40</v>
      </c>
      <c r="SN40" s="102" t="s">
        <v>258</v>
      </c>
      <c r="SO40" s="608"/>
      <c r="SP40" s="606"/>
      <c r="SQ40" s="39"/>
      <c r="SR40" s="39"/>
      <c r="SS40" s="39">
        <f t="shared" ref="SS40:TD40" si="176">SS38</f>
        <v>303792.49000000005</v>
      </c>
      <c r="ST40" s="39">
        <f t="shared" si="176"/>
        <v>303792.49000000005</v>
      </c>
      <c r="SU40" s="39">
        <f t="shared" si="176"/>
        <v>2930116.09</v>
      </c>
      <c r="SV40" s="39">
        <f t="shared" si="176"/>
        <v>3233908.5799999996</v>
      </c>
      <c r="SW40" s="39">
        <f t="shared" si="176"/>
        <v>3684150.5500000007</v>
      </c>
      <c r="SX40" s="39">
        <f t="shared" si="176"/>
        <v>6918059.1300000008</v>
      </c>
      <c r="SY40" s="39">
        <f t="shared" si="176"/>
        <v>4085929.1900000004</v>
      </c>
      <c r="SZ40" s="39">
        <f t="shared" si="176"/>
        <v>11003988.32</v>
      </c>
      <c r="TA40" s="606">
        <f t="shared" si="176"/>
        <v>0</v>
      </c>
      <c r="TB40" s="606">
        <f t="shared" si="176"/>
        <v>11003988.32</v>
      </c>
      <c r="TC40" s="606">
        <f t="shared" si="176"/>
        <v>0</v>
      </c>
      <c r="TD40" s="606">
        <f t="shared" si="176"/>
        <v>11003988.32</v>
      </c>
      <c r="TF40" s="950">
        <f>ROW()</f>
        <v>40</v>
      </c>
      <c r="TG40" s="848" t="s">
        <v>405</v>
      </c>
      <c r="TH40" s="610"/>
      <c r="TI40" s="633"/>
      <c r="TJ40" s="633"/>
      <c r="TK40" s="633"/>
      <c r="TL40" s="633"/>
      <c r="TM40" s="633"/>
      <c r="TN40" s="633"/>
      <c r="TO40" s="633"/>
      <c r="TP40" s="633"/>
      <c r="TQ40" s="633"/>
      <c r="TR40" s="633"/>
      <c r="TS40" s="633"/>
      <c r="TV40" s="694"/>
      <c r="TW40" s="694"/>
      <c r="TX40" s="694"/>
      <c r="TY40" s="694"/>
      <c r="TZ40" s="694"/>
      <c r="UA40" s="694"/>
      <c r="UB40" s="694"/>
      <c r="UC40" s="694"/>
      <c r="UD40" s="694"/>
      <c r="UE40" s="694"/>
      <c r="UF40" s="694"/>
      <c r="UG40" s="694"/>
      <c r="UH40" s="694"/>
      <c r="UJ40" s="521"/>
      <c r="UK40" s="20"/>
      <c r="UL40" s="610"/>
      <c r="UM40" s="633"/>
      <c r="UN40" s="633"/>
      <c r="UO40" s="633"/>
      <c r="UP40" s="633"/>
      <c r="UQ40" s="633"/>
      <c r="UR40" s="633"/>
      <c r="US40" s="633"/>
      <c r="UT40" s="633"/>
      <c r="UU40" s="633"/>
      <c r="UV40" s="633"/>
      <c r="UW40" s="633"/>
    </row>
    <row r="41" spans="1:569" ht="15.75" thickTop="1" x14ac:dyDescent="0.25">
      <c r="A41" s="22">
        <f>ROW()</f>
        <v>41</v>
      </c>
      <c r="B41" s="75" t="s">
        <v>406</v>
      </c>
      <c r="C41" s="618"/>
      <c r="D41" s="618"/>
      <c r="E41" s="618"/>
      <c r="F41" s="618">
        <f t="shared" si="17"/>
        <v>0</v>
      </c>
      <c r="G41" s="641"/>
      <c r="H41" s="618">
        <f t="shared" si="17"/>
        <v>0</v>
      </c>
      <c r="I41" s="854">
        <v>12111248.292725325</v>
      </c>
      <c r="J41" s="855">
        <f t="shared" si="17"/>
        <v>12111248.292725325</v>
      </c>
      <c r="K41" s="856">
        <v>9749529.1303141117</v>
      </c>
      <c r="L41" s="855">
        <f t="shared" si="17"/>
        <v>21860777.423039436</v>
      </c>
      <c r="M41" s="856">
        <v>22389080.988265514</v>
      </c>
      <c r="N41" s="855">
        <f t="shared" si="17"/>
        <v>44249858.411304951</v>
      </c>
      <c r="O41" s="856">
        <v>0</v>
      </c>
      <c r="P41" s="618">
        <f t="shared" si="156"/>
        <v>44249858.411304951</v>
      </c>
      <c r="Q41" s="856">
        <v>0</v>
      </c>
      <c r="R41" s="618">
        <f t="shared" si="157"/>
        <v>44249858.411304951</v>
      </c>
      <c r="S41" s="529">
        <f>ROW()</f>
        <v>41</v>
      </c>
      <c r="T41" s="690"/>
      <c r="U41" s="581"/>
      <c r="V41" s="840"/>
      <c r="W41" s="857"/>
      <c r="AG41" s="20"/>
      <c r="AH41" s="20"/>
      <c r="AI41" s="20"/>
      <c r="AJ41" s="20"/>
      <c r="AL41" s="1187"/>
      <c r="AM41" s="776"/>
      <c r="AN41" s="1190"/>
      <c r="AO41" s="1190"/>
      <c r="AP41" s="1190"/>
      <c r="AQ41" s="1190"/>
      <c r="AR41" s="1190"/>
      <c r="AS41" s="1190"/>
      <c r="AT41" s="1190"/>
      <c r="AU41" s="1190"/>
      <c r="AV41" s="1190"/>
      <c r="AW41" s="1190"/>
      <c r="AX41" s="1190"/>
      <c r="BB41" s="21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W41"/>
      <c r="BX41"/>
      <c r="BY41"/>
      <c r="BZ41"/>
      <c r="CA41"/>
      <c r="CB41"/>
      <c r="CC41"/>
      <c r="CD41"/>
      <c r="CE41"/>
      <c r="CF41"/>
      <c r="DC41" s="1"/>
      <c r="DD41" s="1"/>
      <c r="DE41" s="1"/>
      <c r="DF41" s="1"/>
      <c r="DG41" s="1"/>
      <c r="DH41" s="1"/>
      <c r="DI41" s="1"/>
      <c r="DJ41" s="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IQ41" s="102"/>
      <c r="IR41" s="102"/>
      <c r="IS41" s="102"/>
      <c r="IT41" s="102"/>
      <c r="IU41" s="102"/>
      <c r="IV41" s="102"/>
      <c r="IW41" s="102"/>
      <c r="IX41" s="102"/>
      <c r="IY41" s="102"/>
      <c r="IZ41" s="102"/>
      <c r="JA41" s="102"/>
      <c r="JB41" s="102"/>
      <c r="JC41" s="102"/>
      <c r="JD41" s="102"/>
      <c r="JE41" s="102"/>
      <c r="JF41" s="102"/>
      <c r="JG41" s="102"/>
      <c r="JH41" s="102"/>
      <c r="JI41" s="102"/>
      <c r="JJ41" s="102"/>
      <c r="JK41" s="102"/>
      <c r="JL41" s="102"/>
      <c r="JM41" s="102"/>
      <c r="JN41" s="102"/>
      <c r="JO41" s="102"/>
      <c r="JP41" s="102"/>
      <c r="JQ41" s="102"/>
      <c r="JR41" s="102"/>
      <c r="JS41" s="102"/>
      <c r="JT41" s="102"/>
      <c r="JU41" s="102"/>
      <c r="JV41" s="102"/>
      <c r="JW41" s="102"/>
      <c r="JX41" s="102"/>
      <c r="JY41" s="102"/>
      <c r="JZ41" s="102"/>
      <c r="KS41" s="477"/>
      <c r="MV41" s="20"/>
      <c r="MW41" s="20"/>
      <c r="MX41" s="938"/>
      <c r="MY41" s="924"/>
      <c r="MZ41" s="924"/>
      <c r="NA41" s="924"/>
      <c r="NB41" s="924"/>
      <c r="NC41" s="924"/>
      <c r="ND41" s="924"/>
      <c r="NE41" s="924"/>
      <c r="NF41" s="924"/>
      <c r="NG41" s="924"/>
      <c r="NH41" s="924"/>
      <c r="NM41" s="30"/>
      <c r="NN41" s="842"/>
      <c r="NO41" s="20"/>
      <c r="NP41" s="800"/>
      <c r="NQ41" s="619"/>
      <c r="NR41" s="800"/>
      <c r="NS41" s="619"/>
      <c r="NT41" s="800"/>
      <c r="NU41" s="619"/>
      <c r="NV41" s="619"/>
      <c r="NW41" s="640"/>
      <c r="NX41" s="619"/>
      <c r="NY41" s="640"/>
      <c r="NZ41" s="619"/>
      <c r="OA41" s="550"/>
      <c r="OB41" s="550"/>
      <c r="OC41" s="550"/>
      <c r="OD41" s="550"/>
      <c r="OE41"/>
      <c r="OF41"/>
      <c r="OH41" s="102"/>
      <c r="OI41" s="102"/>
      <c r="OJ41" s="102"/>
      <c r="OK41" s="102"/>
      <c r="OL41" s="102"/>
      <c r="OM41"/>
      <c r="ON41"/>
      <c r="OO41"/>
      <c r="OP41"/>
      <c r="OQ41"/>
      <c r="OR41"/>
      <c r="OS41" s="102"/>
      <c r="OT41" s="102"/>
      <c r="OU41" s="102"/>
      <c r="OV41" s="102"/>
      <c r="OW41" s="22">
        <f>ROW()</f>
        <v>41</v>
      </c>
      <c r="OX41" s="858" t="s">
        <v>17</v>
      </c>
      <c r="OY41" s="711">
        <f>+'SEF-31'!$E$12</f>
        <v>6.4879999999999998E-3</v>
      </c>
      <c r="OZ41" s="78">
        <f>OZ38*OY41</f>
        <v>50135.465924799995</v>
      </c>
      <c r="PA41" s="78">
        <f>-OZ41</f>
        <v>-50135.465924799995</v>
      </c>
      <c r="PO41" s="7"/>
      <c r="PP41" s="7"/>
      <c r="PQ41" s="7"/>
      <c r="PR41" s="7"/>
      <c r="PS41" s="102"/>
      <c r="PT41" s="102"/>
      <c r="PU41" s="102"/>
      <c r="PV41" s="102"/>
      <c r="PW41" s="102"/>
      <c r="PX41" s="102"/>
      <c r="PY41" s="102"/>
      <c r="PZ41" s="102"/>
      <c r="QA41" s="102"/>
      <c r="QB41" s="102"/>
      <c r="QC41" s="102"/>
      <c r="QD41" s="102"/>
      <c r="QE41" s="102"/>
      <c r="QF41" s="102"/>
      <c r="QG41" s="102"/>
      <c r="QH41" s="102"/>
      <c r="QI41" s="102"/>
      <c r="QJ41" s="102"/>
      <c r="RC41" s="22"/>
      <c r="RH41" s="569"/>
      <c r="RI41" s="569"/>
      <c r="RJ41" s="569"/>
      <c r="RK41" s="569"/>
      <c r="RL41" s="569"/>
      <c r="RM41" s="569"/>
      <c r="RN41" s="569"/>
      <c r="RO41" s="569"/>
      <c r="RP41" s="569"/>
      <c r="RQ41" s="569"/>
      <c r="RR41" s="569"/>
      <c r="RS41" s="569"/>
      <c r="RT41" s="569"/>
      <c r="SM41" s="521">
        <f>ROW()</f>
        <v>41</v>
      </c>
      <c r="SO41" s="608"/>
      <c r="SP41" s="568"/>
      <c r="SQ41" s="1210"/>
      <c r="SR41" s="1210"/>
      <c r="SS41" s="1210"/>
      <c r="ST41" s="1210"/>
      <c r="SU41" s="1210"/>
      <c r="SV41" s="1210"/>
      <c r="SW41" s="1210"/>
      <c r="SX41" s="1210"/>
      <c r="SY41" s="1210"/>
      <c r="SZ41" s="1210"/>
      <c r="TA41" s="568"/>
      <c r="TB41" s="568"/>
      <c r="TC41" s="568"/>
      <c r="TD41" s="568"/>
      <c r="TF41" s="65" t="s">
        <v>30</v>
      </c>
      <c r="TG41" s="20"/>
      <c r="TH41" s="610"/>
      <c r="TI41" s="633"/>
      <c r="TJ41" s="633"/>
      <c r="TK41" s="633"/>
      <c r="TL41" s="633"/>
      <c r="TM41" s="633"/>
      <c r="TN41" s="633"/>
      <c r="TO41" s="633"/>
      <c r="TP41" s="633"/>
      <c r="TQ41" s="633"/>
      <c r="TR41" s="633"/>
      <c r="TS41" s="633"/>
      <c r="TV41" s="694"/>
      <c r="TW41" s="694"/>
      <c r="TX41" s="694"/>
      <c r="TY41" s="694"/>
      <c r="TZ41" s="694"/>
      <c r="UA41" s="694"/>
      <c r="UB41" s="694"/>
      <c r="UC41" s="694"/>
      <c r="UD41" s="694"/>
      <c r="UE41" s="694"/>
      <c r="UF41" s="694"/>
      <c r="UG41" s="694"/>
      <c r="UH41" s="694"/>
      <c r="UJ41" s="521"/>
      <c r="UK41" s="20"/>
      <c r="UL41" s="610"/>
      <c r="UM41" s="633"/>
      <c r="UN41" s="633"/>
      <c r="UO41" s="633"/>
      <c r="UP41" s="633"/>
      <c r="UQ41" s="633"/>
      <c r="UR41" s="633"/>
      <c r="US41" s="633"/>
      <c r="UT41" s="633"/>
      <c r="UU41" s="633"/>
      <c r="UV41" s="633"/>
      <c r="UW41" s="633"/>
    </row>
    <row r="42" spans="1:569" ht="15" x14ac:dyDescent="0.25">
      <c r="A42" s="22">
        <f>ROW()</f>
        <v>42</v>
      </c>
      <c r="B42" s="75"/>
      <c r="C42" s="618"/>
      <c r="D42" s="88"/>
      <c r="E42" s="88"/>
      <c r="F42" s="618">
        <f t="shared" si="17"/>
        <v>0</v>
      </c>
      <c r="G42" s="88"/>
      <c r="H42" s="618">
        <f t="shared" si="17"/>
        <v>0</v>
      </c>
      <c r="I42" s="88"/>
      <c r="J42" s="618">
        <f t="shared" si="17"/>
        <v>0</v>
      </c>
      <c r="K42" s="88"/>
      <c r="L42" s="618">
        <f t="shared" si="17"/>
        <v>0</v>
      </c>
      <c r="M42" s="88"/>
      <c r="N42" s="618">
        <f t="shared" si="17"/>
        <v>0</v>
      </c>
      <c r="O42" s="88"/>
      <c r="P42" s="618">
        <f t="shared" si="156"/>
        <v>0</v>
      </c>
      <c r="Q42" s="88"/>
      <c r="R42" s="618">
        <f t="shared" si="157"/>
        <v>0</v>
      </c>
      <c r="S42" s="529">
        <f>ROW()</f>
        <v>42</v>
      </c>
      <c r="T42" s="544" t="s">
        <v>407</v>
      </c>
      <c r="V42" s="576"/>
      <c r="AG42" s="42"/>
      <c r="AH42" s="42"/>
      <c r="AI42" s="42"/>
      <c r="AJ42" s="42"/>
      <c r="AL42" s="776"/>
      <c r="AM42" s="776"/>
      <c r="AN42" s="776"/>
      <c r="AO42" s="776"/>
      <c r="AP42" s="776"/>
      <c r="AQ42" s="776"/>
      <c r="AR42" s="776"/>
      <c r="AS42" s="776"/>
      <c r="AT42" s="776"/>
      <c r="AU42" s="776"/>
      <c r="AV42" s="776"/>
      <c r="AW42" s="776"/>
      <c r="AX42" s="776"/>
      <c r="BB42" s="21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W42"/>
      <c r="BX42"/>
      <c r="BY42"/>
      <c r="BZ42"/>
      <c r="CA42"/>
      <c r="CB42"/>
      <c r="CC42"/>
      <c r="CD42"/>
      <c r="CE42"/>
      <c r="CF42"/>
      <c r="DC42" s="1"/>
      <c r="DD42" s="1"/>
      <c r="DE42" s="1"/>
      <c r="DF42" s="1"/>
      <c r="DG42" s="1"/>
      <c r="DH42" s="1"/>
      <c r="DI42" s="1"/>
      <c r="DJ42" s="1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IQ42" s="102"/>
      <c r="IR42" s="102"/>
      <c r="IS42" s="102"/>
      <c r="IT42" s="102"/>
      <c r="IU42" s="102"/>
      <c r="IV42" s="102"/>
      <c r="IW42" s="102"/>
      <c r="IX42" s="102"/>
      <c r="IY42" s="102"/>
      <c r="IZ42" s="102"/>
      <c r="JA42" s="102"/>
      <c r="JB42" s="102"/>
      <c r="JC42" s="102"/>
      <c r="JD42" s="102"/>
      <c r="JE42" s="102"/>
      <c r="JF42" s="102"/>
      <c r="JG42" s="102"/>
      <c r="JH42" s="102"/>
      <c r="JI42" s="102"/>
      <c r="JJ42" s="102"/>
      <c r="JK42" s="102"/>
      <c r="JL42" s="102"/>
      <c r="JM42" s="102"/>
      <c r="JN42" s="102"/>
      <c r="JO42" s="102"/>
      <c r="JP42" s="102"/>
      <c r="JQ42" s="102"/>
      <c r="JR42" s="102"/>
      <c r="JS42" s="102"/>
      <c r="JT42" s="102"/>
      <c r="JU42" s="102"/>
      <c r="JV42" s="102"/>
      <c r="JW42" s="102"/>
      <c r="JX42" s="102"/>
      <c r="JY42" s="102"/>
      <c r="JZ42" s="102"/>
      <c r="KS42" s="477"/>
      <c r="MV42" s="20"/>
      <c r="MW42" s="20"/>
      <c r="MX42" s="20"/>
      <c r="MY42" s="20"/>
      <c r="MZ42" s="20"/>
      <c r="NA42" s="939"/>
      <c r="NB42" s="940"/>
      <c r="NC42" s="100"/>
      <c r="ND42" s="100"/>
      <c r="NE42" s="100"/>
      <c r="NF42" s="100"/>
      <c r="NG42" s="100"/>
      <c r="NH42" s="100"/>
      <c r="NM42" s="30"/>
      <c r="NN42" s="842"/>
      <c r="NO42" s="20"/>
      <c r="NP42" s="800"/>
      <c r="NQ42" s="619"/>
      <c r="NR42" s="800"/>
      <c r="NS42" s="619"/>
      <c r="NT42" s="800"/>
      <c r="NU42" s="619"/>
      <c r="NV42" s="619"/>
      <c r="NW42" s="640"/>
      <c r="NX42" s="619"/>
      <c r="NY42" s="640"/>
      <c r="NZ42" s="619"/>
      <c r="OA42" s="550"/>
      <c r="OB42" s="550"/>
      <c r="OC42" s="550"/>
      <c r="OD42" s="550"/>
      <c r="OE42"/>
      <c r="OF42"/>
      <c r="OH42" s="102"/>
      <c r="OI42" s="102"/>
      <c r="OJ42" s="102"/>
      <c r="OK42" s="102"/>
      <c r="OL42" s="102"/>
      <c r="OM42"/>
      <c r="ON42"/>
      <c r="OO42"/>
      <c r="OP42"/>
      <c r="OQ42"/>
      <c r="OR42"/>
      <c r="OS42" s="102"/>
      <c r="OT42" s="102"/>
      <c r="OU42" s="102"/>
      <c r="OV42" s="102"/>
      <c r="OW42" s="22">
        <f>ROW()</f>
        <v>42</v>
      </c>
      <c r="OX42" s="858" t="s">
        <v>20</v>
      </c>
      <c r="OY42" s="1151">
        <v>5.0000000000000001E-3</v>
      </c>
      <c r="OZ42" s="638">
        <f>OZ38*OY42</f>
        <v>38637.072999999997</v>
      </c>
      <c r="PA42" s="638">
        <f>-OZ42</f>
        <v>-38637.072999999997</v>
      </c>
      <c r="PO42" s="7"/>
      <c r="PP42" s="7"/>
      <c r="PQ42" s="7"/>
      <c r="PR42" s="7"/>
      <c r="PS42" s="102"/>
      <c r="PT42" s="102"/>
      <c r="PU42" s="102"/>
      <c r="PV42" s="102"/>
      <c r="PW42" s="102"/>
      <c r="PX42" s="102"/>
      <c r="PY42" s="102"/>
      <c r="PZ42" s="102"/>
      <c r="QA42" s="102"/>
      <c r="QB42" s="102"/>
      <c r="QC42" s="102"/>
      <c r="QD42" s="102"/>
      <c r="QE42" s="102"/>
      <c r="QF42" s="102"/>
      <c r="QG42" s="102"/>
      <c r="QH42" s="102"/>
      <c r="QI42" s="102"/>
      <c r="QJ42" s="102"/>
      <c r="RC42" s="22"/>
      <c r="RI42" s="569"/>
      <c r="SM42" s="521">
        <f>ROW()</f>
        <v>42</v>
      </c>
      <c r="SN42" s="102" t="s">
        <v>259</v>
      </c>
      <c r="SO42" s="608">
        <v>0.21</v>
      </c>
      <c r="SP42" s="669"/>
      <c r="SQ42" s="745"/>
      <c r="SR42" s="745"/>
      <c r="SS42" s="745">
        <f>SS40*-$SO$42</f>
        <v>-63796.422900000005</v>
      </c>
      <c r="ST42" s="745">
        <f t="shared" ref="ST42:TD42" si="177">ST40*-$SO$42</f>
        <v>-63796.422900000005</v>
      </c>
      <c r="SU42" s="745">
        <f t="shared" si="177"/>
        <v>-615324.37889999989</v>
      </c>
      <c r="SV42" s="745">
        <f t="shared" si="177"/>
        <v>-679120.8017999999</v>
      </c>
      <c r="SW42" s="745">
        <f t="shared" si="177"/>
        <v>-773671.61550000007</v>
      </c>
      <c r="SX42" s="745">
        <f t="shared" si="177"/>
        <v>-1452792.4173000001</v>
      </c>
      <c r="SY42" s="745">
        <f t="shared" si="177"/>
        <v>-858045.12990000006</v>
      </c>
      <c r="SZ42" s="745">
        <f t="shared" si="177"/>
        <v>-2310837.5471999999</v>
      </c>
      <c r="TA42" s="669">
        <f t="shared" si="177"/>
        <v>0</v>
      </c>
      <c r="TB42" s="669">
        <f t="shared" si="177"/>
        <v>-2310837.5471999999</v>
      </c>
      <c r="TC42" s="669">
        <f t="shared" si="177"/>
        <v>0</v>
      </c>
      <c r="TD42" s="669">
        <f t="shared" si="177"/>
        <v>-2310837.5471999999</v>
      </c>
      <c r="TF42" s="950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V42" s="694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J42" s="521"/>
      <c r="UK42" s="20"/>
      <c r="UL42" s="610"/>
      <c r="UM42" s="861"/>
      <c r="UN42" s="861"/>
      <c r="UO42" s="861"/>
      <c r="UP42" s="861"/>
      <c r="UQ42" s="861"/>
      <c r="UR42" s="861"/>
      <c r="US42" s="861"/>
      <c r="UT42" s="861"/>
      <c r="UU42" s="861"/>
      <c r="UV42" s="861"/>
      <c r="UW42" s="861"/>
    </row>
    <row r="43" spans="1:569" ht="15" x14ac:dyDescent="0.25">
      <c r="A43" s="22">
        <f>ROW()</f>
        <v>43</v>
      </c>
      <c r="B43" s="862" t="s">
        <v>408</v>
      </c>
      <c r="C43" s="618"/>
      <c r="D43" s="618">
        <v>3281890</v>
      </c>
      <c r="E43" s="618">
        <f>-D43</f>
        <v>-3281890</v>
      </c>
      <c r="F43" s="618">
        <f t="shared" si="17"/>
        <v>0</v>
      </c>
      <c r="G43" s="641"/>
      <c r="H43" s="618">
        <f t="shared" si="17"/>
        <v>0</v>
      </c>
      <c r="I43" s="856"/>
      <c r="J43" s="618">
        <f t="shared" si="17"/>
        <v>0</v>
      </c>
      <c r="K43" s="856"/>
      <c r="L43" s="618">
        <f t="shared" si="17"/>
        <v>0</v>
      </c>
      <c r="M43" s="856"/>
      <c r="N43" s="618">
        <f t="shared" si="17"/>
        <v>0</v>
      </c>
      <c r="O43" s="856"/>
      <c r="P43" s="618">
        <f t="shared" si="156"/>
        <v>0</v>
      </c>
      <c r="Q43" s="856"/>
      <c r="R43" s="618">
        <f t="shared" si="157"/>
        <v>0</v>
      </c>
      <c r="S43" s="529">
        <f>ROW()</f>
        <v>43</v>
      </c>
      <c r="T43" s="580" t="s">
        <v>409</v>
      </c>
      <c r="U43" s="751"/>
      <c r="V43" s="729">
        <v>102976391.14</v>
      </c>
      <c r="W43" s="785">
        <f t="shared" ref="W43:W53" si="178">-V43</f>
        <v>-102976391.14</v>
      </c>
      <c r="X43" s="74">
        <f t="shared" ref="X43:X54" si="179">+W43+V43</f>
        <v>0</v>
      </c>
      <c r="Y43" s="74"/>
      <c r="Z43" s="74">
        <f t="shared" ref="Z43:Z54" si="180">+Y43+X43</f>
        <v>0</v>
      </c>
      <c r="AA43" s="74"/>
      <c r="AB43" s="74">
        <f t="shared" ref="AB43:AB54" si="181">+AA43+Z43</f>
        <v>0</v>
      </c>
      <c r="AC43" s="74"/>
      <c r="AD43" s="74">
        <f t="shared" ref="AD43:AD54" si="182">+AC43+AB43</f>
        <v>0</v>
      </c>
      <c r="AE43" s="74"/>
      <c r="AF43" s="74">
        <f t="shared" ref="AF43:AF54" si="183">+AE43+AD43</f>
        <v>0</v>
      </c>
      <c r="AG43" s="42"/>
      <c r="AH43" s="42"/>
      <c r="AI43" s="42"/>
      <c r="AJ43" s="42"/>
      <c r="AL43" s="1187"/>
      <c r="AM43" s="776"/>
      <c r="AN43" s="21"/>
      <c r="AO43" s="21"/>
      <c r="AP43" s="526"/>
      <c r="AQ43" s="21"/>
      <c r="AR43" s="526"/>
      <c r="AS43" s="526"/>
      <c r="AT43" s="526"/>
      <c r="AU43" s="526"/>
      <c r="AV43" s="526"/>
      <c r="AW43" s="526"/>
      <c r="AX43" s="526"/>
      <c r="BB43" s="21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DC43" s="1"/>
      <c r="DD43" s="1"/>
      <c r="DE43" s="1"/>
      <c r="DF43" s="1"/>
      <c r="DG43" s="1"/>
      <c r="DH43" s="1"/>
      <c r="DI43" s="1"/>
      <c r="DJ43" s="1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IQ43" s="102"/>
      <c r="IR43" s="102"/>
      <c r="IS43" s="102"/>
      <c r="IT43" s="102"/>
      <c r="IU43" s="102"/>
      <c r="IV43" s="102"/>
      <c r="IW43" s="102"/>
      <c r="IX43" s="102"/>
      <c r="IY43" s="102"/>
      <c r="IZ43" s="102"/>
      <c r="JA43" s="102"/>
      <c r="JB43" s="102"/>
      <c r="JC43" s="102"/>
      <c r="JD43" s="102"/>
      <c r="JE43" s="102"/>
      <c r="JF43" s="102"/>
      <c r="JG43" s="102"/>
      <c r="JH43" s="102"/>
      <c r="JI43" s="102"/>
      <c r="JJ43" s="102"/>
      <c r="JK43" s="102"/>
      <c r="JL43" s="102"/>
      <c r="JM43" s="102"/>
      <c r="JN43" s="102"/>
      <c r="JO43" s="102"/>
      <c r="JP43" s="102"/>
      <c r="JQ43" s="102"/>
      <c r="JR43" s="102"/>
      <c r="JS43" s="102"/>
      <c r="JT43" s="102"/>
      <c r="JU43" s="102"/>
      <c r="JV43" s="102"/>
      <c r="JW43" s="102"/>
      <c r="JX43" s="102"/>
      <c r="JY43" s="102"/>
      <c r="JZ43" s="102"/>
      <c r="KS43" s="477"/>
      <c r="MG43" s="863"/>
      <c r="MV43" s="20"/>
      <c r="MW43" s="20"/>
      <c r="MX43" s="100"/>
      <c r="MY43" s="942"/>
      <c r="MZ43" s="100"/>
      <c r="NA43" s="100"/>
      <c r="NB43" s="100"/>
      <c r="NC43" s="100"/>
      <c r="ND43" s="100"/>
      <c r="NE43" s="100"/>
      <c r="NF43" s="100"/>
      <c r="NG43" s="100"/>
      <c r="NH43" s="100"/>
      <c r="NM43" s="30"/>
      <c r="NN43" s="842"/>
      <c r="NO43" s="20"/>
      <c r="NP43" s="800"/>
      <c r="NQ43" s="619"/>
      <c r="NR43" s="800"/>
      <c r="NS43" s="619"/>
      <c r="NT43" s="800"/>
      <c r="NU43" s="619"/>
      <c r="NV43" s="619"/>
      <c r="NW43" s="640"/>
      <c r="NX43" s="619"/>
      <c r="NY43" s="640"/>
      <c r="NZ43" s="619"/>
      <c r="OA43" s="550"/>
      <c r="OB43" s="550"/>
      <c r="OC43" s="550"/>
      <c r="OD43" s="550"/>
      <c r="OH43" s="102"/>
      <c r="OI43" s="102"/>
      <c r="OJ43" s="102"/>
      <c r="OK43" s="102"/>
      <c r="OL43" s="102"/>
      <c r="OM43"/>
      <c r="ON43"/>
      <c r="OO43"/>
      <c r="OP43"/>
      <c r="OQ43"/>
      <c r="OR43"/>
      <c r="OS43" s="102"/>
      <c r="OT43" s="102"/>
      <c r="OU43" s="102"/>
      <c r="OV43" s="102"/>
      <c r="OW43" s="22">
        <f>ROW()</f>
        <v>43</v>
      </c>
      <c r="OX43" s="866" t="s">
        <v>319</v>
      </c>
      <c r="OY43" s="867">
        <f>+'SEF-31'!$E$14</f>
        <v>3.8483000000000003E-2</v>
      </c>
      <c r="OZ43" s="651">
        <f>OZ38*OY43</f>
        <v>297374.09605180001</v>
      </c>
      <c r="PA43" s="651">
        <f>-OZ43</f>
        <v>-297374.09605180001</v>
      </c>
      <c r="PO43" s="7"/>
      <c r="PP43" s="7"/>
      <c r="PQ43" s="7"/>
      <c r="PR43" s="7"/>
      <c r="PS43" s="102"/>
      <c r="PT43" s="102"/>
      <c r="PU43" s="102"/>
      <c r="PV43" s="102"/>
      <c r="PW43" s="102"/>
      <c r="PX43" s="102"/>
      <c r="PY43" s="102"/>
      <c r="PZ43" s="102"/>
      <c r="QA43" s="102"/>
      <c r="QB43" s="102"/>
      <c r="QC43" s="102"/>
      <c r="QD43" s="102"/>
      <c r="QE43" s="102"/>
      <c r="QF43" s="102"/>
      <c r="QG43" s="102"/>
      <c r="QH43" s="102"/>
      <c r="QI43" s="102"/>
      <c r="QJ43" s="102"/>
      <c r="RC43" s="22"/>
      <c r="RM43" s="569"/>
      <c r="RO43" s="569"/>
      <c r="RS43" s="569"/>
      <c r="SM43" s="521">
        <f>ROW()</f>
        <v>43</v>
      </c>
      <c r="SO43" s="608"/>
      <c r="SP43" s="760"/>
      <c r="SQ43" s="36"/>
      <c r="SR43" s="36"/>
      <c r="SS43" s="36"/>
      <c r="ST43" s="36"/>
      <c r="SU43" s="36"/>
      <c r="SV43" s="36"/>
      <c r="SW43" s="36"/>
      <c r="SX43" s="36"/>
      <c r="SY43" s="36"/>
      <c r="SZ43" s="36"/>
      <c r="TA43" s="760"/>
      <c r="TB43" s="760"/>
      <c r="TC43" s="760"/>
      <c r="TD43" s="760"/>
      <c r="TF43" s="950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V43" s="712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J43" s="521"/>
      <c r="UK43" s="20"/>
      <c r="UL43" s="610"/>
      <c r="UM43" s="633"/>
      <c r="UN43" s="633"/>
      <c r="UO43" s="633"/>
      <c r="UP43" s="633"/>
      <c r="UQ43" s="633"/>
      <c r="UR43" s="633"/>
      <c r="US43" s="633"/>
      <c r="UT43" s="633"/>
      <c r="UU43" s="633"/>
      <c r="UV43" s="633"/>
      <c r="UW43" s="633"/>
    </row>
    <row r="44" spans="1:569" ht="15.75" thickBot="1" x14ac:dyDescent="0.3">
      <c r="A44" s="22">
        <f>ROW()</f>
        <v>44</v>
      </c>
      <c r="B44" s="524"/>
      <c r="D44" s="618"/>
      <c r="E44" s="618"/>
      <c r="F44" s="618">
        <f t="shared" si="17"/>
        <v>0</v>
      </c>
      <c r="G44" s="641"/>
      <c r="H44" s="618">
        <f t="shared" si="17"/>
        <v>0</v>
      </c>
      <c r="I44" s="856"/>
      <c r="J44" s="618">
        <f t="shared" si="17"/>
        <v>0</v>
      </c>
      <c r="K44" s="856"/>
      <c r="L44" s="618">
        <f t="shared" si="17"/>
        <v>0</v>
      </c>
      <c r="M44" s="856"/>
      <c r="N44" s="618">
        <f t="shared" si="17"/>
        <v>0</v>
      </c>
      <c r="O44" s="856"/>
      <c r="P44" s="618">
        <f t="shared" si="156"/>
        <v>0</v>
      </c>
      <c r="Q44" s="856"/>
      <c r="R44" s="618">
        <f t="shared" si="157"/>
        <v>0</v>
      </c>
      <c r="S44" s="529">
        <f>ROW()</f>
        <v>44</v>
      </c>
      <c r="T44" s="603" t="s">
        <v>410</v>
      </c>
      <c r="U44" s="751"/>
      <c r="V44" s="729">
        <v>49773760.210000008</v>
      </c>
      <c r="W44" s="785">
        <f t="shared" si="178"/>
        <v>-49773760.210000008</v>
      </c>
      <c r="X44" s="74">
        <f t="shared" si="179"/>
        <v>0</v>
      </c>
      <c r="Y44" s="74"/>
      <c r="Z44" s="74">
        <f t="shared" si="180"/>
        <v>0</v>
      </c>
      <c r="AA44" s="74"/>
      <c r="AB44" s="74">
        <f t="shared" si="181"/>
        <v>0</v>
      </c>
      <c r="AC44" s="74"/>
      <c r="AD44" s="74">
        <f t="shared" si="182"/>
        <v>0</v>
      </c>
      <c r="AE44" s="74"/>
      <c r="AF44" s="74">
        <f t="shared" si="183"/>
        <v>0</v>
      </c>
      <c r="AG44" s="42"/>
      <c r="AH44" s="42"/>
      <c r="AI44" s="42"/>
      <c r="AJ44" s="42"/>
      <c r="AL44" s="776"/>
      <c r="AM44" s="776"/>
      <c r="AN44" s="776"/>
      <c r="AO44" s="776"/>
      <c r="AP44" s="776"/>
      <c r="AQ44" s="776"/>
      <c r="AR44" s="776"/>
      <c r="AS44" s="776"/>
      <c r="AT44" s="776"/>
      <c r="AU44" s="776"/>
      <c r="AV44" s="776"/>
      <c r="AW44" s="776"/>
      <c r="AX44" s="776"/>
      <c r="BB44" s="21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IQ44" s="102"/>
      <c r="IR44" s="102"/>
      <c r="IS44" s="102"/>
      <c r="IT44" s="102"/>
      <c r="IU44" s="102"/>
      <c r="IV44" s="102"/>
      <c r="IW44" s="102"/>
      <c r="IX44" s="102"/>
      <c r="IY44" s="102"/>
      <c r="IZ44" s="102"/>
      <c r="JA44" s="102"/>
      <c r="JB44" s="102"/>
      <c r="JC44" s="102"/>
      <c r="JD44" s="102"/>
      <c r="JE44" s="102"/>
      <c r="JF44" s="102"/>
      <c r="JG44" s="102"/>
      <c r="JH44" s="102"/>
      <c r="JI44" s="102"/>
      <c r="JJ44" s="102"/>
      <c r="JK44" s="102"/>
      <c r="JL44" s="102"/>
      <c r="JM44" s="102"/>
      <c r="JN44" s="102"/>
      <c r="JO44" s="102"/>
      <c r="JP44" s="102"/>
      <c r="JQ44" s="102"/>
      <c r="JR44" s="102"/>
      <c r="JS44" s="102"/>
      <c r="JT44" s="102"/>
      <c r="JU44" s="102"/>
      <c r="JV44" s="102"/>
      <c r="JW44" s="102"/>
      <c r="JX44" s="102"/>
      <c r="JY44" s="102"/>
      <c r="JZ44" s="102"/>
      <c r="MV44" s="20"/>
      <c r="MW44" s="491"/>
      <c r="MX44" s="100"/>
      <c r="MY44" s="100"/>
      <c r="MZ44" s="100"/>
      <c r="NA44" s="100"/>
      <c r="NB44" s="100"/>
      <c r="NC44" s="100"/>
      <c r="ND44" s="100"/>
      <c r="NE44" s="100"/>
      <c r="NF44" s="100"/>
      <c r="NG44" s="100"/>
      <c r="NH44" s="100"/>
      <c r="NM44" s="30"/>
      <c r="NN44" s="842"/>
      <c r="NO44" s="20"/>
      <c r="NP44" s="800"/>
      <c r="NQ44" s="619"/>
      <c r="NR44" s="800"/>
      <c r="NS44" s="619"/>
      <c r="NT44" s="800"/>
      <c r="NU44" s="619"/>
      <c r="NV44" s="619"/>
      <c r="NW44" s="640"/>
      <c r="NX44" s="619"/>
      <c r="NY44" s="640"/>
      <c r="NZ44" s="619"/>
      <c r="OA44" s="550"/>
      <c r="OB44" s="550"/>
      <c r="OC44" s="550"/>
      <c r="OD44" s="550"/>
      <c r="OH44" s="102"/>
      <c r="OI44" s="102"/>
      <c r="OJ44" s="102"/>
      <c r="OK44" s="102"/>
      <c r="OL44" s="102"/>
      <c r="OM44"/>
      <c r="ON44"/>
      <c r="OO44"/>
      <c r="OP44"/>
      <c r="OQ44"/>
      <c r="OR44"/>
      <c r="OS44" s="102"/>
      <c r="OT44" s="102"/>
      <c r="OU44" s="102"/>
      <c r="OV44" s="102"/>
      <c r="OW44" s="22">
        <f>ROW()</f>
        <v>44</v>
      </c>
      <c r="OX44" s="690" t="s">
        <v>332</v>
      </c>
      <c r="OY44" s="749"/>
      <c r="OZ44" s="638">
        <f>SUM(OZ41:OZ43)</f>
        <v>386146.63497660001</v>
      </c>
      <c r="PA44" s="638">
        <f>SUM(PA41:PA43)</f>
        <v>-386146.63497660001</v>
      </c>
      <c r="PO44" s="7"/>
      <c r="PP44" s="7"/>
      <c r="PQ44" s="7"/>
      <c r="PR44" s="7"/>
      <c r="PS44" s="102"/>
      <c r="PT44" s="102"/>
      <c r="PU44" s="102"/>
      <c r="PV44" s="102"/>
      <c r="PW44" s="102"/>
      <c r="PX44" s="102"/>
      <c r="PY44" s="102"/>
      <c r="PZ44" s="102"/>
      <c r="QA44" s="102"/>
      <c r="QB44" s="102"/>
      <c r="QC44" s="102"/>
      <c r="QD44" s="102"/>
      <c r="QE44" s="102"/>
      <c r="QF44" s="102"/>
      <c r="QG44" s="102"/>
      <c r="QH44" s="102"/>
      <c r="QI44" s="102"/>
      <c r="QJ44" s="102"/>
      <c r="RC44" s="22"/>
      <c r="RM44" s="569"/>
      <c r="RO44" s="569"/>
      <c r="RS44" s="569"/>
      <c r="SM44" s="521">
        <f>ROW()</f>
        <v>44</v>
      </c>
      <c r="SN44" s="102" t="s">
        <v>240</v>
      </c>
      <c r="SO44" s="608"/>
      <c r="SP44" s="773"/>
      <c r="SQ44" s="1209"/>
      <c r="SR44" s="1209"/>
      <c r="SS44" s="1209">
        <f>-SS40-SS42</f>
        <v>-239996.06710000004</v>
      </c>
      <c r="ST44" s="1209">
        <f t="shared" ref="ST44:TD44" si="184">-ST40-ST42</f>
        <v>-239996.06710000004</v>
      </c>
      <c r="SU44" s="1209">
        <f t="shared" si="184"/>
        <v>-2314791.7111</v>
      </c>
      <c r="SV44" s="1209">
        <f t="shared" si="184"/>
        <v>-2554787.7781999996</v>
      </c>
      <c r="SW44" s="1209">
        <f t="shared" si="184"/>
        <v>-2910478.9345000004</v>
      </c>
      <c r="SX44" s="1209">
        <f t="shared" si="184"/>
        <v>-5465266.712700001</v>
      </c>
      <c r="SY44" s="1209">
        <f t="shared" si="184"/>
        <v>-3227884.0601000004</v>
      </c>
      <c r="SZ44" s="1209">
        <f t="shared" si="184"/>
        <v>-8693150.7728000004</v>
      </c>
      <c r="TA44" s="773">
        <f t="shared" si="184"/>
        <v>0</v>
      </c>
      <c r="TB44" s="773">
        <f t="shared" si="184"/>
        <v>-8693150.7728000004</v>
      </c>
      <c r="TC44" s="773">
        <f t="shared" si="184"/>
        <v>0</v>
      </c>
      <c r="TD44" s="773">
        <f t="shared" si="184"/>
        <v>-8693150.7728000004</v>
      </c>
      <c r="TF44" s="950"/>
      <c r="TG44" s="71"/>
      <c r="TH44" s="610"/>
      <c r="TI44" s="861"/>
      <c r="TJ44" s="861"/>
      <c r="TK44" s="861"/>
      <c r="TL44" s="861"/>
      <c r="TM44" s="861"/>
      <c r="TN44" s="861"/>
      <c r="TO44" s="861"/>
      <c r="TP44" s="861"/>
      <c r="TQ44" s="861"/>
      <c r="TR44" s="861"/>
      <c r="TS44" s="861"/>
      <c r="TV44" s="1024"/>
      <c r="TW44" s="20"/>
      <c r="TX44" s="78"/>
      <c r="TY44" s="78"/>
      <c r="TZ44" s="78"/>
      <c r="UA44" s="20"/>
      <c r="UB44" s="20"/>
      <c r="UC44" s="20"/>
      <c r="UD44" s="20"/>
      <c r="UE44" s="78"/>
      <c r="UF44" s="78"/>
      <c r="UG44" s="78"/>
      <c r="UH44" s="78"/>
      <c r="UJ44" s="521"/>
      <c r="UK44" s="20"/>
      <c r="UL44" s="610"/>
      <c r="UM44" s="72"/>
      <c r="UN44" s="72"/>
      <c r="UO44" s="72"/>
      <c r="UP44" s="72"/>
      <c r="UQ44" s="72"/>
      <c r="UR44" s="72"/>
      <c r="US44" s="72"/>
      <c r="UT44" s="72"/>
      <c r="UU44" s="72"/>
      <c r="UV44" s="72"/>
      <c r="UW44" s="72"/>
    </row>
    <row r="45" spans="1:569" ht="15.75" thickTop="1" x14ac:dyDescent="0.25">
      <c r="A45" s="22">
        <f>ROW()</f>
        <v>45</v>
      </c>
      <c r="B45" s="862" t="s">
        <v>411</v>
      </c>
      <c r="C45" s="868"/>
      <c r="D45" s="869">
        <v>-112906.73000000001</v>
      </c>
      <c r="E45" s="869">
        <v>147017.87608000002</v>
      </c>
      <c r="F45" s="618">
        <f t="shared" si="17"/>
        <v>34111.146080000006</v>
      </c>
      <c r="G45" s="870">
        <v>-34111.146079999999</v>
      </c>
      <c r="H45" s="618">
        <f t="shared" si="17"/>
        <v>0</v>
      </c>
      <c r="I45" s="871"/>
      <c r="J45" s="869">
        <f t="shared" si="17"/>
        <v>0</v>
      </c>
      <c r="K45" s="871"/>
      <c r="L45" s="869">
        <f t="shared" si="17"/>
        <v>0</v>
      </c>
      <c r="M45" s="871"/>
      <c r="N45" s="869">
        <f t="shared" si="17"/>
        <v>0</v>
      </c>
      <c r="O45" s="871"/>
      <c r="P45" s="869">
        <f t="shared" si="156"/>
        <v>0</v>
      </c>
      <c r="Q45" s="871"/>
      <c r="R45" s="869">
        <f t="shared" si="157"/>
        <v>0</v>
      </c>
      <c r="S45" s="529">
        <f>ROW()</f>
        <v>45</v>
      </c>
      <c r="T45" s="580" t="s">
        <v>412</v>
      </c>
      <c r="U45" s="751"/>
      <c r="V45" s="729">
        <v>99030798.5</v>
      </c>
      <c r="W45" s="785">
        <f t="shared" si="178"/>
        <v>-99030798.5</v>
      </c>
      <c r="X45" s="74">
        <f t="shared" si="179"/>
        <v>0</v>
      </c>
      <c r="Y45" s="74"/>
      <c r="Z45" s="74">
        <f t="shared" si="180"/>
        <v>0</v>
      </c>
      <c r="AA45" s="74"/>
      <c r="AB45" s="74">
        <f t="shared" si="181"/>
        <v>0</v>
      </c>
      <c r="AC45" s="74"/>
      <c r="AD45" s="74">
        <f t="shared" si="182"/>
        <v>0</v>
      </c>
      <c r="AE45" s="74"/>
      <c r="AF45" s="74">
        <f t="shared" si="183"/>
        <v>0</v>
      </c>
      <c r="AG45" s="42"/>
      <c r="AH45" s="42"/>
      <c r="AI45" s="42"/>
      <c r="AJ45" s="42"/>
      <c r="AL45" s="842"/>
      <c r="AM45" s="1191"/>
      <c r="AN45" s="619"/>
      <c r="AO45" s="619"/>
      <c r="AP45" s="591"/>
      <c r="AQ45" s="619"/>
      <c r="AR45" s="591"/>
      <c r="AS45" s="619"/>
      <c r="AT45" s="619"/>
      <c r="AU45" s="619"/>
      <c r="AV45" s="619"/>
      <c r="AW45" s="619"/>
      <c r="AX45" s="619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IQ45" s="102"/>
      <c r="IR45" s="102"/>
      <c r="IS45" s="102"/>
      <c r="IT45" s="102"/>
      <c r="IU45" s="102"/>
      <c r="IV45" s="102"/>
      <c r="IW45" s="102"/>
      <c r="IX45" s="102"/>
      <c r="IY45" s="102"/>
      <c r="IZ45" s="102"/>
      <c r="JA45" s="102"/>
      <c r="JB45" s="102"/>
      <c r="JC45" s="102"/>
      <c r="JD45" s="102"/>
      <c r="JE45" s="102"/>
      <c r="JF45" s="102"/>
      <c r="JG45" s="102"/>
      <c r="JH45" s="102"/>
      <c r="JI45" s="102"/>
      <c r="JJ45" s="102"/>
      <c r="JK45" s="102"/>
      <c r="JL45" s="102"/>
      <c r="JM45" s="102"/>
      <c r="JN45" s="102"/>
      <c r="JO45" s="102"/>
      <c r="JP45" s="102"/>
      <c r="JQ45" s="102"/>
      <c r="JR45" s="102"/>
      <c r="JS45" s="102"/>
      <c r="JT45" s="102"/>
      <c r="JU45" s="102"/>
      <c r="JV45" s="102"/>
      <c r="JW45" s="102"/>
      <c r="JX45" s="102"/>
      <c r="JY45" s="102"/>
      <c r="JZ45" s="102"/>
      <c r="MG45" s="863"/>
      <c r="MV45" s="100"/>
      <c r="MW45" s="20"/>
      <c r="MX45" s="100"/>
      <c r="MY45" s="100"/>
      <c r="MZ45" s="100"/>
      <c r="NA45" s="100"/>
      <c r="NB45" s="100"/>
      <c r="NC45" s="100"/>
      <c r="ND45" s="100"/>
      <c r="NE45" s="100"/>
      <c r="NF45" s="100"/>
      <c r="NG45" s="100"/>
      <c r="NH45" s="100"/>
      <c r="NM45" s="30"/>
      <c r="NN45" s="842"/>
      <c r="NO45" s="20"/>
      <c r="NP45" s="800"/>
      <c r="NQ45" s="619"/>
      <c r="NR45" s="800"/>
      <c r="NS45" s="619"/>
      <c r="NT45" s="800"/>
      <c r="NU45" s="619"/>
      <c r="NV45" s="619"/>
      <c r="NW45" s="640"/>
      <c r="NX45" s="619"/>
      <c r="NY45" s="640"/>
      <c r="NZ45" s="619"/>
      <c r="OA45" s="550"/>
      <c r="OB45" s="550"/>
      <c r="OC45" s="550"/>
      <c r="OD45" s="550"/>
      <c r="OH45" s="102"/>
      <c r="OI45" s="102"/>
      <c r="OJ45" s="102"/>
      <c r="OK45" s="102"/>
      <c r="OL45" s="102"/>
      <c r="OM45"/>
      <c r="ON45"/>
      <c r="OO45"/>
      <c r="OP45"/>
      <c r="OQ45"/>
      <c r="OR45"/>
      <c r="OS45" s="102"/>
      <c r="OT45" s="102"/>
      <c r="OU45" s="102"/>
      <c r="OV45" s="102"/>
      <c r="OW45" s="22">
        <f>ROW()</f>
        <v>45</v>
      </c>
      <c r="PO45" s="7"/>
      <c r="PP45" s="7"/>
      <c r="PQ45" s="7"/>
      <c r="PR45" s="7"/>
      <c r="PS45" s="102"/>
      <c r="PT45" s="102"/>
      <c r="PU45" s="102"/>
      <c r="PV45" s="102"/>
      <c r="PW45" s="102"/>
      <c r="PX45" s="102"/>
      <c r="PY45" s="102"/>
      <c r="PZ45" s="102"/>
      <c r="QA45" s="102"/>
      <c r="QB45" s="102"/>
      <c r="QC45" s="102"/>
      <c r="QD45" s="102"/>
      <c r="QE45" s="102"/>
      <c r="QF45" s="102"/>
      <c r="QG45" s="102"/>
      <c r="QH45" s="102"/>
      <c r="QI45" s="102"/>
      <c r="QJ45" s="102"/>
      <c r="RC45" s="22"/>
      <c r="SM45" s="521">
        <f>ROW()</f>
        <v>45</v>
      </c>
      <c r="SO45" s="608"/>
      <c r="SP45" s="520"/>
      <c r="SQ45" s="43"/>
      <c r="SR45" s="43"/>
      <c r="SS45" s="43"/>
      <c r="ST45" s="43"/>
      <c r="SU45" s="43"/>
      <c r="SV45" s="43"/>
      <c r="SW45" s="43"/>
      <c r="SX45" s="43"/>
      <c r="SY45" s="43"/>
      <c r="SZ45" s="43"/>
      <c r="TA45" s="520"/>
      <c r="TB45" s="520"/>
      <c r="TC45" s="520"/>
      <c r="TD45" s="520"/>
      <c r="TF45" s="950"/>
      <c r="TG45" s="477"/>
      <c r="TH45" s="20"/>
      <c r="TI45" s="573"/>
      <c r="TJ45" s="573"/>
      <c r="TK45" s="573"/>
      <c r="TL45" s="574"/>
      <c r="TM45" s="574"/>
      <c r="TN45" s="574"/>
      <c r="TO45" s="574"/>
      <c r="TP45" s="574"/>
      <c r="TQ45" s="574"/>
      <c r="TR45" s="574"/>
      <c r="TS45" s="574"/>
      <c r="TV45" s="1024"/>
      <c r="TW45" s="20"/>
      <c r="TX45" s="78"/>
      <c r="TY45" s="78"/>
      <c r="TZ45" s="78"/>
      <c r="UA45" s="20"/>
      <c r="UB45" s="20"/>
      <c r="UC45" s="20"/>
      <c r="UD45" s="20"/>
      <c r="UE45" s="78"/>
      <c r="UF45" s="78"/>
      <c r="UG45" s="78"/>
      <c r="UH45" s="78"/>
      <c r="UJ45" s="521"/>
      <c r="UK45" s="20"/>
      <c r="UL45" s="610"/>
      <c r="UM45" s="574"/>
      <c r="UN45" s="574"/>
      <c r="UO45" s="574"/>
      <c r="UP45" s="574"/>
      <c r="UQ45" s="574"/>
      <c r="UR45" s="574"/>
      <c r="US45" s="574"/>
      <c r="UT45" s="574"/>
      <c r="UU45" s="574"/>
      <c r="UV45" s="574"/>
      <c r="UW45" s="574"/>
    </row>
    <row r="46" spans="1:569" ht="15" x14ac:dyDescent="0.25">
      <c r="A46" s="22">
        <f>ROW()</f>
        <v>46</v>
      </c>
      <c r="B46" s="648" t="s">
        <v>413</v>
      </c>
      <c r="C46" s="874"/>
      <c r="D46" s="875">
        <f t="shared" ref="D46:N46" si="185">SUM(D16:D45)</f>
        <v>165843415.47184497</v>
      </c>
      <c r="E46" s="875">
        <f t="shared" si="185"/>
        <v>117162999.54713681</v>
      </c>
      <c r="F46" s="876">
        <f t="shared" si="185"/>
        <v>283006415.0189817</v>
      </c>
      <c r="G46" s="875">
        <f t="shared" si="185"/>
        <v>-283006415.0189817</v>
      </c>
      <c r="H46" s="876">
        <f t="shared" si="185"/>
        <v>0</v>
      </c>
      <c r="I46" s="747">
        <f t="shared" si="185"/>
        <v>12111248.292725325</v>
      </c>
      <c r="J46" s="747">
        <f t="shared" si="185"/>
        <v>12111248.292725325</v>
      </c>
      <c r="K46" s="875">
        <f t="shared" si="185"/>
        <v>9749529.1303141117</v>
      </c>
      <c r="L46" s="747">
        <f t="shared" si="185"/>
        <v>21860777.423039436</v>
      </c>
      <c r="M46" s="875">
        <f t="shared" si="185"/>
        <v>22389080.988265514</v>
      </c>
      <c r="N46" s="747">
        <f t="shared" si="185"/>
        <v>44249858.411304951</v>
      </c>
      <c r="O46" s="875">
        <f t="shared" ref="O46:R46" si="186">SUM(O16:O45)</f>
        <v>0</v>
      </c>
      <c r="P46" s="875">
        <f t="shared" si="186"/>
        <v>44249858.411304951</v>
      </c>
      <c r="Q46" s="875">
        <f t="shared" si="186"/>
        <v>0</v>
      </c>
      <c r="R46" s="875">
        <f t="shared" si="186"/>
        <v>44249858.411304951</v>
      </c>
      <c r="S46" s="529">
        <f>ROW()</f>
        <v>46</v>
      </c>
      <c r="T46" s="580" t="s">
        <v>414</v>
      </c>
      <c r="U46" s="751"/>
      <c r="V46" s="729">
        <v>46781936.939999998</v>
      </c>
      <c r="W46" s="785">
        <f t="shared" si="178"/>
        <v>-46781936.939999998</v>
      </c>
      <c r="X46" s="74">
        <f t="shared" si="179"/>
        <v>0</v>
      </c>
      <c r="Y46" s="74"/>
      <c r="Z46" s="74">
        <f t="shared" si="180"/>
        <v>0</v>
      </c>
      <c r="AA46" s="74"/>
      <c r="AB46" s="74">
        <f t="shared" si="181"/>
        <v>0</v>
      </c>
      <c r="AC46" s="74"/>
      <c r="AD46" s="74">
        <f t="shared" si="182"/>
        <v>0</v>
      </c>
      <c r="AE46" s="74"/>
      <c r="AF46" s="74">
        <f t="shared" si="183"/>
        <v>0</v>
      </c>
      <c r="AG46" s="42"/>
      <c r="AH46" s="42"/>
      <c r="AI46" s="42"/>
      <c r="AJ46" s="42"/>
      <c r="AL46" s="842"/>
      <c r="AM46" s="1191"/>
      <c r="AN46" s="619"/>
      <c r="AO46" s="619"/>
      <c r="AP46" s="591"/>
      <c r="AQ46" s="619"/>
      <c r="AR46" s="591"/>
      <c r="AS46" s="619"/>
      <c r="AT46" s="619"/>
      <c r="AU46" s="619"/>
      <c r="AV46" s="619"/>
      <c r="AW46" s="619"/>
      <c r="AX46" s="619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IQ46" s="102"/>
      <c r="IR46" s="102"/>
      <c r="IS46" s="102"/>
      <c r="IT46" s="102"/>
      <c r="IU46" s="102"/>
      <c r="IV46" s="102"/>
      <c r="IW46" s="102"/>
      <c r="IX46" s="102"/>
      <c r="IY46" s="102"/>
      <c r="IZ46" s="102"/>
      <c r="JA46" s="102"/>
      <c r="JB46" s="102"/>
      <c r="JC46" s="102"/>
      <c r="JD46" s="102"/>
      <c r="JE46" s="102"/>
      <c r="JF46" s="102"/>
      <c r="JG46" s="102"/>
      <c r="JH46" s="102"/>
      <c r="JI46" s="102"/>
      <c r="JJ46" s="102"/>
      <c r="JK46" s="102"/>
      <c r="JL46" s="102"/>
      <c r="JM46" s="102"/>
      <c r="JN46" s="102"/>
      <c r="JO46" s="102"/>
      <c r="JP46" s="102"/>
      <c r="JQ46" s="102"/>
      <c r="JR46" s="102"/>
      <c r="JS46" s="102"/>
      <c r="JT46" s="102"/>
      <c r="JU46" s="102"/>
      <c r="JV46" s="102"/>
      <c r="JW46" s="102"/>
      <c r="JX46" s="102"/>
      <c r="JY46" s="102"/>
      <c r="JZ46" s="102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M46" s="30"/>
      <c r="NN46" s="842"/>
      <c r="NO46" s="20"/>
      <c r="NP46" s="560"/>
      <c r="NQ46" s="619"/>
      <c r="NR46" s="800"/>
      <c r="NS46" s="619"/>
      <c r="NT46" s="800"/>
      <c r="NU46" s="619"/>
      <c r="NV46" s="619"/>
      <c r="NW46" s="640"/>
      <c r="NX46" s="619"/>
      <c r="NY46" s="640"/>
      <c r="NZ46" s="619"/>
      <c r="OA46" s="550"/>
      <c r="OB46" s="550"/>
      <c r="OC46" s="550"/>
      <c r="OD46" s="550"/>
      <c r="OH46" s="102"/>
      <c r="OI46" s="102"/>
      <c r="OJ46" s="102"/>
      <c r="OK46" s="102"/>
      <c r="OL46" s="102"/>
      <c r="OM46"/>
      <c r="ON46"/>
      <c r="OO46"/>
      <c r="OP46"/>
      <c r="OQ46"/>
      <c r="OR46"/>
      <c r="OS46" s="102"/>
      <c r="OT46" s="102"/>
      <c r="OU46" s="102"/>
      <c r="OV46" s="102"/>
      <c r="OW46" s="22">
        <f>ROW()</f>
        <v>46</v>
      </c>
      <c r="OX46" s="562" t="s">
        <v>415</v>
      </c>
      <c r="PO46" s="7"/>
      <c r="PP46" s="7"/>
      <c r="PQ46" s="7"/>
      <c r="PR46" s="7"/>
      <c r="PS46" s="102"/>
      <c r="PT46" s="102"/>
      <c r="PU46" s="102"/>
      <c r="PV46" s="102"/>
      <c r="PW46" s="102"/>
      <c r="PX46" s="102"/>
      <c r="PY46" s="102"/>
      <c r="PZ46" s="102"/>
      <c r="QA46" s="102"/>
      <c r="QB46" s="102"/>
      <c r="QC46" s="102"/>
      <c r="QD46" s="102"/>
      <c r="QE46" s="102"/>
      <c r="QF46" s="102"/>
      <c r="QG46" s="102"/>
      <c r="QH46" s="102"/>
      <c r="QI46" s="102"/>
      <c r="QJ46" s="102"/>
      <c r="SM46" s="521">
        <f>ROW()</f>
        <v>46</v>
      </c>
      <c r="SN46" s="102" t="s">
        <v>361</v>
      </c>
      <c r="SO46" s="608"/>
      <c r="SP46" s="570"/>
      <c r="SQ46" s="98"/>
      <c r="SR46" s="98"/>
      <c r="SS46" s="98">
        <v>44198350.349999994</v>
      </c>
      <c r="ST46" s="98">
        <f>SS46</f>
        <v>44198350.349999994</v>
      </c>
      <c r="SU46" s="98">
        <v>112269525.96000001</v>
      </c>
      <c r="SV46" s="98">
        <f>SU46+ST46</f>
        <v>156467876.31</v>
      </c>
      <c r="SW46" s="98">
        <v>58413576.160000026</v>
      </c>
      <c r="SX46" s="98">
        <f>SW46+SV46</f>
        <v>214881452.47000003</v>
      </c>
      <c r="SY46" s="98">
        <v>128498653.73999989</v>
      </c>
      <c r="SZ46" s="98">
        <f>SY46+SX46</f>
        <v>343380106.20999992</v>
      </c>
      <c r="TA46" s="570"/>
      <c r="TB46" s="570"/>
      <c r="TC46" s="570"/>
      <c r="TD46" s="570"/>
      <c r="TF46" s="950"/>
      <c r="TG46" s="609"/>
      <c r="TH46" s="610"/>
      <c r="TI46" s="611"/>
      <c r="TJ46" s="611"/>
      <c r="TK46" s="20"/>
      <c r="TL46" s="611"/>
      <c r="TM46" s="20"/>
      <c r="TN46" s="611"/>
      <c r="TO46" s="20"/>
      <c r="TP46" s="611"/>
      <c r="TQ46" s="20"/>
      <c r="TR46" s="611"/>
      <c r="TS46" s="20"/>
      <c r="TV46" s="1024"/>
      <c r="TW46" s="20"/>
      <c r="TX46" s="78"/>
      <c r="TY46" s="78"/>
      <c r="TZ46" s="78"/>
      <c r="UA46" s="78"/>
      <c r="UB46" s="78"/>
      <c r="UC46" s="78"/>
      <c r="UD46" s="78"/>
      <c r="UE46" s="78"/>
      <c r="UF46" s="78"/>
      <c r="UG46" s="78"/>
      <c r="UH46" s="78"/>
      <c r="UJ46" s="521"/>
      <c r="UK46" s="20"/>
      <c r="UL46" s="610"/>
      <c r="UM46" s="72"/>
      <c r="UN46" s="72"/>
      <c r="UO46" s="72"/>
      <c r="UP46" s="72"/>
      <c r="UQ46" s="72"/>
      <c r="UR46" s="72"/>
      <c r="US46" s="72"/>
      <c r="UT46" s="72"/>
      <c r="UU46" s="72"/>
      <c r="UV46" s="72"/>
      <c r="UW46" s="72"/>
    </row>
    <row r="47" spans="1:569" ht="15" x14ac:dyDescent="0.25">
      <c r="A47" s="22">
        <f>ROW()</f>
        <v>47</v>
      </c>
      <c r="B47" s="648"/>
      <c r="C47" s="730" t="s">
        <v>316</v>
      </c>
      <c r="D47" s="877"/>
      <c r="E47" s="877">
        <v>0</v>
      </c>
      <c r="F47" s="877"/>
      <c r="G47" s="877">
        <v>0</v>
      </c>
      <c r="H47" s="877"/>
      <c r="I47" s="877">
        <v>0</v>
      </c>
      <c r="J47" s="877"/>
      <c r="K47" s="877">
        <v>0</v>
      </c>
      <c r="L47" s="877"/>
      <c r="M47" s="877">
        <v>0</v>
      </c>
      <c r="N47" s="878"/>
      <c r="O47" s="877">
        <v>0</v>
      </c>
      <c r="P47" s="877"/>
      <c r="Q47" s="877">
        <v>0</v>
      </c>
      <c r="R47" s="878"/>
      <c r="S47" s="529">
        <f>ROW()</f>
        <v>47</v>
      </c>
      <c r="T47" s="41" t="s">
        <v>299</v>
      </c>
      <c r="U47" s="751"/>
      <c r="V47" s="729">
        <v>-77573434.540000007</v>
      </c>
      <c r="W47" s="785">
        <f t="shared" si="178"/>
        <v>77573434.540000007</v>
      </c>
      <c r="X47" s="74">
        <f t="shared" si="179"/>
        <v>0</v>
      </c>
      <c r="Y47" s="74"/>
      <c r="Z47" s="74">
        <f t="shared" si="180"/>
        <v>0</v>
      </c>
      <c r="AA47" s="74"/>
      <c r="AB47" s="74">
        <f t="shared" si="181"/>
        <v>0</v>
      </c>
      <c r="AC47" s="74"/>
      <c r="AD47" s="74">
        <f t="shared" si="182"/>
        <v>0</v>
      </c>
      <c r="AE47" s="74"/>
      <c r="AF47" s="74">
        <f t="shared" si="183"/>
        <v>0</v>
      </c>
      <c r="AG47" s="42"/>
      <c r="AH47" s="42"/>
      <c r="AI47" s="42"/>
      <c r="AJ47" s="42"/>
      <c r="AL47" s="842"/>
      <c r="AM47" s="1191"/>
      <c r="AN47" s="619"/>
      <c r="AO47" s="619"/>
      <c r="AP47" s="591"/>
      <c r="AQ47" s="619"/>
      <c r="AR47" s="591"/>
      <c r="AS47" s="619"/>
      <c r="AT47" s="619"/>
      <c r="AU47" s="619"/>
      <c r="AV47" s="619"/>
      <c r="AW47" s="619"/>
      <c r="AX47" s="619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IQ47" s="102"/>
      <c r="IR47" s="102"/>
      <c r="IS47" s="102"/>
      <c r="IT47" s="102"/>
      <c r="IU47" s="102"/>
      <c r="IV47" s="102"/>
      <c r="IW47" s="102"/>
      <c r="IX47" s="102"/>
      <c r="IY47" s="102"/>
      <c r="IZ47" s="102"/>
      <c r="JA47" s="102"/>
      <c r="JB47" s="102"/>
      <c r="JC47" s="102"/>
      <c r="JD47" s="102"/>
      <c r="JE47" s="102"/>
      <c r="JF47" s="102"/>
      <c r="JG47" s="102"/>
      <c r="JH47" s="102"/>
      <c r="JI47" s="102"/>
      <c r="JJ47" s="102"/>
      <c r="JK47" s="102"/>
      <c r="JL47" s="102"/>
      <c r="JM47" s="102"/>
      <c r="JN47" s="102"/>
      <c r="JO47" s="102"/>
      <c r="JP47" s="102"/>
      <c r="JQ47" s="102"/>
      <c r="JR47" s="102"/>
      <c r="JS47" s="102"/>
      <c r="JT47" s="102"/>
      <c r="JU47" s="102"/>
      <c r="JV47" s="102"/>
      <c r="JW47" s="102"/>
      <c r="JX47" s="102"/>
      <c r="JY47" s="102"/>
      <c r="JZ47" s="102"/>
      <c r="MV47" s="609"/>
      <c r="MW47" s="1193"/>
      <c r="MX47" s="1193"/>
      <c r="MY47" s="1193"/>
      <c r="MZ47" s="1193"/>
      <c r="NA47" s="1193"/>
      <c r="NB47" s="1193"/>
      <c r="NC47" s="1193"/>
      <c r="ND47" s="1193"/>
      <c r="NE47" s="1193"/>
      <c r="NF47" s="1193"/>
      <c r="NG47" s="1193"/>
      <c r="NH47" s="1193"/>
      <c r="NM47" s="30"/>
      <c r="NN47" s="1195"/>
      <c r="NO47" s="20"/>
      <c r="NP47" s="1196"/>
      <c r="NQ47" s="1196"/>
      <c r="NR47" s="1196"/>
      <c r="NS47" s="1196"/>
      <c r="NT47" s="1196"/>
      <c r="NU47" s="1196"/>
      <c r="NV47" s="619"/>
      <c r="NW47" s="641"/>
      <c r="NX47" s="641"/>
      <c r="NY47" s="641"/>
      <c r="NZ47" s="641"/>
      <c r="OA47" s="550"/>
      <c r="OB47" s="550"/>
      <c r="OC47" s="550"/>
      <c r="OD47" s="550"/>
      <c r="OH47" s="102"/>
      <c r="OI47" s="102"/>
      <c r="OJ47" s="102"/>
      <c r="OK47" s="102"/>
      <c r="OL47" s="102"/>
      <c r="OM47"/>
      <c r="ON47"/>
      <c r="OO47"/>
      <c r="OP47"/>
      <c r="OQ47"/>
      <c r="OR47"/>
      <c r="OS47" s="102"/>
      <c r="OT47" s="102"/>
      <c r="OU47" s="102"/>
      <c r="OV47" s="102"/>
      <c r="OW47" s="22">
        <f>ROW()</f>
        <v>47</v>
      </c>
      <c r="OX47" s="598" t="s">
        <v>416</v>
      </c>
      <c r="OY47" s="598"/>
      <c r="OZ47" s="63"/>
      <c r="PA47" s="846"/>
      <c r="PB47" s="63"/>
      <c r="PC47" s="846"/>
      <c r="PD47" s="846"/>
      <c r="PE47" s="846"/>
      <c r="PF47" s="846">
        <v>0</v>
      </c>
      <c r="PG47" s="846">
        <f>PH47-PF47</f>
        <v>9678037.1957844663</v>
      </c>
      <c r="PH47" s="847">
        <v>9678037.1957844663</v>
      </c>
      <c r="PI47" s="846">
        <f>PJ47-PH47</f>
        <v>0</v>
      </c>
      <c r="PJ47" s="847">
        <v>9678037.1957844663</v>
      </c>
      <c r="PK47" s="845">
        <f t="shared" ref="PK47" si="187">PL47-PJ47</f>
        <v>0</v>
      </c>
      <c r="PL47" s="847">
        <v>9678037.1957844663</v>
      </c>
      <c r="PM47" s="845">
        <f t="shared" ref="PM47" si="188">PN47-PL47</f>
        <v>0</v>
      </c>
      <c r="PN47" s="847">
        <v>9678037.1957844663</v>
      </c>
      <c r="PO47" s="7"/>
      <c r="PP47" s="7"/>
      <c r="PQ47" s="7"/>
      <c r="PR47" s="7"/>
      <c r="PS47" s="102"/>
      <c r="PT47" s="102"/>
      <c r="PU47" s="102"/>
      <c r="PV47" s="102"/>
      <c r="PW47" s="102"/>
      <c r="PX47" s="102"/>
      <c r="PY47" s="102"/>
      <c r="PZ47" s="102"/>
      <c r="QA47" s="102"/>
      <c r="QB47" s="102"/>
      <c r="QC47" s="102"/>
      <c r="QD47" s="102"/>
      <c r="QE47" s="102"/>
      <c r="QF47" s="102"/>
      <c r="QG47" s="102"/>
      <c r="QH47" s="102"/>
      <c r="QI47" s="102"/>
      <c r="QJ47" s="102"/>
      <c r="SM47" s="521">
        <f>ROW()</f>
        <v>47</v>
      </c>
      <c r="SN47" s="102" t="s">
        <v>369</v>
      </c>
      <c r="SO47" s="608"/>
      <c r="SP47" s="606"/>
      <c r="SQ47" s="39"/>
      <c r="SR47" s="39"/>
      <c r="SS47" s="39">
        <v>-303792.49</v>
      </c>
      <c r="ST47" s="39">
        <f>SS47</f>
        <v>-303792.49</v>
      </c>
      <c r="SU47" s="39">
        <v>-3233908.580000001</v>
      </c>
      <c r="SV47" s="39">
        <f>SU47+ST47</f>
        <v>-3537701.0700000012</v>
      </c>
      <c r="SW47" s="39">
        <v>-3145184.8899999992</v>
      </c>
      <c r="SX47" s="39">
        <f>SW47+SV47</f>
        <v>-6682885.9600000009</v>
      </c>
      <c r="SY47" s="39">
        <v>-8949341.3200000003</v>
      </c>
      <c r="SZ47" s="39">
        <f>SY47+SX47</f>
        <v>-15632227.280000001</v>
      </c>
      <c r="TA47" s="606"/>
      <c r="TB47" s="606"/>
      <c r="TC47" s="606"/>
      <c r="TD47" s="606"/>
      <c r="TF47" s="950"/>
      <c r="TG47" s="650"/>
      <c r="TH47" s="610"/>
      <c r="TI47" s="651"/>
      <c r="TJ47" s="651"/>
      <c r="TK47" s="17"/>
      <c r="TL47" s="651"/>
      <c r="TM47" s="17"/>
      <c r="TN47" s="651"/>
      <c r="TO47" s="17"/>
      <c r="TP47" s="651"/>
      <c r="TQ47" s="17"/>
      <c r="TR47" s="651"/>
      <c r="TS47" s="17"/>
      <c r="TV47" s="1211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J47" s="521"/>
      <c r="UK47" s="20"/>
      <c r="UL47" s="610"/>
      <c r="UM47" s="574"/>
      <c r="UN47" s="574"/>
      <c r="UO47" s="574"/>
      <c r="UP47" s="574"/>
      <c r="UQ47" s="574"/>
      <c r="UR47" s="574"/>
      <c r="US47" s="574"/>
      <c r="UT47" s="574"/>
      <c r="UU47" s="574"/>
      <c r="UV47" s="574"/>
      <c r="UW47" s="574"/>
    </row>
    <row r="48" spans="1:569" ht="15" x14ac:dyDescent="0.25">
      <c r="A48" s="22">
        <f>ROW()</f>
        <v>48</v>
      </c>
      <c r="B48" s="489" t="s">
        <v>85</v>
      </c>
      <c r="C48" s="730"/>
      <c r="D48" s="719"/>
      <c r="E48" s="879"/>
      <c r="F48" s="879"/>
      <c r="G48" s="879"/>
      <c r="H48" s="880"/>
      <c r="I48" s="879"/>
      <c r="J48" s="730"/>
      <c r="K48" s="879"/>
      <c r="L48" s="730"/>
      <c r="M48" s="879"/>
      <c r="N48" s="730"/>
      <c r="O48" s="879"/>
      <c r="P48" s="730"/>
      <c r="Q48" s="879"/>
      <c r="R48" s="730"/>
      <c r="S48" s="529">
        <f>ROW()</f>
        <v>48</v>
      </c>
      <c r="T48" s="41" t="s">
        <v>417</v>
      </c>
      <c r="U48" s="751"/>
      <c r="V48" s="729">
        <v>-11274.67</v>
      </c>
      <c r="W48" s="785">
        <f t="shared" si="178"/>
        <v>11274.67</v>
      </c>
      <c r="X48" s="74">
        <f t="shared" si="179"/>
        <v>0</v>
      </c>
      <c r="Y48" s="74"/>
      <c r="Z48" s="74">
        <f t="shared" si="180"/>
        <v>0</v>
      </c>
      <c r="AA48" s="74"/>
      <c r="AB48" s="74">
        <f t="shared" si="181"/>
        <v>0</v>
      </c>
      <c r="AC48" s="74"/>
      <c r="AD48" s="74">
        <f t="shared" si="182"/>
        <v>0</v>
      </c>
      <c r="AE48" s="74"/>
      <c r="AF48" s="74">
        <f t="shared" si="183"/>
        <v>0</v>
      </c>
      <c r="AG48" s="42"/>
      <c r="AH48" s="42"/>
      <c r="AI48" s="42"/>
      <c r="AJ48" s="42"/>
      <c r="AL48" s="881"/>
      <c r="AM48" s="1191"/>
      <c r="AN48" s="619"/>
      <c r="AO48" s="619"/>
      <c r="AP48" s="619"/>
      <c r="AQ48" s="619"/>
      <c r="AR48" s="619"/>
      <c r="AS48" s="619"/>
      <c r="AT48" s="619"/>
      <c r="AU48" s="619"/>
      <c r="AV48" s="619"/>
      <c r="AW48" s="619"/>
      <c r="AX48" s="619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IQ48" s="102"/>
      <c r="IR48" s="102"/>
      <c r="IS48" s="102"/>
      <c r="IT48" s="102"/>
      <c r="IU48" s="102"/>
      <c r="IV48" s="102"/>
      <c r="IW48" s="102"/>
      <c r="IX48" s="102"/>
      <c r="IY48" s="102"/>
      <c r="IZ48" s="102"/>
      <c r="JA48" s="102"/>
      <c r="JB48" s="102"/>
      <c r="JC48" s="102"/>
      <c r="JD48" s="102"/>
      <c r="JE48" s="102"/>
      <c r="JF48" s="102"/>
      <c r="JG48" s="102"/>
      <c r="JH48" s="102"/>
      <c r="JI48" s="102"/>
      <c r="JJ48" s="102"/>
      <c r="JK48" s="102"/>
      <c r="JL48" s="102"/>
      <c r="JM48" s="102"/>
      <c r="JN48" s="102"/>
      <c r="JO48" s="102"/>
      <c r="JP48" s="102"/>
      <c r="JQ48" s="102"/>
      <c r="JR48" s="102"/>
      <c r="JS48" s="102"/>
      <c r="JT48" s="102"/>
      <c r="JU48" s="102"/>
      <c r="JV48" s="102"/>
      <c r="JW48" s="102"/>
      <c r="JX48" s="102"/>
      <c r="JY48" s="102"/>
      <c r="JZ48" s="102"/>
      <c r="MV48" s="609"/>
      <c r="MW48" s="78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M48" s="30"/>
      <c r="NN48" s="1197"/>
      <c r="NO48" s="41"/>
      <c r="NP48" s="560"/>
      <c r="NQ48" s="560"/>
      <c r="NR48" s="560"/>
      <c r="NS48" s="560"/>
      <c r="NT48" s="560"/>
      <c r="NU48" s="560"/>
      <c r="NV48" s="560"/>
      <c r="NW48" s="880"/>
      <c r="NX48" s="880"/>
      <c r="NY48" s="880"/>
      <c r="NZ48" s="560"/>
      <c r="OA48" s="550"/>
      <c r="OB48" s="550"/>
      <c r="OC48" s="550"/>
      <c r="OD48" s="550"/>
      <c r="OH48" s="102"/>
      <c r="OI48" s="102"/>
      <c r="OJ48" s="102"/>
      <c r="OK48" s="102"/>
      <c r="OL48" s="102"/>
      <c r="OM48" s="102"/>
      <c r="ON48" s="102"/>
      <c r="OO48" s="102"/>
      <c r="OP48" s="102"/>
      <c r="OQ48" s="102"/>
      <c r="OR48" s="102"/>
      <c r="OS48" s="102"/>
      <c r="OT48" s="102"/>
      <c r="OU48" s="102"/>
      <c r="OV48" s="102"/>
      <c r="OW48" s="22">
        <f>ROW()</f>
        <v>48</v>
      </c>
      <c r="OX48" s="881" t="s">
        <v>108</v>
      </c>
      <c r="OY48" s="881"/>
      <c r="OZ48" s="660">
        <f t="shared" ref="OZ48:PJ48" si="189">SUM(OZ47:OZ47)</f>
        <v>0</v>
      </c>
      <c r="PA48" s="660">
        <f t="shared" si="189"/>
        <v>0</v>
      </c>
      <c r="PB48" s="660">
        <f t="shared" si="189"/>
        <v>0</v>
      </c>
      <c r="PC48" s="660">
        <f t="shared" si="189"/>
        <v>0</v>
      </c>
      <c r="PD48" s="660">
        <f t="shared" si="189"/>
        <v>0</v>
      </c>
      <c r="PE48" s="660">
        <f t="shared" si="189"/>
        <v>0</v>
      </c>
      <c r="PF48" s="660">
        <f t="shared" si="189"/>
        <v>0</v>
      </c>
      <c r="PG48" s="660">
        <f t="shared" si="189"/>
        <v>9678037.1957844663</v>
      </c>
      <c r="PH48" s="660">
        <f t="shared" si="189"/>
        <v>9678037.1957844663</v>
      </c>
      <c r="PI48" s="660">
        <f t="shared" si="189"/>
        <v>0</v>
      </c>
      <c r="PJ48" s="660">
        <f t="shared" si="189"/>
        <v>9678037.1957844663</v>
      </c>
      <c r="PK48" s="660">
        <f t="shared" ref="PK48:PN48" si="190">SUM(PK47:PK47)</f>
        <v>0</v>
      </c>
      <c r="PL48" s="660">
        <f t="shared" si="190"/>
        <v>9678037.1957844663</v>
      </c>
      <c r="PM48" s="660">
        <f t="shared" si="190"/>
        <v>0</v>
      </c>
      <c r="PN48" s="660">
        <f t="shared" si="190"/>
        <v>9678037.1957844663</v>
      </c>
      <c r="PO48" s="7"/>
      <c r="PP48" s="7"/>
      <c r="PQ48" s="7"/>
      <c r="PR48" s="7"/>
      <c r="PS48" s="102"/>
      <c r="PT48" s="102"/>
      <c r="PU48" s="102"/>
      <c r="PV48" s="102"/>
      <c r="PW48" s="102"/>
      <c r="PX48" s="102"/>
      <c r="PY48" s="102"/>
      <c r="PZ48" s="102"/>
      <c r="QA48" s="102"/>
      <c r="QB48" s="102"/>
      <c r="QC48" s="102"/>
      <c r="QD48" s="102"/>
      <c r="QE48" s="102"/>
      <c r="QF48" s="102"/>
      <c r="QG48" s="102"/>
      <c r="QH48" s="102"/>
      <c r="QI48" s="102"/>
      <c r="QJ48" s="102"/>
      <c r="SM48" s="521">
        <f>ROW()</f>
        <v>48</v>
      </c>
      <c r="SN48" s="102" t="s">
        <v>375</v>
      </c>
      <c r="SO48" s="608"/>
      <c r="SP48" s="669"/>
      <c r="SQ48" s="745"/>
      <c r="SR48" s="745"/>
      <c r="SS48" s="745">
        <v>4899661.0600000005</v>
      </c>
      <c r="ST48" s="745">
        <f>SS48</f>
        <v>4899661.0600000005</v>
      </c>
      <c r="SU48" s="745">
        <v>8958185.0099999998</v>
      </c>
      <c r="SV48" s="745">
        <f>SU48+ST48</f>
        <v>13857846.07</v>
      </c>
      <c r="SW48" s="745">
        <v>3177082.7300000004</v>
      </c>
      <c r="SX48" s="745">
        <f>SW48+SV48</f>
        <v>17034928.800000001</v>
      </c>
      <c r="SY48" s="745">
        <v>6224482.5799999982</v>
      </c>
      <c r="SZ48" s="745">
        <f>SY48+SX48</f>
        <v>23259411.379999999</v>
      </c>
      <c r="TA48" s="669"/>
      <c r="TB48" s="669"/>
      <c r="TC48" s="669"/>
      <c r="TD48" s="669"/>
      <c r="TF48" s="950"/>
      <c r="TG48" s="477"/>
      <c r="TH48" s="610"/>
      <c r="TI48" s="78"/>
      <c r="TJ48" s="78"/>
      <c r="TK48" s="1"/>
      <c r="TL48" s="78"/>
      <c r="TM48" s="1"/>
      <c r="TN48" s="78"/>
      <c r="TO48" s="1"/>
      <c r="TP48" s="78"/>
      <c r="TQ48" s="1"/>
      <c r="TR48" s="78"/>
      <c r="TS48" s="1"/>
      <c r="TV48" s="609"/>
      <c r="TW48" s="695"/>
      <c r="TX48" s="659"/>
      <c r="TY48" s="659"/>
      <c r="TZ48" s="659"/>
      <c r="UA48" s="659"/>
      <c r="UB48" s="659"/>
      <c r="UC48" s="659"/>
      <c r="UD48" s="659"/>
      <c r="UE48" s="659"/>
      <c r="UF48" s="659"/>
      <c r="UG48" s="659"/>
      <c r="UH48" s="659"/>
      <c r="UJ48" s="521"/>
      <c r="UK48" s="20"/>
      <c r="UL48" s="610"/>
      <c r="UM48" s="633"/>
      <c r="UN48" s="633"/>
      <c r="UO48" s="633"/>
      <c r="UP48" s="633"/>
      <c r="UQ48" s="633"/>
      <c r="UR48" s="633"/>
      <c r="US48" s="633"/>
      <c r="UT48" s="633"/>
      <c r="UU48" s="633"/>
      <c r="UV48" s="633"/>
      <c r="UW48" s="633"/>
    </row>
    <row r="49" spans="1:569" ht="15.75" thickBot="1" x14ac:dyDescent="0.3">
      <c r="A49" s="22">
        <f>ROW()</f>
        <v>49</v>
      </c>
      <c r="B49" s="882"/>
      <c r="C49" s="43"/>
      <c r="D49" s="883"/>
      <c r="E49" s="884"/>
      <c r="F49" s="618"/>
      <c r="G49" s="884"/>
      <c r="H49" s="618"/>
      <c r="I49" s="884"/>
      <c r="J49" s="618"/>
      <c r="K49" s="884"/>
      <c r="L49" s="618"/>
      <c r="M49" s="884"/>
      <c r="N49" s="618"/>
      <c r="O49" s="884"/>
      <c r="P49" s="618"/>
      <c r="Q49" s="884"/>
      <c r="R49" s="618"/>
      <c r="S49" s="529">
        <f>ROW()</f>
        <v>49</v>
      </c>
      <c r="T49" s="41" t="s">
        <v>418</v>
      </c>
      <c r="U49" s="751"/>
      <c r="V49" s="729">
        <v>4108514.92</v>
      </c>
      <c r="W49" s="785">
        <f t="shared" si="178"/>
        <v>-4108514.92</v>
      </c>
      <c r="X49" s="74">
        <f t="shared" si="179"/>
        <v>0</v>
      </c>
      <c r="Y49" s="74"/>
      <c r="Z49" s="74">
        <f t="shared" si="180"/>
        <v>0</v>
      </c>
      <c r="AA49" s="74"/>
      <c r="AB49" s="74">
        <f t="shared" si="181"/>
        <v>0</v>
      </c>
      <c r="AC49" s="74"/>
      <c r="AD49" s="74">
        <f t="shared" si="182"/>
        <v>0</v>
      </c>
      <c r="AE49" s="74"/>
      <c r="AF49" s="74">
        <f t="shared" si="183"/>
        <v>0</v>
      </c>
      <c r="AG49" s="42"/>
      <c r="AH49" s="42"/>
      <c r="AI49" s="42"/>
      <c r="AJ49" s="42"/>
      <c r="AL49" s="881"/>
      <c r="AM49" s="1191"/>
      <c r="AN49" s="619"/>
      <c r="AO49" s="619"/>
      <c r="AP49" s="619"/>
      <c r="AQ49" s="619"/>
      <c r="AR49" s="619"/>
      <c r="AS49" s="619"/>
      <c r="AT49" s="619"/>
      <c r="AU49" s="619"/>
      <c r="AV49" s="619"/>
      <c r="AW49" s="619"/>
      <c r="AX49" s="61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IQ49" s="102"/>
      <c r="IR49" s="102"/>
      <c r="IS49" s="102"/>
      <c r="IT49" s="102"/>
      <c r="IU49" s="102"/>
      <c r="IV49" s="102"/>
      <c r="IW49" s="102"/>
      <c r="IX49" s="102"/>
      <c r="IY49" s="102"/>
      <c r="IZ49" s="102"/>
      <c r="JA49" s="102"/>
      <c r="JB49" s="102"/>
      <c r="JC49" s="102"/>
      <c r="JD49" s="102"/>
      <c r="JE49" s="102"/>
      <c r="JF49" s="102"/>
      <c r="JG49" s="102"/>
      <c r="JH49" s="102"/>
      <c r="JI49" s="102"/>
      <c r="JJ49" s="102"/>
      <c r="JK49" s="102"/>
      <c r="JL49" s="102"/>
      <c r="JM49" s="102"/>
      <c r="JN49" s="102"/>
      <c r="JO49" s="102"/>
      <c r="JP49" s="102"/>
      <c r="JQ49" s="102"/>
      <c r="JR49" s="102"/>
      <c r="JS49" s="102"/>
      <c r="JT49" s="102"/>
      <c r="JU49" s="102"/>
      <c r="JV49" s="102"/>
      <c r="JW49" s="102"/>
      <c r="JX49" s="102"/>
      <c r="JY49" s="102"/>
      <c r="JZ49" s="102"/>
      <c r="MV49" s="609"/>
      <c r="MW49" s="78"/>
      <c r="MX49" s="78"/>
      <c r="MY49" s="78"/>
      <c r="MZ49" s="78"/>
      <c r="NA49" s="78"/>
      <c r="NB49" s="78"/>
      <c r="NC49" s="78"/>
      <c r="ND49" s="78"/>
      <c r="NE49" s="78"/>
      <c r="NF49" s="78"/>
      <c r="NG49" s="78"/>
      <c r="NH49" s="78"/>
      <c r="NM49" s="30"/>
      <c r="NN49" s="1186"/>
      <c r="NO49" s="1172"/>
      <c r="NP49" s="793"/>
      <c r="NQ49" s="793"/>
      <c r="NR49" s="793"/>
      <c r="NS49" s="793"/>
      <c r="NT49" s="793"/>
      <c r="NU49" s="793"/>
      <c r="NV49" s="63"/>
      <c r="NW49" s="64"/>
      <c r="NX49" s="64"/>
      <c r="NY49" s="64"/>
      <c r="NZ49" s="64"/>
      <c r="OA49" s="550"/>
      <c r="OB49" s="550"/>
      <c r="OC49" s="550"/>
      <c r="OD49" s="550"/>
      <c r="OH49" s="102"/>
      <c r="OI49" s="102"/>
      <c r="OJ49" s="102"/>
      <c r="OK49" s="102"/>
      <c r="OL49" s="102"/>
      <c r="OM49" s="102"/>
      <c r="ON49" s="102"/>
      <c r="OO49" s="102"/>
      <c r="OP49" s="102"/>
      <c r="OQ49" s="102"/>
      <c r="OR49" s="102"/>
      <c r="OS49" s="102"/>
      <c r="OT49" s="102"/>
      <c r="OU49" s="102"/>
      <c r="OV49" s="102"/>
      <c r="OW49" s="22">
        <f>ROW()</f>
        <v>49</v>
      </c>
      <c r="OX49" s="881" t="s">
        <v>306</v>
      </c>
      <c r="OY49" s="881"/>
      <c r="OZ49" s="63"/>
      <c r="PA49" s="63"/>
      <c r="PB49" s="63"/>
      <c r="PC49" s="846"/>
      <c r="PD49" s="846"/>
      <c r="PE49" s="846"/>
      <c r="PF49" s="846"/>
      <c r="PG49" s="847"/>
      <c r="PH49" s="847"/>
      <c r="PI49" s="847"/>
      <c r="PJ49" s="847"/>
      <c r="PK49" s="847"/>
      <c r="PL49" s="847"/>
      <c r="PM49" s="847"/>
      <c r="PN49" s="847"/>
      <c r="PO49" s="7"/>
      <c r="PP49" s="7"/>
      <c r="PQ49" s="7"/>
      <c r="PR49" s="7"/>
      <c r="SM49" s="521">
        <f>ROW()</f>
        <v>49</v>
      </c>
      <c r="SN49" s="102" t="s">
        <v>382</v>
      </c>
      <c r="SO49" s="608"/>
      <c r="SP49" s="819"/>
      <c r="SQ49" s="821"/>
      <c r="SR49" s="821"/>
      <c r="SS49" s="821">
        <f>SUM(SS46:SS48)</f>
        <v>48794218.919999994</v>
      </c>
      <c r="ST49" s="821">
        <f t="shared" ref="ST49:TD49" si="191">SUM(ST46:ST48)</f>
        <v>48794218.919999994</v>
      </c>
      <c r="SU49" s="821">
        <f t="shared" si="191"/>
        <v>117993802.39000002</v>
      </c>
      <c r="SV49" s="821">
        <f t="shared" si="191"/>
        <v>166788021.31</v>
      </c>
      <c r="SW49" s="821">
        <f t="shared" si="191"/>
        <v>58445474.00000003</v>
      </c>
      <c r="SX49" s="821">
        <f t="shared" si="191"/>
        <v>225233495.31000003</v>
      </c>
      <c r="SY49" s="821">
        <f t="shared" si="191"/>
        <v>125773794.9999999</v>
      </c>
      <c r="SZ49" s="821">
        <f t="shared" si="191"/>
        <v>351007290.30999994</v>
      </c>
      <c r="TA49" s="819">
        <f t="shared" si="191"/>
        <v>0</v>
      </c>
      <c r="TB49" s="819">
        <f t="shared" si="191"/>
        <v>0</v>
      </c>
      <c r="TC49" s="819">
        <f t="shared" si="191"/>
        <v>0</v>
      </c>
      <c r="TD49" s="819">
        <f t="shared" si="191"/>
        <v>0</v>
      </c>
      <c r="TF49" s="950"/>
      <c r="TG49" s="689"/>
      <c r="TH49" s="690"/>
      <c r="TI49" s="78"/>
      <c r="TJ49" s="78"/>
      <c r="TK49" s="1"/>
      <c r="TL49" s="78"/>
      <c r="TM49" s="1"/>
      <c r="TN49" s="78"/>
      <c r="TO49" s="1"/>
      <c r="TP49" s="78"/>
      <c r="TQ49" s="1"/>
      <c r="TR49" s="78"/>
      <c r="TS49" s="1"/>
      <c r="TV49" s="609"/>
      <c r="TW49" s="20"/>
      <c r="TX49" s="1212"/>
      <c r="TY49" s="1212"/>
      <c r="TZ49" s="1212"/>
      <c r="UA49" s="1212"/>
      <c r="UB49" s="1212"/>
      <c r="UC49" s="1212"/>
      <c r="UD49" s="1212"/>
      <c r="UE49" s="1212"/>
      <c r="UF49" s="1212"/>
      <c r="UG49" s="1212"/>
      <c r="UH49" s="1212"/>
      <c r="UJ49" s="521"/>
      <c r="UK49" s="20"/>
      <c r="UL49" s="610"/>
      <c r="UM49" s="633"/>
      <c r="UN49" s="633"/>
      <c r="UO49" s="633"/>
      <c r="UP49" s="633"/>
      <c r="UQ49" s="633"/>
      <c r="UR49" s="633"/>
      <c r="US49" s="633"/>
      <c r="UT49" s="633"/>
      <c r="UU49" s="633"/>
      <c r="UV49" s="633"/>
      <c r="UW49" s="633"/>
    </row>
    <row r="50" spans="1:569" ht="15.75" thickTop="1" x14ac:dyDescent="0.25">
      <c r="A50" s="22">
        <f>ROW()</f>
        <v>50</v>
      </c>
      <c r="B50" s="882" t="s">
        <v>419</v>
      </c>
      <c r="D50" s="74">
        <v>-42240</v>
      </c>
      <c r="E50" s="39">
        <f>-D50</f>
        <v>42240</v>
      </c>
      <c r="F50" s="618">
        <f>D50+E50</f>
        <v>0</v>
      </c>
      <c r="G50" s="39"/>
      <c r="H50" s="618">
        <f>F50+G50</f>
        <v>0</v>
      </c>
      <c r="I50" s="39"/>
      <c r="J50" s="618">
        <f>H50+I50</f>
        <v>0</v>
      </c>
      <c r="K50" s="39"/>
      <c r="L50" s="618">
        <f>J50+K50</f>
        <v>0</v>
      </c>
      <c r="M50" s="39"/>
      <c r="N50" s="618">
        <f t="shared" ref="N50:N61" si="192">L50+M50</f>
        <v>0</v>
      </c>
      <c r="O50" s="39"/>
      <c r="P50" s="618">
        <f>N50+O50</f>
        <v>0</v>
      </c>
      <c r="Q50" s="39"/>
      <c r="R50" s="618">
        <f t="shared" ref="R50" si="193">P50+Q50</f>
        <v>0</v>
      </c>
      <c r="S50" s="529">
        <f>ROW()</f>
        <v>50</v>
      </c>
      <c r="T50" s="679" t="s">
        <v>420</v>
      </c>
      <c r="U50" s="751"/>
      <c r="V50" s="729">
        <v>1451914.62</v>
      </c>
      <c r="W50" s="785">
        <f t="shared" si="178"/>
        <v>-1451914.62</v>
      </c>
      <c r="X50" s="74">
        <f t="shared" si="179"/>
        <v>0</v>
      </c>
      <c r="Y50" s="74"/>
      <c r="Z50" s="74">
        <f t="shared" si="180"/>
        <v>0</v>
      </c>
      <c r="AA50" s="74"/>
      <c r="AB50" s="74">
        <f t="shared" si="181"/>
        <v>0</v>
      </c>
      <c r="AC50" s="74"/>
      <c r="AD50" s="74">
        <f t="shared" si="182"/>
        <v>0</v>
      </c>
      <c r="AE50" s="74"/>
      <c r="AF50" s="74">
        <f t="shared" si="183"/>
        <v>0</v>
      </c>
      <c r="AG50" s="42"/>
      <c r="AH50" s="42"/>
      <c r="AI50" s="42"/>
      <c r="AJ50" s="42"/>
      <c r="AL50" s="842"/>
      <c r="AM50" s="776"/>
      <c r="AN50" s="619"/>
      <c r="AO50" s="619"/>
      <c r="AP50" s="619"/>
      <c r="AQ50" s="619"/>
      <c r="AR50" s="619"/>
      <c r="AS50" s="619"/>
      <c r="AT50" s="619"/>
      <c r="AU50" s="619"/>
      <c r="AV50" s="619"/>
      <c r="AW50" s="619"/>
      <c r="AX50" s="619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IQ50" s="102"/>
      <c r="IR50" s="102"/>
      <c r="IS50" s="102"/>
      <c r="IT50" s="102"/>
      <c r="IU50" s="102"/>
      <c r="IV50" s="102"/>
      <c r="IW50" s="102"/>
      <c r="IX50" s="102"/>
      <c r="IY50" s="102"/>
      <c r="IZ50" s="102"/>
      <c r="JA50" s="102"/>
      <c r="JB50" s="102"/>
      <c r="JC50" s="102"/>
      <c r="JD50" s="102"/>
      <c r="JE50" s="102"/>
      <c r="JF50" s="102"/>
      <c r="JG50" s="102"/>
      <c r="JH50" s="102"/>
      <c r="JI50" s="102"/>
      <c r="JJ50" s="102"/>
      <c r="JK50" s="102"/>
      <c r="JL50" s="102"/>
      <c r="JM50" s="102"/>
      <c r="JN50" s="102"/>
      <c r="JO50" s="102"/>
      <c r="JP50" s="102"/>
      <c r="JQ50" s="102"/>
      <c r="JR50" s="102"/>
      <c r="JS50" s="102"/>
      <c r="JT50" s="102"/>
      <c r="JU50" s="102"/>
      <c r="JV50" s="102"/>
      <c r="JW50" s="102"/>
      <c r="JX50" s="102"/>
      <c r="JY50" s="102"/>
      <c r="JZ50" s="102"/>
      <c r="MV50" s="609"/>
      <c r="MW50" s="78"/>
      <c r="MX50" s="78"/>
      <c r="MY50" s="78"/>
      <c r="MZ50" s="78"/>
      <c r="NA50" s="78"/>
      <c r="NB50" s="78"/>
      <c r="NC50" s="78"/>
      <c r="ND50" s="78"/>
      <c r="NE50" s="78"/>
      <c r="NF50" s="78"/>
      <c r="NG50" s="78"/>
      <c r="NH50" s="78"/>
      <c r="NM50" s="30"/>
      <c r="NN50" s="1186"/>
      <c r="NO50" s="547"/>
      <c r="NP50" s="63"/>
      <c r="NQ50" s="63"/>
      <c r="NR50" s="63"/>
      <c r="NS50" s="63"/>
      <c r="NT50" s="800"/>
      <c r="NU50" s="63"/>
      <c r="NV50" s="800"/>
      <c r="NW50" s="64"/>
      <c r="NX50" s="801"/>
      <c r="NY50" s="64"/>
      <c r="NZ50" s="800"/>
      <c r="OA50" s="550"/>
      <c r="OB50" s="550"/>
      <c r="OC50" s="550"/>
      <c r="OD50" s="550"/>
      <c r="OH50" s="102"/>
      <c r="OI50" s="102"/>
      <c r="OJ50" s="102"/>
      <c r="OK50" s="102"/>
      <c r="OL50" s="102"/>
      <c r="OM50" s="102"/>
      <c r="ON50" s="102"/>
      <c r="OO50" s="102"/>
      <c r="OP50" s="102"/>
      <c r="OQ50" s="102"/>
      <c r="OR50" s="102"/>
      <c r="OS50" s="102"/>
      <c r="OT50" s="102"/>
      <c r="OU50" s="102"/>
      <c r="OV50" s="102"/>
      <c r="OW50" s="22">
        <f>ROW()</f>
        <v>50</v>
      </c>
      <c r="OX50" s="1" t="s">
        <v>421</v>
      </c>
      <c r="OZ50" s="823">
        <f>+OZ38-OZ48-OZ44</f>
        <v>7341267.9650233993</v>
      </c>
      <c r="PA50" s="823">
        <f t="shared" ref="PA50:PN50" si="194">+PA38-PA48-PA44</f>
        <v>-7341267.9650233993</v>
      </c>
      <c r="PB50" s="667">
        <f t="shared" si="194"/>
        <v>0</v>
      </c>
      <c r="PC50" s="667">
        <f t="shared" si="194"/>
        <v>0</v>
      </c>
      <c r="PD50" s="667">
        <f t="shared" si="194"/>
        <v>0</v>
      </c>
      <c r="PE50" s="667">
        <f t="shared" si="194"/>
        <v>0</v>
      </c>
      <c r="PF50" s="667">
        <f t="shared" si="194"/>
        <v>0</v>
      </c>
      <c r="PG50" s="667">
        <f t="shared" si="194"/>
        <v>-9678037.1957844663</v>
      </c>
      <c r="PH50" s="667">
        <f t="shared" si="194"/>
        <v>-9678037.1957844663</v>
      </c>
      <c r="PI50" s="667">
        <f t="shared" si="194"/>
        <v>0</v>
      </c>
      <c r="PJ50" s="667">
        <f t="shared" si="194"/>
        <v>-9678037.1957844663</v>
      </c>
      <c r="PK50" s="667">
        <f t="shared" si="194"/>
        <v>0</v>
      </c>
      <c r="PL50" s="667">
        <f t="shared" si="194"/>
        <v>-9678037.1957844663</v>
      </c>
      <c r="PM50" s="667">
        <f t="shared" si="194"/>
        <v>0</v>
      </c>
      <c r="PN50" s="667">
        <f t="shared" si="194"/>
        <v>-9678037.1957844663</v>
      </c>
      <c r="PO50" s="7"/>
      <c r="PP50" s="7"/>
      <c r="PQ50" s="7"/>
      <c r="PR50" s="7"/>
      <c r="SM50" s="521">
        <f>ROW()</f>
        <v>50</v>
      </c>
      <c r="SO50" s="608"/>
      <c r="SP50" s="520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520"/>
      <c r="TB50" s="520"/>
      <c r="TC50" s="520"/>
      <c r="TD50" s="520"/>
      <c r="TF50" s="950"/>
      <c r="TG50" s="679"/>
      <c r="TH50" s="711"/>
      <c r="TI50" s="78"/>
      <c r="TJ50" s="78"/>
      <c r="TK50" s="1"/>
      <c r="TL50" s="78"/>
      <c r="TM50" s="1"/>
      <c r="TN50" s="78"/>
      <c r="TO50" s="1"/>
      <c r="TP50" s="78"/>
      <c r="TQ50" s="1"/>
      <c r="TR50" s="78"/>
      <c r="TS50" s="1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J50" s="521"/>
      <c r="UK50" s="20"/>
      <c r="UL50" s="610"/>
      <c r="UM50" s="574"/>
      <c r="UN50" s="574"/>
      <c r="UO50" s="574"/>
      <c r="UP50" s="574"/>
      <c r="UQ50" s="574"/>
      <c r="UR50" s="574"/>
      <c r="US50" s="574"/>
      <c r="UT50" s="574"/>
      <c r="UU50" s="574"/>
      <c r="UV50" s="574"/>
      <c r="UW50" s="574"/>
    </row>
    <row r="51" spans="1:569" ht="15" x14ac:dyDescent="0.25">
      <c r="A51" s="22">
        <f>ROW()</f>
        <v>51</v>
      </c>
      <c r="B51" s="885"/>
      <c r="D51" s="74"/>
      <c r="E51" s="39"/>
      <c r="F51" s="618"/>
      <c r="G51" s="39"/>
      <c r="H51" s="618"/>
      <c r="I51" s="39"/>
      <c r="J51" s="618"/>
      <c r="K51" s="39"/>
      <c r="L51" s="618"/>
      <c r="M51" s="39"/>
      <c r="N51" s="618"/>
      <c r="O51" s="39"/>
      <c r="P51" s="618"/>
      <c r="Q51" s="39"/>
      <c r="R51" s="618"/>
      <c r="S51" s="529">
        <f>ROW()</f>
        <v>51</v>
      </c>
      <c r="T51" s="679" t="s">
        <v>422</v>
      </c>
      <c r="U51" s="751"/>
      <c r="V51" s="729">
        <v>124164.44</v>
      </c>
      <c r="W51" s="785">
        <f t="shared" si="178"/>
        <v>-124164.44</v>
      </c>
      <c r="X51" s="74">
        <f t="shared" si="179"/>
        <v>0</v>
      </c>
      <c r="Y51" s="74"/>
      <c r="Z51" s="74">
        <f t="shared" si="180"/>
        <v>0</v>
      </c>
      <c r="AA51" s="74"/>
      <c r="AB51" s="74">
        <f t="shared" si="181"/>
        <v>0</v>
      </c>
      <c r="AC51" s="74"/>
      <c r="AD51" s="74">
        <f t="shared" si="182"/>
        <v>0</v>
      </c>
      <c r="AE51" s="74"/>
      <c r="AF51" s="74">
        <f t="shared" si="183"/>
        <v>0</v>
      </c>
      <c r="AG51" s="42"/>
      <c r="AH51" s="42"/>
      <c r="AI51" s="42"/>
      <c r="AJ51" s="42"/>
      <c r="AL51" s="842"/>
      <c r="AM51" s="667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IQ51" s="102"/>
      <c r="IR51" s="102"/>
      <c r="IS51" s="102"/>
      <c r="IT51" s="102"/>
      <c r="IU51" s="102"/>
      <c r="IV51" s="102"/>
      <c r="IW51" s="102"/>
      <c r="IX51" s="102"/>
      <c r="IY51" s="102"/>
      <c r="IZ51" s="102"/>
      <c r="JA51" s="102"/>
      <c r="JB51" s="102"/>
      <c r="JC51" s="102"/>
      <c r="JD51" s="102"/>
      <c r="JE51" s="102"/>
      <c r="JF51" s="102"/>
      <c r="JG51" s="102"/>
      <c r="JH51" s="102"/>
      <c r="JI51" s="102"/>
      <c r="JJ51" s="102"/>
      <c r="JK51" s="102"/>
      <c r="JL51" s="102"/>
      <c r="JM51" s="102"/>
      <c r="JN51" s="102"/>
      <c r="JO51" s="102"/>
      <c r="JP51" s="102"/>
      <c r="JQ51" s="102"/>
      <c r="JR51" s="102"/>
      <c r="JS51" s="102"/>
      <c r="JT51" s="102"/>
      <c r="JU51" s="102"/>
      <c r="JV51" s="102"/>
      <c r="JW51" s="102"/>
      <c r="JX51" s="102"/>
      <c r="JY51" s="102"/>
      <c r="JZ51" s="102"/>
      <c r="MV51" s="609"/>
      <c r="MW51" s="610"/>
      <c r="MX51" s="78"/>
      <c r="MY51" s="78"/>
      <c r="MZ51" s="78"/>
      <c r="NA51" s="78"/>
      <c r="NB51" s="78"/>
      <c r="NC51" s="78"/>
      <c r="ND51" s="78"/>
      <c r="NE51" s="78"/>
      <c r="NF51" s="78"/>
      <c r="NG51" s="78"/>
      <c r="NH51" s="78"/>
      <c r="NM51" s="30"/>
      <c r="NN51" s="888"/>
      <c r="NO51" s="20"/>
      <c r="NP51" s="20"/>
      <c r="NQ51" s="20"/>
      <c r="NR51" s="20"/>
      <c r="NS51" s="20"/>
      <c r="NT51" s="20"/>
      <c r="NU51" s="20"/>
      <c r="NV51" s="20"/>
      <c r="NW51" s="72"/>
      <c r="NX51" s="72"/>
      <c r="NY51" s="72"/>
      <c r="NZ51" s="20"/>
      <c r="OA51" s="550"/>
      <c r="OB51" s="550"/>
      <c r="OC51" s="550"/>
      <c r="OD51" s="550"/>
      <c r="OH51" s="102"/>
      <c r="OI51" s="102"/>
      <c r="OJ51" s="102"/>
      <c r="OK51" s="102"/>
      <c r="OL51" s="102"/>
      <c r="OM51" s="102"/>
      <c r="ON51" s="102"/>
      <c r="OO51" s="102"/>
      <c r="OP51" s="102"/>
      <c r="OQ51" s="102"/>
      <c r="OR51" s="102"/>
      <c r="OS51" s="102"/>
      <c r="OT51" s="102"/>
      <c r="OU51" s="102"/>
      <c r="OV51" s="102"/>
      <c r="OW51" s="22">
        <f>ROW()</f>
        <v>51</v>
      </c>
      <c r="OX51" s="1" t="s">
        <v>306</v>
      </c>
      <c r="OZ51" s="63"/>
      <c r="PA51" s="63"/>
      <c r="PB51" s="63"/>
      <c r="PC51" s="846"/>
      <c r="PD51" s="846"/>
      <c r="PE51" s="846"/>
      <c r="PF51" s="846"/>
      <c r="PG51" s="847"/>
      <c r="PH51" s="847"/>
      <c r="PI51" s="847"/>
      <c r="PJ51" s="847"/>
      <c r="PK51" s="847"/>
      <c r="PL51" s="847"/>
      <c r="PM51" s="847"/>
      <c r="PN51" s="847"/>
      <c r="PO51" s="7"/>
      <c r="PP51" s="7"/>
      <c r="PQ51" s="7"/>
      <c r="PR51" s="7"/>
      <c r="SM51" s="521">
        <f>ROW()</f>
        <v>51</v>
      </c>
      <c r="SN51" s="828" t="s">
        <v>731</v>
      </c>
      <c r="SO51" s="608"/>
      <c r="SP51" s="520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520"/>
      <c r="TB51" s="520"/>
      <c r="TC51" s="520"/>
      <c r="TD51" s="520"/>
      <c r="TF51" s="950"/>
      <c r="TG51" s="679"/>
      <c r="TH51" s="711"/>
      <c r="TI51" s="78"/>
      <c r="TJ51" s="78"/>
      <c r="TK51" s="1"/>
      <c r="TL51" s="1"/>
      <c r="TM51" s="1"/>
      <c r="TN51" s="1"/>
      <c r="TO51" s="1"/>
      <c r="TP51" s="1"/>
      <c r="TQ51" s="1"/>
      <c r="TR51" s="1"/>
      <c r="TS51" s="1"/>
      <c r="TV51" s="938"/>
      <c r="TW51" s="938"/>
      <c r="TX51" s="937"/>
      <c r="TY51" s="20"/>
      <c r="TZ51" s="937"/>
      <c r="UA51" s="20"/>
      <c r="UB51" s="937"/>
      <c r="UC51" s="20"/>
      <c r="UD51" s="937"/>
      <c r="UE51" s="20"/>
      <c r="UF51" s="937"/>
      <c r="UG51" s="20"/>
      <c r="UH51" s="937"/>
      <c r="UJ51" s="521"/>
      <c r="UK51" s="20"/>
      <c r="UL51" s="610"/>
      <c r="UM51" s="72"/>
      <c r="UN51" s="72"/>
      <c r="UO51" s="72"/>
      <c r="UP51" s="72"/>
      <c r="UQ51" s="72"/>
      <c r="UR51" s="72"/>
      <c r="US51" s="72"/>
      <c r="UT51" s="72"/>
      <c r="UU51" s="72"/>
      <c r="UV51" s="72"/>
      <c r="UW51" s="72"/>
    </row>
    <row r="52" spans="1:569" ht="15" x14ac:dyDescent="0.25">
      <c r="A52" s="22">
        <f>ROW()</f>
        <v>52</v>
      </c>
      <c r="B52" s="885"/>
      <c r="D52" s="74"/>
      <c r="E52" s="39"/>
      <c r="F52" s="618"/>
      <c r="G52" s="39"/>
      <c r="H52" s="618"/>
      <c r="I52" s="39"/>
      <c r="J52" s="618"/>
      <c r="K52" s="39"/>
      <c r="L52" s="618"/>
      <c r="M52" s="39"/>
      <c r="N52" s="618"/>
      <c r="O52" s="39"/>
      <c r="P52" s="618"/>
      <c r="Q52" s="39"/>
      <c r="R52" s="618"/>
      <c r="S52" s="529">
        <f>ROW()</f>
        <v>52</v>
      </c>
      <c r="T52" s="679" t="s">
        <v>423</v>
      </c>
      <c r="U52" s="751"/>
      <c r="V52" s="729">
        <v>36835.449999999997</v>
      </c>
      <c r="W52" s="785">
        <f t="shared" si="178"/>
        <v>-36835.449999999997</v>
      </c>
      <c r="X52" s="74">
        <f t="shared" si="179"/>
        <v>0</v>
      </c>
      <c r="Y52" s="74"/>
      <c r="Z52" s="74">
        <f t="shared" si="180"/>
        <v>0</v>
      </c>
      <c r="AA52" s="74"/>
      <c r="AB52" s="74">
        <f t="shared" si="181"/>
        <v>0</v>
      </c>
      <c r="AC52" s="74"/>
      <c r="AD52" s="74">
        <f t="shared" si="182"/>
        <v>0</v>
      </c>
      <c r="AE52" s="74"/>
      <c r="AF52" s="74">
        <f t="shared" si="183"/>
        <v>0</v>
      </c>
      <c r="AG52" s="42"/>
      <c r="AH52" s="42"/>
      <c r="AI52" s="42"/>
      <c r="AJ52" s="42"/>
      <c r="AL52" s="842"/>
      <c r="AM52" s="1191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IQ52" s="102"/>
      <c r="IR52" s="102"/>
      <c r="IS52" s="102"/>
      <c r="IT52" s="102"/>
      <c r="IU52" s="102"/>
      <c r="IV52" s="102"/>
      <c r="IW52" s="102"/>
      <c r="IX52" s="102"/>
      <c r="IY52" s="102"/>
      <c r="IZ52" s="102"/>
      <c r="JA52" s="102"/>
      <c r="JB52" s="102"/>
      <c r="JC52" s="102"/>
      <c r="JD52" s="102"/>
      <c r="JE52" s="102"/>
      <c r="JF52" s="102"/>
      <c r="JG52" s="102"/>
      <c r="JH52" s="102"/>
      <c r="JI52" s="102"/>
      <c r="JJ52" s="102"/>
      <c r="JK52" s="102"/>
      <c r="JL52" s="102"/>
      <c r="JM52" s="102"/>
      <c r="JN52" s="102"/>
      <c r="JO52" s="102"/>
      <c r="JP52" s="102"/>
      <c r="JQ52" s="102"/>
      <c r="JR52" s="102"/>
      <c r="JS52" s="102"/>
      <c r="JT52" s="102"/>
      <c r="JU52" s="102"/>
      <c r="JV52" s="102"/>
      <c r="JW52" s="102"/>
      <c r="JX52" s="102"/>
      <c r="JY52" s="102"/>
      <c r="JZ52" s="102"/>
      <c r="MV52" s="609"/>
      <c r="MW52" s="78"/>
      <c r="MX52" s="624"/>
      <c r="MY52" s="624"/>
      <c r="MZ52" s="624"/>
      <c r="NA52" s="624"/>
      <c r="NB52" s="624"/>
      <c r="NC52" s="624"/>
      <c r="ND52" s="624"/>
      <c r="NE52" s="624"/>
      <c r="NF52" s="624"/>
      <c r="NG52" s="624"/>
      <c r="NH52" s="624"/>
      <c r="NM52" s="30"/>
      <c r="NN52" s="888"/>
      <c r="NO52" s="1177"/>
      <c r="NP52" s="64"/>
      <c r="NQ52" s="64"/>
      <c r="NR52" s="64"/>
      <c r="NS52" s="64"/>
      <c r="NT52" s="64"/>
      <c r="NU52" s="64"/>
      <c r="NV52" s="64"/>
      <c r="NW52" s="641"/>
      <c r="NX52" s="641"/>
      <c r="NY52" s="641"/>
      <c r="NZ52" s="641"/>
      <c r="OA52" s="550"/>
      <c r="OB52" s="550"/>
      <c r="OC52" s="550"/>
      <c r="OD52" s="550"/>
      <c r="OH52" s="102"/>
      <c r="OI52" s="102"/>
      <c r="OJ52" s="102"/>
      <c r="OK52" s="102"/>
      <c r="OL52" s="102"/>
      <c r="OM52" s="102"/>
      <c r="ON52" s="102"/>
      <c r="OO52" s="102"/>
      <c r="OP52" s="102"/>
      <c r="OQ52" s="102"/>
      <c r="OR52" s="102"/>
      <c r="OS52" s="102"/>
      <c r="OT52" s="102"/>
      <c r="OU52" s="102"/>
      <c r="OV52" s="102"/>
      <c r="OW52" s="22">
        <f>ROW()</f>
        <v>52</v>
      </c>
      <c r="OX52" s="1" t="s">
        <v>283</v>
      </c>
      <c r="OY52" s="731">
        <v>0.21</v>
      </c>
      <c r="OZ52" s="887">
        <f t="shared" ref="OZ52:PN52" si="195">+$OY$52*OZ50</f>
        <v>1541666.2726549138</v>
      </c>
      <c r="PA52" s="887">
        <f t="shared" si="195"/>
        <v>-1541666.2726549138</v>
      </c>
      <c r="PB52" s="685">
        <f t="shared" si="195"/>
        <v>0</v>
      </c>
      <c r="PC52" s="685">
        <f t="shared" si="195"/>
        <v>0</v>
      </c>
      <c r="PD52" s="685">
        <f t="shared" si="195"/>
        <v>0</v>
      </c>
      <c r="PE52" s="685">
        <f t="shared" si="195"/>
        <v>0</v>
      </c>
      <c r="PF52" s="685">
        <f t="shared" si="195"/>
        <v>0</v>
      </c>
      <c r="PG52" s="685">
        <f t="shared" si="195"/>
        <v>-2032387.8111147378</v>
      </c>
      <c r="PH52" s="685">
        <f t="shared" si="195"/>
        <v>-2032387.8111147378</v>
      </c>
      <c r="PI52" s="685">
        <f t="shared" si="195"/>
        <v>0</v>
      </c>
      <c r="PJ52" s="685">
        <f t="shared" si="195"/>
        <v>-2032387.8111147378</v>
      </c>
      <c r="PK52" s="685">
        <f t="shared" si="195"/>
        <v>0</v>
      </c>
      <c r="PL52" s="685">
        <f t="shared" si="195"/>
        <v>-2032387.8111147378</v>
      </c>
      <c r="PM52" s="685">
        <f t="shared" si="195"/>
        <v>0</v>
      </c>
      <c r="PN52" s="685">
        <f t="shared" si="195"/>
        <v>-2032387.8111147378</v>
      </c>
      <c r="PO52" s="7"/>
      <c r="PP52" s="7"/>
      <c r="PQ52" s="7"/>
      <c r="PR52" s="7"/>
      <c r="SM52" s="521">
        <f>ROW()</f>
        <v>52</v>
      </c>
      <c r="SN52" s="102" t="s">
        <v>201</v>
      </c>
      <c r="SO52" s="608"/>
      <c r="SP52" s="571"/>
      <c r="SQ52" s="576"/>
      <c r="SR52" s="576"/>
      <c r="SS52" s="98">
        <v>1286931.1299999999</v>
      </c>
      <c r="ST52" s="98">
        <f>SS52</f>
        <v>1286931.1299999999</v>
      </c>
      <c r="SU52" s="98">
        <v>5436371.7800000012</v>
      </c>
      <c r="SV52" s="98">
        <f>SU52+ST52</f>
        <v>6723302.9100000011</v>
      </c>
      <c r="SW52" s="98">
        <v>4452175.21</v>
      </c>
      <c r="SX52" s="98">
        <f>SW52+SV52</f>
        <v>11175478.120000001</v>
      </c>
      <c r="SY52" s="98">
        <v>10196902.229999997</v>
      </c>
      <c r="SZ52" s="98">
        <f>SY52+SX52</f>
        <v>21372380.349999998</v>
      </c>
      <c r="TA52" s="570"/>
      <c r="TB52" s="570">
        <f>TA52+SZ52</f>
        <v>21372380.349999998</v>
      </c>
      <c r="TC52" s="571"/>
      <c r="TD52" s="570">
        <f>TC52+TB52</f>
        <v>21372380.349999998</v>
      </c>
      <c r="TF52" s="950"/>
      <c r="TG52" s="679"/>
      <c r="TH52" s="711"/>
      <c r="TI52" s="651"/>
      <c r="TJ52" s="651"/>
      <c r="TK52" s="1"/>
      <c r="TL52" s="1"/>
      <c r="TM52" s="1"/>
      <c r="TN52" s="1"/>
      <c r="TO52" s="1"/>
      <c r="TP52" s="1"/>
      <c r="TQ52" s="1"/>
      <c r="TR52" s="1"/>
      <c r="TS52" s="1"/>
      <c r="TV52" s="924"/>
      <c r="TW52" s="924"/>
      <c r="TX52" s="938"/>
      <c r="TY52" s="924"/>
      <c r="TZ52" s="924"/>
      <c r="UA52" s="924"/>
      <c r="UB52" s="924"/>
      <c r="UC52" s="924"/>
      <c r="UD52" s="924"/>
      <c r="UE52" s="924"/>
      <c r="UF52" s="924"/>
      <c r="UG52" s="924"/>
      <c r="UH52" s="924"/>
      <c r="UJ52" s="521"/>
      <c r="UK52" s="20"/>
      <c r="UL52" s="610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</row>
    <row r="53" spans="1:569" ht="15.75" thickBot="1" x14ac:dyDescent="0.3">
      <c r="A53" s="22">
        <f>ROW()</f>
        <v>53</v>
      </c>
      <c r="B53" s="885" t="s">
        <v>424</v>
      </c>
      <c r="C53" s="547"/>
      <c r="D53" s="560"/>
      <c r="E53" s="880"/>
      <c r="F53" s="618">
        <f t="shared" ref="F53:F61" si="196">D53+E53</f>
        <v>0</v>
      </c>
      <c r="G53" s="880"/>
      <c r="H53" s="618">
        <f t="shared" ref="H53:H61" si="197">F53+G53</f>
        <v>0</v>
      </c>
      <c r="I53" s="880"/>
      <c r="J53" s="618">
        <f t="shared" ref="J53:J61" si="198">H53+I53</f>
        <v>0</v>
      </c>
      <c r="K53" s="880"/>
      <c r="L53" s="618">
        <f t="shared" ref="L53:L61" si="199">J53+K53</f>
        <v>0</v>
      </c>
      <c r="M53" s="880"/>
      <c r="N53" s="618">
        <f t="shared" si="192"/>
        <v>0</v>
      </c>
      <c r="O53" s="880"/>
      <c r="P53" s="618">
        <f t="shared" ref="P53:P61" si="200">N53+O53</f>
        <v>0</v>
      </c>
      <c r="Q53" s="880"/>
      <c r="R53" s="618">
        <f t="shared" ref="R53:R61" si="201">P53+Q53</f>
        <v>0</v>
      </c>
      <c r="S53" s="529">
        <f>ROW()</f>
        <v>53</v>
      </c>
      <c r="T53" s="888" t="s">
        <v>425</v>
      </c>
      <c r="U53" s="751"/>
      <c r="V53" s="729">
        <v>43582093</v>
      </c>
      <c r="W53" s="785">
        <f t="shared" si="178"/>
        <v>-43582093</v>
      </c>
      <c r="X53" s="74">
        <f t="shared" si="179"/>
        <v>0</v>
      </c>
      <c r="Y53" s="74"/>
      <c r="Z53" s="74">
        <f t="shared" si="180"/>
        <v>0</v>
      </c>
      <c r="AA53" s="74"/>
      <c r="AB53" s="74">
        <f t="shared" si="181"/>
        <v>0</v>
      </c>
      <c r="AC53" s="74"/>
      <c r="AD53" s="74">
        <f t="shared" si="182"/>
        <v>0</v>
      </c>
      <c r="AE53" s="74"/>
      <c r="AF53" s="74">
        <f t="shared" si="183"/>
        <v>0</v>
      </c>
      <c r="AG53" s="42"/>
      <c r="AH53" s="42"/>
      <c r="AI53" s="42"/>
      <c r="AJ53" s="42"/>
      <c r="AL53" s="842"/>
      <c r="AM53" s="20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IQ53" s="102"/>
      <c r="IR53" s="102"/>
      <c r="IS53" s="102"/>
      <c r="IT53" s="102"/>
      <c r="IU53" s="102"/>
      <c r="IV53" s="102"/>
      <c r="IW53" s="102"/>
      <c r="IX53" s="102"/>
      <c r="IY53" s="102"/>
      <c r="IZ53" s="102"/>
      <c r="JA53" s="102"/>
      <c r="JB53" s="102"/>
      <c r="JC53" s="102"/>
      <c r="JD53" s="102"/>
      <c r="JE53" s="102"/>
      <c r="JF53" s="102"/>
      <c r="JG53" s="102"/>
      <c r="JH53" s="102"/>
      <c r="JI53" s="102"/>
      <c r="JJ53" s="102"/>
      <c r="JK53" s="102"/>
      <c r="JL53" s="102"/>
      <c r="JM53" s="102"/>
      <c r="JN53" s="102"/>
      <c r="JO53" s="102"/>
      <c r="JP53" s="102"/>
      <c r="JQ53" s="102"/>
      <c r="JR53" s="102"/>
      <c r="JS53" s="102"/>
      <c r="JT53" s="102"/>
      <c r="JU53" s="102"/>
      <c r="JV53" s="102"/>
      <c r="JW53" s="102"/>
      <c r="JX53" s="102"/>
      <c r="JY53" s="102"/>
      <c r="JZ53" s="102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M53" s="30"/>
      <c r="NN53" s="888"/>
      <c r="NO53" s="1198"/>
      <c r="NP53" s="647"/>
      <c r="NQ53" s="647"/>
      <c r="NR53" s="647"/>
      <c r="NS53" s="647"/>
      <c r="NT53" s="647"/>
      <c r="NU53" s="647"/>
      <c r="NV53" s="647"/>
      <c r="NW53" s="647"/>
      <c r="NX53" s="647"/>
      <c r="NY53" s="647"/>
      <c r="NZ53" s="647"/>
      <c r="OA53" s="50"/>
      <c r="OB53" s="50"/>
      <c r="OC53" s="50"/>
      <c r="OD53" s="50"/>
      <c r="OH53" s="102"/>
      <c r="OI53" s="102"/>
      <c r="OJ53" s="102"/>
      <c r="OK53" s="102"/>
      <c r="OL53" s="102"/>
      <c r="OM53" s="102"/>
      <c r="ON53" s="102"/>
      <c r="OO53" s="102"/>
      <c r="OP53" s="102"/>
      <c r="OQ53" s="102"/>
      <c r="OR53" s="102"/>
      <c r="OS53" s="102"/>
      <c r="OT53" s="102"/>
      <c r="OU53" s="102"/>
      <c r="OV53" s="102"/>
      <c r="OW53" s="22">
        <f>ROW()</f>
        <v>53</v>
      </c>
      <c r="OX53" s="1" t="s">
        <v>240</v>
      </c>
      <c r="OZ53" s="889">
        <f t="shared" ref="OZ53:PN53" si="202">+OZ50-OZ52</f>
        <v>5799601.692368485</v>
      </c>
      <c r="PA53" s="889">
        <f t="shared" si="202"/>
        <v>-5799601.692368485</v>
      </c>
      <c r="PB53" s="890">
        <f t="shared" si="202"/>
        <v>0</v>
      </c>
      <c r="PC53" s="890">
        <f t="shared" si="202"/>
        <v>0</v>
      </c>
      <c r="PD53" s="890">
        <f t="shared" si="202"/>
        <v>0</v>
      </c>
      <c r="PE53" s="890">
        <f t="shared" si="202"/>
        <v>0</v>
      </c>
      <c r="PF53" s="890">
        <f t="shared" si="202"/>
        <v>0</v>
      </c>
      <c r="PG53" s="890">
        <f t="shared" si="202"/>
        <v>-7645649.3846697286</v>
      </c>
      <c r="PH53" s="890">
        <f t="shared" si="202"/>
        <v>-7645649.3846697286</v>
      </c>
      <c r="PI53" s="890">
        <f t="shared" si="202"/>
        <v>0</v>
      </c>
      <c r="PJ53" s="890">
        <f t="shared" si="202"/>
        <v>-7645649.3846697286</v>
      </c>
      <c r="PK53" s="890">
        <f t="shared" si="202"/>
        <v>0</v>
      </c>
      <c r="PL53" s="890">
        <f t="shared" si="202"/>
        <v>-7645649.3846697286</v>
      </c>
      <c r="PM53" s="890">
        <f t="shared" si="202"/>
        <v>0</v>
      </c>
      <c r="PN53" s="890">
        <f t="shared" si="202"/>
        <v>-7645649.3846697286</v>
      </c>
      <c r="PO53" s="102"/>
      <c r="PP53" s="102"/>
      <c r="PQ53" s="102"/>
      <c r="PR53" s="102"/>
      <c r="SM53" s="521">
        <f>ROW()</f>
        <v>53</v>
      </c>
      <c r="SN53" s="102" t="s">
        <v>222</v>
      </c>
      <c r="SO53" s="608"/>
      <c r="SP53" s="607"/>
      <c r="SQ53" s="74"/>
      <c r="SR53" s="74"/>
      <c r="SS53" s="39">
        <v>0</v>
      </c>
      <c r="ST53" s="39">
        <f>SS53</f>
        <v>0</v>
      </c>
      <c r="SU53" s="39">
        <v>0</v>
      </c>
      <c r="SV53" s="39">
        <f>SU53+ST53</f>
        <v>0</v>
      </c>
      <c r="SW53" s="39">
        <v>0</v>
      </c>
      <c r="SX53" s="39">
        <f>SW53+SV53</f>
        <v>0</v>
      </c>
      <c r="SY53" s="39">
        <v>0</v>
      </c>
      <c r="SZ53" s="39">
        <f t="shared" ref="SZ53:TD55" si="203">SY53+SX53</f>
        <v>0</v>
      </c>
      <c r="TA53" s="606"/>
      <c r="TB53" s="606">
        <f t="shared" si="203"/>
        <v>0</v>
      </c>
      <c r="TC53" s="607"/>
      <c r="TD53" s="606">
        <f t="shared" si="203"/>
        <v>0</v>
      </c>
      <c r="TF53" s="950"/>
      <c r="TG53" s="690"/>
      <c r="TH53" s="749"/>
      <c r="TI53" s="78"/>
      <c r="TJ53" s="78"/>
      <c r="TK53" s="1"/>
      <c r="TL53" s="1"/>
      <c r="TM53" s="1"/>
      <c r="TN53" s="1"/>
      <c r="TO53" s="1"/>
      <c r="TP53" s="1"/>
      <c r="TQ53" s="1"/>
      <c r="TR53" s="1"/>
      <c r="TS53" s="1"/>
      <c r="TV53" s="924"/>
      <c r="TW53" s="924"/>
      <c r="TX53" s="20"/>
      <c r="TY53" s="20"/>
      <c r="TZ53" s="20"/>
      <c r="UA53" s="939"/>
      <c r="UB53" s="940"/>
      <c r="UC53" s="100"/>
      <c r="UD53" s="100"/>
      <c r="UE53" s="100"/>
      <c r="UF53" s="100"/>
      <c r="UG53" s="100"/>
      <c r="UH53" s="100"/>
      <c r="UJ53" s="521"/>
      <c r="UK53" s="20"/>
      <c r="UL53" s="610"/>
      <c r="UM53" s="573"/>
      <c r="UN53" s="573"/>
      <c r="UO53" s="573"/>
      <c r="UP53" s="574"/>
      <c r="UQ53" s="574"/>
      <c r="UR53" s="574"/>
      <c r="US53" s="574"/>
      <c r="UT53" s="574"/>
      <c r="UU53" s="574"/>
      <c r="UV53" s="574"/>
      <c r="UW53" s="574"/>
    </row>
    <row r="54" spans="1:569" ht="15.75" thickTop="1" x14ac:dyDescent="0.25">
      <c r="A54" s="13">
        <f>ROW()</f>
        <v>54</v>
      </c>
      <c r="B54" s="524" t="s">
        <v>426</v>
      </c>
      <c r="C54" s="23"/>
      <c r="D54" s="560"/>
      <c r="E54" s="560"/>
      <c r="F54" s="618">
        <f t="shared" si="196"/>
        <v>0</v>
      </c>
      <c r="G54" s="880">
        <v>43799383.599999994</v>
      </c>
      <c r="H54" s="618">
        <f t="shared" si="197"/>
        <v>43799383.599999994</v>
      </c>
      <c r="I54" s="880"/>
      <c r="J54" s="618">
        <f t="shared" si="198"/>
        <v>43799383.599999994</v>
      </c>
      <c r="K54" s="880"/>
      <c r="L54" s="618">
        <f t="shared" si="199"/>
        <v>43799383.599999994</v>
      </c>
      <c r="M54" s="880"/>
      <c r="N54" s="618">
        <f t="shared" si="192"/>
        <v>43799383.599999994</v>
      </c>
      <c r="O54" s="880"/>
      <c r="P54" s="618">
        <f t="shared" si="200"/>
        <v>43799383.599999994</v>
      </c>
      <c r="Q54" s="880"/>
      <c r="R54" s="618">
        <f t="shared" si="201"/>
        <v>43799383.599999994</v>
      </c>
      <c r="S54" s="529">
        <f>ROW()</f>
        <v>54</v>
      </c>
      <c r="T54" s="891"/>
      <c r="U54" s="17"/>
      <c r="V54" s="17"/>
      <c r="W54" s="17"/>
      <c r="X54" s="739">
        <f t="shared" si="179"/>
        <v>0</v>
      </c>
      <c r="Y54" s="739"/>
      <c r="Z54" s="739">
        <f t="shared" si="180"/>
        <v>0</v>
      </c>
      <c r="AA54" s="739"/>
      <c r="AB54" s="739">
        <f t="shared" si="181"/>
        <v>0</v>
      </c>
      <c r="AC54" s="739"/>
      <c r="AD54" s="739">
        <f t="shared" si="182"/>
        <v>0</v>
      </c>
      <c r="AE54" s="739"/>
      <c r="AF54" s="739">
        <f t="shared" si="183"/>
        <v>0</v>
      </c>
      <c r="AG54" s="78"/>
      <c r="AH54" s="78"/>
      <c r="AI54" s="78"/>
      <c r="AJ54" s="78"/>
      <c r="AL54" s="20"/>
      <c r="AM54" s="20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IQ54" s="102"/>
      <c r="IR54" s="102"/>
      <c r="IS54" s="102"/>
      <c r="IT54" s="102"/>
      <c r="IU54" s="102"/>
      <c r="IV54" s="102"/>
      <c r="IW54" s="102"/>
      <c r="IX54" s="102"/>
      <c r="IY54" s="102"/>
      <c r="IZ54" s="102"/>
      <c r="JA54" s="102"/>
      <c r="JB54" s="102"/>
      <c r="JC54" s="102"/>
      <c r="JD54" s="102"/>
      <c r="JE54" s="102"/>
      <c r="JF54" s="102"/>
      <c r="JG54" s="102"/>
      <c r="JH54" s="102"/>
      <c r="JI54" s="102"/>
      <c r="JJ54" s="102"/>
      <c r="JK54" s="102"/>
      <c r="JL54" s="102"/>
      <c r="JM54" s="102"/>
      <c r="JN54" s="102"/>
      <c r="JO54" s="102"/>
      <c r="JP54" s="102"/>
      <c r="JQ54" s="102"/>
      <c r="JR54" s="102"/>
      <c r="JS54" s="102"/>
      <c r="JT54" s="102"/>
      <c r="JU54" s="102"/>
      <c r="JV54" s="102"/>
      <c r="JW54" s="102"/>
      <c r="JX54" s="102"/>
      <c r="JY54" s="102"/>
      <c r="JZ54" s="102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M54" s="30"/>
      <c r="NN54" s="888"/>
      <c r="NO54" s="547"/>
      <c r="NP54" s="980"/>
      <c r="NQ54" s="980"/>
      <c r="NR54" s="980"/>
      <c r="NS54" s="980"/>
      <c r="NT54" s="980"/>
      <c r="NU54" s="980"/>
      <c r="NV54" s="980"/>
      <c r="NW54" s="980"/>
      <c r="NX54" s="980"/>
      <c r="NY54" s="980"/>
      <c r="NZ54" s="980"/>
      <c r="OH54" s="102"/>
      <c r="OI54" s="102"/>
      <c r="OJ54" s="102"/>
      <c r="OK54" s="102"/>
      <c r="OL54" s="102"/>
      <c r="OM54" s="102"/>
      <c r="ON54" s="102"/>
      <c r="OO54" s="102"/>
      <c r="OP54" s="102"/>
      <c r="OQ54" s="102"/>
      <c r="OR54" s="102"/>
      <c r="OS54" s="102"/>
      <c r="OT54" s="102"/>
      <c r="OU54" s="102"/>
      <c r="OV54" s="102"/>
      <c r="OW54" s="65" t="s">
        <v>30</v>
      </c>
      <c r="OX54" s="102"/>
      <c r="OY54" s="102"/>
      <c r="OZ54" s="102"/>
      <c r="PA54" s="102"/>
      <c r="PB54" s="102"/>
      <c r="PC54" s="102"/>
      <c r="PD54" s="102"/>
      <c r="PE54" s="102"/>
      <c r="PF54" s="102"/>
      <c r="PG54" s="102"/>
      <c r="PH54" s="102"/>
      <c r="PI54" s="102"/>
      <c r="PJ54" s="102"/>
      <c r="PK54" s="102"/>
      <c r="PL54" s="102"/>
      <c r="PM54" s="102"/>
      <c r="PN54" s="102"/>
      <c r="PO54" s="102"/>
      <c r="PP54" s="102"/>
      <c r="PQ54" s="102"/>
      <c r="PR54" s="102"/>
      <c r="SM54" s="521">
        <f>ROW()</f>
        <v>54</v>
      </c>
      <c r="SN54" s="102" t="s">
        <v>244</v>
      </c>
      <c r="SO54" s="608"/>
      <c r="SP54" s="607"/>
      <c r="SQ54" s="74"/>
      <c r="SR54" s="74"/>
      <c r="SS54" s="39">
        <v>0</v>
      </c>
      <c r="ST54" s="39">
        <f>SS54</f>
        <v>0</v>
      </c>
      <c r="SU54" s="39">
        <v>0</v>
      </c>
      <c r="SV54" s="39">
        <f>SU54+ST54</f>
        <v>0</v>
      </c>
      <c r="SW54" s="39">
        <v>0</v>
      </c>
      <c r="SX54" s="39">
        <f>SW54+SV54</f>
        <v>0</v>
      </c>
      <c r="SY54" s="39">
        <v>0</v>
      </c>
      <c r="SZ54" s="39">
        <f t="shared" si="203"/>
        <v>0</v>
      </c>
      <c r="TA54" s="606"/>
      <c r="TB54" s="606">
        <f t="shared" si="203"/>
        <v>0</v>
      </c>
      <c r="TC54" s="607"/>
      <c r="TD54" s="606">
        <f t="shared" si="203"/>
        <v>0</v>
      </c>
      <c r="TF54" s="950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V54" s="20"/>
      <c r="TW54" s="490"/>
      <c r="TX54" s="100"/>
      <c r="TY54" s="942"/>
      <c r="TZ54" s="100"/>
      <c r="UA54" s="100"/>
      <c r="UB54" s="100"/>
      <c r="UC54" s="100"/>
      <c r="UD54" s="100"/>
      <c r="UE54" s="100"/>
      <c r="UF54" s="100"/>
      <c r="UG54" s="100"/>
      <c r="UH54" s="100"/>
      <c r="UJ54" s="521"/>
      <c r="UK54" s="20"/>
      <c r="UL54" s="610"/>
      <c r="UM54" s="42"/>
      <c r="UN54" s="42"/>
      <c r="UO54" s="42"/>
      <c r="UP54" s="633"/>
      <c r="UQ54" s="633"/>
      <c r="UR54" s="633"/>
      <c r="US54" s="633"/>
      <c r="UT54" s="633"/>
      <c r="UU54" s="633"/>
      <c r="UV54" s="633"/>
      <c r="UW54" s="633"/>
    </row>
    <row r="55" spans="1:569" ht="15" x14ac:dyDescent="0.25">
      <c r="A55" s="22">
        <f>ROW()</f>
        <v>55</v>
      </c>
      <c r="B55" s="885" t="s">
        <v>427</v>
      </c>
      <c r="C55" s="23"/>
      <c r="D55" s="560"/>
      <c r="E55" s="880">
        <v>0</v>
      </c>
      <c r="F55" s="618">
        <f t="shared" si="196"/>
        <v>0</v>
      </c>
      <c r="G55" s="880"/>
      <c r="H55" s="618">
        <f t="shared" si="197"/>
        <v>0</v>
      </c>
      <c r="I55" s="880"/>
      <c r="J55" s="618">
        <f t="shared" si="198"/>
        <v>0</v>
      </c>
      <c r="K55" s="880"/>
      <c r="L55" s="618">
        <f t="shared" si="199"/>
        <v>0</v>
      </c>
      <c r="M55" s="880"/>
      <c r="N55" s="618">
        <f t="shared" si="192"/>
        <v>0</v>
      </c>
      <c r="O55" s="880"/>
      <c r="P55" s="618">
        <f t="shared" si="200"/>
        <v>0</v>
      </c>
      <c r="Q55" s="880"/>
      <c r="R55" s="618">
        <f t="shared" si="201"/>
        <v>0</v>
      </c>
      <c r="S55" s="529">
        <f>ROW()</f>
        <v>55</v>
      </c>
      <c r="T55" s="41" t="s">
        <v>312</v>
      </c>
      <c r="V55" s="78">
        <f t="shared" ref="V55:AF55" si="204">SUM(V43:V54)</f>
        <v>270281700.00999999</v>
      </c>
      <c r="W55" s="78">
        <f t="shared" si="204"/>
        <v>-270281700.00999999</v>
      </c>
      <c r="X55" s="78">
        <f t="shared" si="204"/>
        <v>0</v>
      </c>
      <c r="Y55" s="78">
        <f t="shared" si="204"/>
        <v>0</v>
      </c>
      <c r="Z55" s="78">
        <f t="shared" si="204"/>
        <v>0</v>
      </c>
      <c r="AA55" s="78">
        <f t="shared" si="204"/>
        <v>0</v>
      </c>
      <c r="AB55" s="78">
        <f t="shared" si="204"/>
        <v>0</v>
      </c>
      <c r="AC55" s="78">
        <f t="shared" si="204"/>
        <v>0</v>
      </c>
      <c r="AD55" s="78">
        <f t="shared" si="204"/>
        <v>0</v>
      </c>
      <c r="AE55" s="78">
        <f t="shared" si="204"/>
        <v>0</v>
      </c>
      <c r="AF55" s="78">
        <f t="shared" si="204"/>
        <v>0</v>
      </c>
      <c r="AG55" s="20"/>
      <c r="AH55" s="20"/>
      <c r="AI55" s="20"/>
      <c r="AJ55" s="20"/>
      <c r="AL55" s="20"/>
      <c r="AM55" s="20"/>
      <c r="AN55" s="20"/>
      <c r="AO55" s="21"/>
      <c r="AP55" s="78"/>
      <c r="AQ55" s="21"/>
      <c r="AR55" s="20"/>
      <c r="AS55" s="21"/>
      <c r="AT55" s="21"/>
      <c r="AU55" s="21"/>
      <c r="AV55" s="21"/>
      <c r="AW55" s="21"/>
      <c r="AX55" s="21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IQ55" s="102"/>
      <c r="IR55" s="102"/>
      <c r="IS55" s="102"/>
      <c r="IT55" s="102"/>
      <c r="IU55" s="102"/>
      <c r="IV55" s="102"/>
      <c r="IW55" s="102"/>
      <c r="IX55" s="102"/>
      <c r="IY55" s="102"/>
      <c r="IZ55" s="102"/>
      <c r="JA55" s="102"/>
      <c r="JB55" s="102"/>
      <c r="JC55" s="102"/>
      <c r="JD55" s="102"/>
      <c r="JE55" s="102"/>
      <c r="JF55" s="102"/>
      <c r="JG55" s="102"/>
      <c r="JH55" s="102"/>
      <c r="JI55" s="102"/>
      <c r="JJ55" s="102"/>
      <c r="JK55" s="102"/>
      <c r="JL55" s="102"/>
      <c r="JM55" s="102"/>
      <c r="JN55" s="102"/>
      <c r="JO55" s="102"/>
      <c r="JP55" s="102"/>
      <c r="JQ55" s="102"/>
      <c r="JR55" s="102"/>
      <c r="JS55" s="102"/>
      <c r="JT55" s="102"/>
      <c r="JU55" s="102"/>
      <c r="JV55" s="102"/>
      <c r="JW55" s="102"/>
      <c r="JX55" s="102"/>
      <c r="JY55" s="102"/>
      <c r="JZ55" s="102"/>
      <c r="NM55" s="30"/>
      <c r="NN55" s="917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550"/>
      <c r="OB55" s="550"/>
      <c r="OC55" s="550"/>
      <c r="OD55" s="550"/>
      <c r="OH55" s="102"/>
      <c r="OI55" s="102"/>
      <c r="OJ55" s="102"/>
      <c r="OK55" s="102"/>
      <c r="OL55" s="102"/>
      <c r="OM55" s="102"/>
      <c r="ON55" s="102"/>
      <c r="OO55" s="102"/>
      <c r="OP55" s="102"/>
      <c r="OQ55" s="102"/>
      <c r="OR55" s="102"/>
      <c r="OS55" s="102"/>
      <c r="OT55" s="102"/>
      <c r="OU55" s="102"/>
      <c r="OV55" s="102"/>
      <c r="OW55" s="102"/>
      <c r="PK55" s="102"/>
      <c r="PL55" s="102"/>
      <c r="PM55" s="102"/>
      <c r="PN55" s="102"/>
      <c r="PO55" s="102"/>
      <c r="PP55" s="102"/>
      <c r="PQ55" s="102"/>
      <c r="PR55" s="102"/>
      <c r="SM55" s="521">
        <f>ROW()</f>
        <v>55</v>
      </c>
      <c r="SN55" s="102" t="s">
        <v>260</v>
      </c>
      <c r="SO55" s="608"/>
      <c r="SP55" s="671"/>
      <c r="SQ55" s="739"/>
      <c r="SR55" s="739"/>
      <c r="SS55" s="745">
        <v>0</v>
      </c>
      <c r="ST55" s="745">
        <f>SS55</f>
        <v>0</v>
      </c>
      <c r="SU55" s="745">
        <v>0</v>
      </c>
      <c r="SV55" s="745">
        <f>SU55+ST55</f>
        <v>0</v>
      </c>
      <c r="SW55" s="745">
        <v>0</v>
      </c>
      <c r="SX55" s="745">
        <f>SW55+SV55</f>
        <v>0</v>
      </c>
      <c r="SY55" s="745">
        <v>461782.42264</v>
      </c>
      <c r="SZ55" s="745">
        <f t="shared" si="203"/>
        <v>461782.42264</v>
      </c>
      <c r="TA55" s="669"/>
      <c r="TB55" s="669">
        <f t="shared" si="203"/>
        <v>461782.42264</v>
      </c>
      <c r="TC55" s="671"/>
      <c r="TD55" s="669">
        <f t="shared" si="203"/>
        <v>461782.42264</v>
      </c>
      <c r="TF55" s="950"/>
      <c r="TG55" s="477"/>
      <c r="TH55" s="610"/>
      <c r="TI55" s="78"/>
      <c r="TJ55" s="78"/>
      <c r="TK55" s="1"/>
      <c r="TL55" s="78"/>
      <c r="TM55" s="1"/>
      <c r="TN55" s="78"/>
      <c r="TO55" s="1"/>
      <c r="TP55" s="78"/>
      <c r="TQ55" s="1"/>
      <c r="TR55" s="78"/>
      <c r="TS55" s="1"/>
      <c r="TV55" s="515"/>
      <c r="TW55" s="491"/>
      <c r="TX55" s="100"/>
      <c r="TY55" s="100"/>
      <c r="TZ55" s="100"/>
      <c r="UA55" s="100"/>
      <c r="UB55" s="100"/>
      <c r="UC55" s="100"/>
      <c r="UD55" s="100"/>
      <c r="UE55" s="100"/>
      <c r="UF55" s="100"/>
      <c r="UG55" s="100"/>
      <c r="UH55" s="100"/>
      <c r="UJ55" s="521"/>
      <c r="UK55" s="20"/>
      <c r="UL55" s="610"/>
      <c r="UM55" s="42"/>
      <c r="UN55" s="42"/>
      <c r="UO55" s="42"/>
      <c r="UP55" s="633"/>
      <c r="UQ55" s="633"/>
      <c r="UR55" s="633"/>
      <c r="US55" s="633"/>
      <c r="UT55" s="633"/>
      <c r="UU55" s="633"/>
      <c r="UV55" s="633"/>
      <c r="UW55" s="633"/>
    </row>
    <row r="56" spans="1:569" ht="15" x14ac:dyDescent="0.25">
      <c r="A56" s="22">
        <f>ROW()</f>
        <v>56</v>
      </c>
      <c r="B56" s="885" t="s">
        <v>428</v>
      </c>
      <c r="C56" s="23"/>
      <c r="D56" s="560">
        <f>-E56</f>
        <v>13154883</v>
      </c>
      <c r="E56" s="880">
        <f>-E33</f>
        <v>-13154883</v>
      </c>
      <c r="F56" s="618">
        <f t="shared" si="196"/>
        <v>0</v>
      </c>
      <c r="G56" s="880"/>
      <c r="H56" s="618">
        <f t="shared" si="197"/>
        <v>0</v>
      </c>
      <c r="I56" s="880"/>
      <c r="J56" s="618">
        <f t="shared" si="198"/>
        <v>0</v>
      </c>
      <c r="K56" s="618">
        <v>-627645.34660799801</v>
      </c>
      <c r="L56" s="618">
        <f t="shared" si="199"/>
        <v>-627645.34660799801</v>
      </c>
      <c r="M56" s="618">
        <v>616545.75918336026</v>
      </c>
      <c r="N56" s="618">
        <f t="shared" si="192"/>
        <v>-11099.58742463775</v>
      </c>
      <c r="O56" s="892"/>
      <c r="P56" s="618">
        <f t="shared" si="200"/>
        <v>-11099.58742463775</v>
      </c>
      <c r="Q56" s="892"/>
      <c r="R56" s="618">
        <f t="shared" si="201"/>
        <v>-11099.58742463775</v>
      </c>
      <c r="S56" s="529">
        <f>ROW()</f>
        <v>56</v>
      </c>
      <c r="V56" s="576"/>
      <c r="AG56" s="78"/>
      <c r="AH56" s="78"/>
      <c r="AI56" s="78"/>
      <c r="AJ56" s="78"/>
      <c r="AL56" s="20"/>
      <c r="AM56" s="20"/>
      <c r="AN56" s="20"/>
      <c r="AO56" s="78"/>
      <c r="AP56" s="78"/>
      <c r="AQ56" s="78"/>
      <c r="AR56" s="20"/>
      <c r="AS56" s="78"/>
      <c r="AT56" s="78"/>
      <c r="AU56" s="78"/>
      <c r="AV56" s="78"/>
      <c r="AW56" s="78"/>
      <c r="AX56" s="78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IQ56" s="102"/>
      <c r="IR56" s="102"/>
      <c r="IS56" s="102"/>
      <c r="IT56" s="102"/>
      <c r="IU56" s="102"/>
      <c r="IV56" s="102"/>
      <c r="IW56" s="102"/>
      <c r="IX56" s="102"/>
      <c r="IY56" s="102"/>
      <c r="IZ56" s="102"/>
      <c r="JA56" s="102"/>
      <c r="JB56" s="102"/>
      <c r="JC56" s="102"/>
      <c r="JD56" s="102"/>
      <c r="JE56" s="102"/>
      <c r="JF56" s="102"/>
      <c r="JG56" s="102"/>
      <c r="JH56" s="102"/>
      <c r="JI56" s="102"/>
      <c r="JJ56" s="102"/>
      <c r="JK56" s="102"/>
      <c r="JL56" s="102"/>
      <c r="JM56" s="102"/>
      <c r="JN56" s="102"/>
      <c r="JO56" s="102"/>
      <c r="JP56" s="102"/>
      <c r="JQ56" s="102"/>
      <c r="JR56" s="102"/>
      <c r="JS56" s="102"/>
      <c r="JT56" s="102"/>
      <c r="JU56" s="102"/>
      <c r="JV56" s="102"/>
      <c r="JW56" s="102"/>
      <c r="JX56" s="102"/>
      <c r="JY56" s="102"/>
      <c r="JZ56" s="102"/>
      <c r="NM56" s="523"/>
      <c r="NN56" s="917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641"/>
      <c r="OB56" s="641"/>
      <c r="OC56" s="641"/>
      <c r="OD56" s="641"/>
      <c r="OH56" s="102"/>
      <c r="OI56" s="102"/>
      <c r="OJ56" s="102"/>
      <c r="OK56" s="102"/>
      <c r="OL56" s="102"/>
      <c r="OM56" s="102"/>
      <c r="ON56" s="102"/>
      <c r="OO56" s="102"/>
      <c r="OP56" s="102"/>
      <c r="OQ56" s="102"/>
      <c r="OR56" s="102"/>
      <c r="OS56" s="102"/>
      <c r="OT56" s="102"/>
      <c r="OU56" s="102"/>
      <c r="OV56" s="102"/>
      <c r="OW56" s="102"/>
      <c r="OX56" s="523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102"/>
      <c r="PL56" s="102"/>
      <c r="PM56" s="102"/>
      <c r="PN56" s="102"/>
      <c r="PO56" s="102"/>
      <c r="PP56" s="102"/>
      <c r="PQ56" s="102"/>
      <c r="PR56" s="102"/>
      <c r="SM56" s="521">
        <f>ROW()</f>
        <v>56</v>
      </c>
      <c r="SN56" s="102" t="s">
        <v>280</v>
      </c>
      <c r="SO56" s="608"/>
      <c r="SP56" s="606"/>
      <c r="SQ56" s="39"/>
      <c r="SR56" s="39"/>
      <c r="SS56" s="39">
        <f t="shared" ref="SS56:TD56" si="205">SUM(SS52:SS55)</f>
        <v>1286931.1299999999</v>
      </c>
      <c r="ST56" s="39">
        <f t="shared" si="205"/>
        <v>1286931.1299999999</v>
      </c>
      <c r="SU56" s="39">
        <f t="shared" si="205"/>
        <v>5436371.7800000012</v>
      </c>
      <c r="SV56" s="39">
        <f t="shared" si="205"/>
        <v>6723302.9100000011</v>
      </c>
      <c r="SW56" s="39">
        <f t="shared" si="205"/>
        <v>4452175.21</v>
      </c>
      <c r="SX56" s="39">
        <f t="shared" si="205"/>
        <v>11175478.120000001</v>
      </c>
      <c r="SY56" s="39">
        <f t="shared" si="205"/>
        <v>10658684.652639996</v>
      </c>
      <c r="SZ56" s="39">
        <f t="shared" si="205"/>
        <v>21834162.772639997</v>
      </c>
      <c r="TA56" s="606">
        <f t="shared" si="205"/>
        <v>0</v>
      </c>
      <c r="TB56" s="606">
        <f t="shared" si="205"/>
        <v>21834162.772639997</v>
      </c>
      <c r="TC56" s="606">
        <f t="shared" si="205"/>
        <v>0</v>
      </c>
      <c r="TD56" s="606">
        <f t="shared" si="205"/>
        <v>21834162.772639997</v>
      </c>
      <c r="TF56" s="950"/>
      <c r="TG56" s="1"/>
      <c r="TH56" s="610"/>
      <c r="TI56" s="78"/>
      <c r="TJ56" s="78"/>
      <c r="TK56" s="1"/>
      <c r="TL56" s="78"/>
      <c r="TM56" s="1"/>
      <c r="TN56" s="78"/>
      <c r="TO56" s="1"/>
      <c r="TP56" s="78"/>
      <c r="TQ56" s="1"/>
      <c r="TR56" s="78"/>
      <c r="TS56" s="1"/>
      <c r="TV56" s="508"/>
      <c r="TW56" s="509"/>
      <c r="TX56" s="100"/>
      <c r="TY56" s="100"/>
      <c r="TZ56" s="100"/>
      <c r="UA56" s="100"/>
      <c r="UB56" s="100"/>
      <c r="UC56" s="100"/>
      <c r="UD56" s="100"/>
      <c r="UE56" s="100"/>
      <c r="UF56" s="100"/>
      <c r="UG56" s="100"/>
      <c r="UH56" s="100"/>
      <c r="UJ56" s="521"/>
      <c r="UK56" s="20"/>
      <c r="UL56" s="610"/>
      <c r="UM56" s="42"/>
      <c r="UN56" s="42"/>
      <c r="UO56" s="42"/>
      <c r="UP56" s="633"/>
      <c r="UQ56" s="633"/>
      <c r="UR56" s="633"/>
      <c r="US56" s="633"/>
      <c r="UT56" s="633"/>
      <c r="UU56" s="633"/>
      <c r="UV56" s="633"/>
      <c r="UW56" s="633"/>
    </row>
    <row r="57" spans="1:569" ht="15" x14ac:dyDescent="0.25">
      <c r="A57" s="22">
        <f>ROW()</f>
        <v>57</v>
      </c>
      <c r="B57" s="885" t="s">
        <v>429</v>
      </c>
      <c r="D57" s="560">
        <v>-8280610.3399999999</v>
      </c>
      <c r="E57" s="880">
        <f>-D57</f>
        <v>8280610.3399999999</v>
      </c>
      <c r="F57" s="618">
        <f t="shared" si="196"/>
        <v>0</v>
      </c>
      <c r="G57" s="880"/>
      <c r="H57" s="618">
        <f t="shared" si="197"/>
        <v>0</v>
      </c>
      <c r="I57" s="880"/>
      <c r="J57" s="618">
        <f t="shared" si="198"/>
        <v>0</v>
      </c>
      <c r="K57" s="880"/>
      <c r="L57" s="618">
        <f t="shared" si="199"/>
        <v>0</v>
      </c>
      <c r="M57" s="880"/>
      <c r="N57" s="618">
        <f t="shared" si="192"/>
        <v>0</v>
      </c>
      <c r="O57" s="880"/>
      <c r="P57" s="618">
        <f t="shared" si="200"/>
        <v>0</v>
      </c>
      <c r="Q57" s="880"/>
      <c r="R57" s="618">
        <f t="shared" si="201"/>
        <v>0</v>
      </c>
      <c r="S57" s="529">
        <f>ROW()</f>
        <v>57</v>
      </c>
      <c r="T57" s="41" t="s">
        <v>430</v>
      </c>
      <c r="U57" s="41"/>
      <c r="V57" s="750">
        <f>+V34-V40-V55</f>
        <v>14442120.01589793</v>
      </c>
      <c r="W57" s="750">
        <f t="shared" ref="W57:AF57" si="206">+W34-W40-W55</f>
        <v>-153744.87626051903</v>
      </c>
      <c r="X57" s="750">
        <f t="shared" si="206"/>
        <v>14288375.139637332</v>
      </c>
      <c r="Y57" s="750">
        <f t="shared" si="206"/>
        <v>-14288375.139637331</v>
      </c>
      <c r="Z57" s="50">
        <f t="shared" si="206"/>
        <v>0</v>
      </c>
      <c r="AA57" s="50">
        <f t="shared" si="206"/>
        <v>0</v>
      </c>
      <c r="AB57" s="50">
        <f t="shared" si="206"/>
        <v>0</v>
      </c>
      <c r="AC57" s="50">
        <f t="shared" si="206"/>
        <v>0</v>
      </c>
      <c r="AD57" s="50">
        <f t="shared" si="206"/>
        <v>0</v>
      </c>
      <c r="AE57" s="50">
        <f t="shared" si="206"/>
        <v>0</v>
      </c>
      <c r="AF57" s="50">
        <f t="shared" si="206"/>
        <v>0</v>
      </c>
      <c r="AG57" s="63"/>
      <c r="AH57" s="63"/>
      <c r="AI57" s="63"/>
      <c r="AJ57" s="63"/>
      <c r="AK57" s="529"/>
      <c r="AL57" s="20"/>
      <c r="AM57" s="20"/>
      <c r="AN57" s="20"/>
      <c r="AO57" s="21"/>
      <c r="AP57" s="78"/>
      <c r="AQ57" s="21"/>
      <c r="AR57" s="20"/>
      <c r="AS57" s="21"/>
      <c r="AT57" s="21"/>
      <c r="AU57" s="21"/>
      <c r="AV57" s="21"/>
      <c r="AW57" s="21"/>
      <c r="AX57" s="21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IQ57" s="102"/>
      <c r="IR57" s="102"/>
      <c r="IS57" s="102"/>
      <c r="IT57" s="102"/>
      <c r="IU57" s="102"/>
      <c r="IV57" s="102"/>
      <c r="IW57" s="102"/>
      <c r="IX57" s="102"/>
      <c r="JI57" s="102"/>
      <c r="JJ57" s="102"/>
      <c r="JK57" s="102"/>
      <c r="JL57" s="102"/>
      <c r="JM57" s="102"/>
      <c r="JN57" s="102"/>
      <c r="JO57" s="102"/>
      <c r="JP57" s="102"/>
      <c r="JQ57" s="102"/>
      <c r="JR57" s="102"/>
      <c r="JS57" s="102"/>
      <c r="JT57" s="102"/>
      <c r="JU57" s="102"/>
      <c r="JV57" s="102"/>
      <c r="JW57" s="102"/>
      <c r="JX57" s="102"/>
      <c r="JY57" s="102"/>
      <c r="JZ57" s="102"/>
      <c r="NM57" s="30"/>
      <c r="NN57" s="1194"/>
      <c r="NO57" s="547"/>
      <c r="NP57" s="800"/>
      <c r="NQ57" s="800"/>
      <c r="NR57" s="800"/>
      <c r="NS57" s="800"/>
      <c r="NT57" s="800"/>
      <c r="NU57" s="800"/>
      <c r="NV57" s="800"/>
      <c r="NW57" s="800"/>
      <c r="NX57" s="800"/>
      <c r="NY57" s="800"/>
      <c r="NZ57" s="800"/>
      <c r="OA57" s="641"/>
      <c r="OB57" s="641"/>
      <c r="OC57" s="641"/>
      <c r="OD57" s="641"/>
      <c r="OH57" s="102"/>
      <c r="OI57" s="102"/>
      <c r="OJ57" s="102"/>
      <c r="OK57" s="102"/>
      <c r="OL57" s="102"/>
      <c r="OM57" s="102"/>
      <c r="ON57" s="102"/>
      <c r="OO57" s="102"/>
      <c r="OP57" s="102"/>
      <c r="OQ57" s="102"/>
      <c r="OR57" s="102"/>
      <c r="OS57" s="102"/>
      <c r="OT57" s="102"/>
      <c r="OU57" s="102"/>
      <c r="OV57" s="102"/>
      <c r="OW57" s="102"/>
      <c r="OX57" s="1054"/>
      <c r="OY57" s="1054"/>
      <c r="OZ57" s="1201"/>
      <c r="PA57" s="561"/>
      <c r="PB57" s="561"/>
      <c r="PC57" s="561"/>
      <c r="PD57" s="561"/>
      <c r="PE57" s="1193"/>
      <c r="PF57" s="1193"/>
      <c r="PG57" s="1193"/>
      <c r="PH57" s="1193"/>
      <c r="PI57" s="1193"/>
      <c r="PJ57" s="1193"/>
      <c r="PK57" s="102"/>
      <c r="PL57" s="102"/>
      <c r="PM57" s="102"/>
      <c r="PN57" s="102"/>
      <c r="PO57" s="102"/>
      <c r="PP57" s="102"/>
      <c r="PQ57" s="102"/>
      <c r="PR57" s="102"/>
      <c r="SM57" s="521">
        <f>ROW()</f>
        <v>57</v>
      </c>
      <c r="SO57" s="608"/>
      <c r="SP57" s="606"/>
      <c r="SQ57" s="39"/>
      <c r="SR57" s="39"/>
      <c r="SS57" s="39"/>
      <c r="ST57" s="39"/>
      <c r="SU57" s="39"/>
      <c r="SV57" s="39"/>
      <c r="SW57" s="39"/>
      <c r="SX57" s="39"/>
      <c r="SY57" s="39"/>
      <c r="SZ57" s="39"/>
      <c r="TA57" s="606"/>
      <c r="TB57" s="606"/>
      <c r="TC57" s="606"/>
      <c r="TD57" s="606"/>
      <c r="TF57" s="950"/>
      <c r="TG57" s="20"/>
      <c r="TH57" s="610"/>
      <c r="TI57" s="78"/>
      <c r="TJ57" s="78"/>
      <c r="TK57" s="20"/>
      <c r="TL57" s="78"/>
      <c r="TM57" s="20"/>
      <c r="TN57" s="78"/>
      <c r="TO57" s="20"/>
      <c r="TP57" s="78"/>
      <c r="TQ57" s="20"/>
      <c r="TR57" s="78"/>
      <c r="TS57" s="20"/>
      <c r="TV57" s="20"/>
      <c r="TW57" s="20"/>
      <c r="TX57" s="20"/>
      <c r="TY57" s="20"/>
      <c r="TZ57" s="20"/>
      <c r="UA57" s="20"/>
      <c r="UB57" s="20"/>
      <c r="UC57" s="20"/>
      <c r="UD57" s="20"/>
      <c r="UE57" s="20"/>
      <c r="UF57" s="20"/>
      <c r="UG57" s="20"/>
      <c r="UH57" s="20"/>
      <c r="UJ57" s="521"/>
      <c r="UK57" s="20"/>
      <c r="UL57" s="610"/>
      <c r="UM57" s="633"/>
      <c r="UN57" s="633"/>
      <c r="UO57" s="633"/>
      <c r="UP57" s="633"/>
      <c r="UQ57" s="633"/>
      <c r="UR57" s="633"/>
      <c r="US57" s="633"/>
      <c r="UT57" s="633"/>
      <c r="UU57" s="633"/>
      <c r="UV57" s="633"/>
      <c r="UW57" s="633"/>
    </row>
    <row r="58" spans="1:569" ht="15" x14ac:dyDescent="0.25">
      <c r="A58" s="22">
        <f>ROW()</f>
        <v>58</v>
      </c>
      <c r="B58" s="524" t="s">
        <v>431</v>
      </c>
      <c r="D58" s="560"/>
      <c r="E58" s="880"/>
      <c r="F58" s="618">
        <f t="shared" si="196"/>
        <v>0</v>
      </c>
      <c r="G58" s="880">
        <v>0</v>
      </c>
      <c r="H58" s="618">
        <f t="shared" si="197"/>
        <v>0</v>
      </c>
      <c r="I58" s="880"/>
      <c r="J58" s="618">
        <f t="shared" si="198"/>
        <v>0</v>
      </c>
      <c r="K58" s="880"/>
      <c r="L58" s="618">
        <f t="shared" si="199"/>
        <v>0</v>
      </c>
      <c r="M58" s="880"/>
      <c r="N58" s="618">
        <f t="shared" si="192"/>
        <v>0</v>
      </c>
      <c r="O58" s="880"/>
      <c r="P58" s="618">
        <f t="shared" si="200"/>
        <v>0</v>
      </c>
      <c r="Q58" s="880"/>
      <c r="R58" s="618">
        <f t="shared" si="201"/>
        <v>0</v>
      </c>
      <c r="S58" s="529">
        <f>ROW()</f>
        <v>58</v>
      </c>
      <c r="T58" s="41" t="s">
        <v>259</v>
      </c>
      <c r="U58" s="893">
        <v>0.21</v>
      </c>
      <c r="V58" s="786">
        <f t="shared" ref="V58:AF58" si="207">V57*$U$58</f>
        <v>3032845.2033385653</v>
      </c>
      <c r="W58" s="786">
        <f t="shared" si="207"/>
        <v>-32286.424014708995</v>
      </c>
      <c r="X58" s="786">
        <f t="shared" si="207"/>
        <v>3000558.7793238396</v>
      </c>
      <c r="Y58" s="786">
        <f t="shared" si="207"/>
        <v>-3000558.7793238391</v>
      </c>
      <c r="Z58" s="668">
        <f t="shared" si="207"/>
        <v>0</v>
      </c>
      <c r="AA58" s="668">
        <f t="shared" si="207"/>
        <v>0</v>
      </c>
      <c r="AB58" s="668">
        <f t="shared" si="207"/>
        <v>0</v>
      </c>
      <c r="AC58" s="668">
        <f t="shared" si="207"/>
        <v>0</v>
      </c>
      <c r="AD58" s="668">
        <f t="shared" si="207"/>
        <v>0</v>
      </c>
      <c r="AE58" s="668">
        <f t="shared" si="207"/>
        <v>0</v>
      </c>
      <c r="AF58" s="668">
        <f t="shared" si="207"/>
        <v>0</v>
      </c>
      <c r="AG58" s="21"/>
      <c r="AH58" s="21"/>
      <c r="AI58" s="21"/>
      <c r="AJ58" s="21"/>
      <c r="AK58" s="529"/>
      <c r="AL58" s="523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IQ58" s="102"/>
      <c r="IR58" s="102"/>
      <c r="IS58" s="102"/>
      <c r="IT58" s="102"/>
      <c r="IU58" s="102"/>
      <c r="IV58" s="102"/>
      <c r="IW58" s="102"/>
      <c r="IX58" s="102"/>
      <c r="JI58" s="102"/>
      <c r="JJ58" s="102"/>
      <c r="JK58" s="102"/>
      <c r="JL58" s="102"/>
      <c r="JM58" s="102"/>
      <c r="JN58" s="102"/>
      <c r="JO58" s="102"/>
      <c r="JP58" s="102"/>
      <c r="JQ58" s="102"/>
      <c r="JR58" s="102"/>
      <c r="JS58" s="102"/>
      <c r="JT58" s="102"/>
      <c r="JU58" s="102"/>
      <c r="JV58" s="102"/>
      <c r="JW58" s="102"/>
      <c r="JX58" s="102"/>
      <c r="JY58" s="102"/>
      <c r="JZ58" s="102"/>
      <c r="NM58" s="30"/>
      <c r="NN58" s="881"/>
      <c r="NO58" s="20"/>
      <c r="NP58" s="619"/>
      <c r="NQ58" s="619"/>
      <c r="NR58" s="619"/>
      <c r="NS58" s="619"/>
      <c r="NT58" s="619"/>
      <c r="NU58" s="619"/>
      <c r="NV58" s="619"/>
      <c r="NW58" s="619"/>
      <c r="NX58" s="619"/>
      <c r="NY58" s="619"/>
      <c r="NZ58" s="619"/>
      <c r="OA58" s="641"/>
      <c r="OB58" s="641"/>
      <c r="OC58" s="641"/>
      <c r="OD58" s="641"/>
      <c r="OH58" s="102"/>
      <c r="OI58" s="102"/>
      <c r="OJ58" s="102"/>
      <c r="OK58" s="102"/>
      <c r="OL58" s="102"/>
      <c r="OM58" s="102"/>
      <c r="ON58" s="102"/>
      <c r="OO58" s="102"/>
      <c r="OP58" s="102"/>
      <c r="OQ58" s="102"/>
      <c r="OR58" s="102"/>
      <c r="OS58" s="102"/>
      <c r="OT58" s="102"/>
      <c r="OU58" s="102"/>
      <c r="OV58" s="102"/>
      <c r="OW58" s="102"/>
      <c r="OX58" s="1054"/>
      <c r="OY58" s="1054"/>
      <c r="OZ58" s="1202"/>
      <c r="PA58" s="561"/>
      <c r="PB58" s="561"/>
      <c r="PC58" s="561"/>
      <c r="PD58" s="561"/>
      <c r="PE58" s="78"/>
      <c r="PF58" s="78"/>
      <c r="PG58" s="78"/>
      <c r="PH58" s="78"/>
      <c r="PI58" s="78"/>
      <c r="PJ58" s="78"/>
      <c r="PK58" s="102"/>
      <c r="PL58" s="102"/>
      <c r="PM58" s="102"/>
      <c r="PN58" s="102"/>
      <c r="PO58" s="102"/>
      <c r="PP58" s="102"/>
      <c r="PQ58" s="102"/>
      <c r="PR58" s="102"/>
      <c r="SM58" s="521">
        <f>ROW()</f>
        <v>58</v>
      </c>
      <c r="SN58" s="102" t="s">
        <v>258</v>
      </c>
      <c r="SO58" s="608"/>
      <c r="SP58" s="606"/>
      <c r="SQ58" s="39"/>
      <c r="SR58" s="39"/>
      <c r="SS58" s="39">
        <f t="shared" ref="SS58:SZ58" si="208">SS56</f>
        <v>1286931.1299999999</v>
      </c>
      <c r="ST58" s="39">
        <f t="shared" si="208"/>
        <v>1286931.1299999999</v>
      </c>
      <c r="SU58" s="39">
        <f t="shared" si="208"/>
        <v>5436371.7800000012</v>
      </c>
      <c r="SV58" s="39">
        <f t="shared" si="208"/>
        <v>6723302.9100000011</v>
      </c>
      <c r="SW58" s="39">
        <f t="shared" si="208"/>
        <v>4452175.21</v>
      </c>
      <c r="SX58" s="39">
        <f t="shared" si="208"/>
        <v>11175478.120000001</v>
      </c>
      <c r="SY58" s="39">
        <f t="shared" si="208"/>
        <v>10658684.652639996</v>
      </c>
      <c r="SZ58" s="39">
        <f t="shared" si="208"/>
        <v>21834162.772639997</v>
      </c>
      <c r="TA58" s="606"/>
      <c r="TB58" s="606">
        <f>TB56</f>
        <v>21834162.772639997</v>
      </c>
      <c r="TC58" s="606"/>
      <c r="TD58" s="606">
        <f>TD56</f>
        <v>21834162.772639997</v>
      </c>
      <c r="TF58" s="950"/>
      <c r="TG58" s="20"/>
      <c r="TH58" s="610"/>
      <c r="TI58" s="78"/>
      <c r="TJ58" s="78"/>
      <c r="TK58" s="20"/>
      <c r="TL58" s="78"/>
      <c r="TM58" s="20"/>
      <c r="TN58" s="78"/>
      <c r="TO58" s="20"/>
      <c r="TP58" s="78"/>
      <c r="TQ58" s="20"/>
      <c r="TR58" s="78"/>
      <c r="TS58" s="20"/>
      <c r="TV58" s="694"/>
      <c r="TW58" s="694"/>
      <c r="TX58" s="694"/>
      <c r="TY58" s="694"/>
      <c r="TZ58" s="694"/>
      <c r="UA58" s="694"/>
      <c r="UB58" s="694"/>
      <c r="UC58" s="694"/>
      <c r="UD58" s="694"/>
      <c r="UE58" s="694"/>
      <c r="UF58" s="694"/>
      <c r="UG58" s="694"/>
      <c r="UH58" s="694"/>
      <c r="UJ58" s="521"/>
      <c r="UK58" s="20"/>
      <c r="UL58" s="610"/>
      <c r="UM58" s="633"/>
      <c r="UN58" s="633"/>
      <c r="UO58" s="633"/>
      <c r="UP58" s="633"/>
      <c r="UQ58" s="633"/>
      <c r="UR58" s="633"/>
      <c r="US58" s="633"/>
      <c r="UT58" s="633"/>
      <c r="UU58" s="633"/>
      <c r="UV58" s="633"/>
      <c r="UW58" s="633"/>
    </row>
    <row r="59" spans="1:569" ht="15.75" thickBot="1" x14ac:dyDescent="0.3">
      <c r="A59" s="22">
        <f>ROW()</f>
        <v>59</v>
      </c>
      <c r="B59" s="524" t="s">
        <v>432</v>
      </c>
      <c r="D59" s="560"/>
      <c r="E59" s="880"/>
      <c r="F59" s="618">
        <f t="shared" si="196"/>
        <v>0</v>
      </c>
      <c r="G59" s="880"/>
      <c r="H59" s="618">
        <f t="shared" si="197"/>
        <v>0</v>
      </c>
      <c r="I59" s="880"/>
      <c r="J59" s="618">
        <f t="shared" si="198"/>
        <v>0</v>
      </c>
      <c r="K59" s="880"/>
      <c r="L59" s="618">
        <f t="shared" si="199"/>
        <v>0</v>
      </c>
      <c r="M59" s="880"/>
      <c r="N59" s="618">
        <f t="shared" si="192"/>
        <v>0</v>
      </c>
      <c r="O59" s="880"/>
      <c r="P59" s="618">
        <f t="shared" si="200"/>
        <v>0</v>
      </c>
      <c r="Q59" s="880"/>
      <c r="R59" s="618">
        <f t="shared" si="201"/>
        <v>0</v>
      </c>
      <c r="S59" s="529">
        <f>ROW()</f>
        <v>59</v>
      </c>
      <c r="T59" s="41" t="s">
        <v>240</v>
      </c>
      <c r="U59" s="41"/>
      <c r="V59" s="804">
        <f t="shared" ref="V59:AF59" si="209">V57-V58</f>
        <v>11409274.812559364</v>
      </c>
      <c r="W59" s="804">
        <f t="shared" si="209"/>
        <v>-121458.45224581004</v>
      </c>
      <c r="X59" s="804">
        <f t="shared" si="209"/>
        <v>11287816.360313494</v>
      </c>
      <c r="Y59" s="804">
        <f t="shared" si="209"/>
        <v>-11287816.360313492</v>
      </c>
      <c r="Z59" s="708">
        <f t="shared" si="209"/>
        <v>0</v>
      </c>
      <c r="AA59" s="708">
        <f t="shared" si="209"/>
        <v>0</v>
      </c>
      <c r="AB59" s="708">
        <f t="shared" si="209"/>
        <v>0</v>
      </c>
      <c r="AC59" s="708">
        <f t="shared" si="209"/>
        <v>0</v>
      </c>
      <c r="AD59" s="708">
        <f t="shared" si="209"/>
        <v>0</v>
      </c>
      <c r="AE59" s="708">
        <f t="shared" si="209"/>
        <v>0</v>
      </c>
      <c r="AF59" s="708">
        <f t="shared" si="209"/>
        <v>0</v>
      </c>
      <c r="AG59" s="20"/>
      <c r="AH59" s="20"/>
      <c r="AI59" s="20"/>
      <c r="AJ59" s="20"/>
      <c r="AK59" s="529"/>
      <c r="AL59" s="1187"/>
      <c r="AM59" s="30"/>
      <c r="AN59" s="591"/>
      <c r="AO59" s="591"/>
      <c r="AP59" s="591"/>
      <c r="AQ59" s="591"/>
      <c r="AR59" s="591"/>
      <c r="AS59" s="591"/>
      <c r="AT59" s="591"/>
      <c r="AU59" s="591"/>
      <c r="AV59" s="591"/>
      <c r="AW59" s="591"/>
      <c r="AX59" s="591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IQ59" s="102"/>
      <c r="IR59" s="102"/>
      <c r="IS59" s="102"/>
      <c r="IT59" s="102"/>
      <c r="IU59" s="102"/>
      <c r="IV59" s="102"/>
      <c r="IW59" s="102"/>
      <c r="IX59" s="102"/>
      <c r="JI59" s="102"/>
      <c r="JJ59" s="102"/>
      <c r="JK59" s="102"/>
      <c r="JL59" s="102"/>
      <c r="JM59" s="102"/>
      <c r="JN59" s="102"/>
      <c r="JO59" s="102"/>
      <c r="JP59" s="102"/>
      <c r="JQ59" s="102"/>
      <c r="JR59" s="102"/>
      <c r="JS59" s="102"/>
      <c r="JT59" s="102"/>
      <c r="JU59" s="102"/>
      <c r="JV59" s="102"/>
      <c r="JW59" s="102"/>
      <c r="JX59" s="102"/>
      <c r="JY59" s="102"/>
      <c r="JZ59" s="102"/>
      <c r="KA59" s="482"/>
      <c r="NM59" s="30"/>
      <c r="NN59" s="842"/>
      <c r="NO59" s="20"/>
      <c r="NP59" s="619"/>
      <c r="NQ59" s="619"/>
      <c r="NR59" s="619"/>
      <c r="NS59" s="619"/>
      <c r="NT59" s="619"/>
      <c r="NU59" s="619"/>
      <c r="NV59" s="619"/>
      <c r="NW59" s="619"/>
      <c r="NX59" s="619"/>
      <c r="NY59" s="619"/>
      <c r="NZ59" s="619"/>
      <c r="OA59" s="641"/>
      <c r="OB59" s="641"/>
      <c r="OC59" s="641"/>
      <c r="OD59" s="641"/>
      <c r="OH59" s="102"/>
      <c r="OI59" s="102"/>
      <c r="OJ59" s="102"/>
      <c r="OK59" s="102"/>
      <c r="OL59" s="102"/>
      <c r="OM59" s="102"/>
      <c r="ON59" s="102"/>
      <c r="OO59" s="102"/>
      <c r="OP59" s="102"/>
      <c r="OQ59" s="102"/>
      <c r="OR59" s="102"/>
      <c r="OS59" s="102"/>
      <c r="OT59" s="102"/>
      <c r="OU59" s="102"/>
      <c r="OV59" s="102"/>
      <c r="OW59" s="102"/>
      <c r="OX59" s="1203"/>
      <c r="OY59" s="1203"/>
      <c r="OZ59" s="624"/>
      <c r="PA59" s="624"/>
      <c r="PB59" s="624"/>
      <c r="PC59" s="624"/>
      <c r="PD59" s="600"/>
      <c r="PE59" s="624"/>
      <c r="PF59" s="646"/>
      <c r="PG59" s="624"/>
      <c r="PH59" s="647"/>
      <c r="PI59" s="624"/>
      <c r="PJ59" s="647"/>
      <c r="PK59" s="102"/>
      <c r="PL59" s="102"/>
      <c r="PM59" s="102"/>
      <c r="PN59" s="102"/>
      <c r="PO59" s="102"/>
      <c r="PP59" s="102"/>
      <c r="PQ59" s="102"/>
      <c r="PR59" s="102"/>
      <c r="SM59" s="521">
        <f>ROW()</f>
        <v>59</v>
      </c>
      <c r="SO59" s="608"/>
      <c r="SP59" s="568"/>
      <c r="SQ59" s="1210"/>
      <c r="SR59" s="1210"/>
      <c r="SS59" s="1210"/>
      <c r="ST59" s="1210"/>
      <c r="SU59" s="1210"/>
      <c r="SV59" s="1210"/>
      <c r="SW59" s="1210"/>
      <c r="SX59" s="1210"/>
      <c r="SY59" s="1210"/>
      <c r="SZ59" s="1210"/>
      <c r="TA59" s="568"/>
      <c r="TB59" s="568"/>
      <c r="TC59" s="568"/>
      <c r="TD59" s="568"/>
      <c r="TF59" s="950"/>
      <c r="TG59" s="17"/>
      <c r="TH59" s="610"/>
      <c r="TI59" s="651"/>
      <c r="TJ59" s="651"/>
      <c r="TK59" s="17"/>
      <c r="TL59" s="651"/>
      <c r="TM59" s="17"/>
      <c r="TN59" s="651"/>
      <c r="TO59" s="17"/>
      <c r="TP59" s="651"/>
      <c r="TQ59" s="17"/>
      <c r="TR59" s="651"/>
      <c r="TS59" s="17"/>
      <c r="TV59" s="694"/>
      <c r="TW59" s="694"/>
      <c r="TX59" s="694"/>
      <c r="TY59" s="694"/>
      <c r="TZ59" s="694"/>
      <c r="UA59" s="694"/>
      <c r="UB59" s="694"/>
      <c r="UC59" s="694"/>
      <c r="UD59" s="694"/>
      <c r="UE59" s="694"/>
      <c r="UF59" s="694"/>
      <c r="UG59" s="694"/>
      <c r="UH59" s="694"/>
      <c r="UJ59" s="521"/>
      <c r="UK59" s="102" t="str">
        <f>UPPER(UK34)</f>
        <v/>
      </c>
      <c r="UL59" s="610"/>
      <c r="UM59" s="633"/>
      <c r="UN59" s="633"/>
      <c r="UO59" s="633"/>
      <c r="UP59" s="633"/>
      <c r="UQ59" s="633"/>
      <c r="UR59" s="633"/>
      <c r="US59" s="633"/>
      <c r="UT59" s="633"/>
      <c r="UU59" s="633"/>
      <c r="UV59" s="633"/>
      <c r="UW59" s="633"/>
    </row>
    <row r="60" spans="1:569" ht="15.75" thickTop="1" x14ac:dyDescent="0.25">
      <c r="A60" s="22">
        <f>ROW()</f>
        <v>60</v>
      </c>
      <c r="B60" s="524" t="s">
        <v>433</v>
      </c>
      <c r="D60" s="560"/>
      <c r="E60" s="880"/>
      <c r="F60" s="618">
        <f t="shared" si="196"/>
        <v>0</v>
      </c>
      <c r="G60" s="880">
        <v>-1389380.02</v>
      </c>
      <c r="H60" s="618">
        <f t="shared" si="197"/>
        <v>-1389380.02</v>
      </c>
      <c r="I60" s="880"/>
      <c r="J60" s="618">
        <f t="shared" si="198"/>
        <v>-1389380.02</v>
      </c>
      <c r="K60" s="880"/>
      <c r="L60" s="618">
        <f t="shared" si="199"/>
        <v>-1389380.02</v>
      </c>
      <c r="M60" s="880"/>
      <c r="N60" s="618">
        <f t="shared" si="192"/>
        <v>-1389380.02</v>
      </c>
      <c r="O60" s="880"/>
      <c r="P60" s="618">
        <f t="shared" si="200"/>
        <v>-1389380.02</v>
      </c>
      <c r="Q60" s="880"/>
      <c r="R60" s="618">
        <f t="shared" si="201"/>
        <v>-1389380.02</v>
      </c>
      <c r="S60" s="529">
        <f>ROW()</f>
        <v>60</v>
      </c>
      <c r="AG60" s="20"/>
      <c r="AH60" s="20"/>
      <c r="AI60" s="20"/>
      <c r="AJ60" s="20"/>
      <c r="AK60" s="529"/>
      <c r="AL60" s="1188"/>
      <c r="AM60" s="1189"/>
      <c r="AN60" s="1189"/>
      <c r="AO60" s="1189"/>
      <c r="AP60" s="1189"/>
      <c r="AQ60" s="1189"/>
      <c r="AR60" s="1189"/>
      <c r="AS60" s="1189"/>
      <c r="AT60" s="1189"/>
      <c r="AU60" s="1189"/>
      <c r="AV60" s="1189"/>
      <c r="AW60" s="1189"/>
      <c r="AX60" s="1189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IQ60" s="102"/>
      <c r="IR60" s="102"/>
      <c r="IS60" s="102"/>
      <c r="IT60" s="102"/>
      <c r="IU60" s="102"/>
      <c r="IV60" s="102"/>
      <c r="IW60" s="102"/>
      <c r="IX60" s="102"/>
      <c r="JI60" s="102"/>
      <c r="JJ60" s="102"/>
      <c r="JK60" s="102"/>
      <c r="JL60" s="102"/>
      <c r="JM60" s="102"/>
      <c r="JN60" s="102"/>
      <c r="JO60" s="102"/>
      <c r="JP60" s="102"/>
      <c r="JQ60" s="102"/>
      <c r="JR60" s="102"/>
      <c r="JS60" s="102"/>
      <c r="JT60" s="102"/>
      <c r="JU60" s="102"/>
      <c r="JV60" s="102"/>
      <c r="JW60" s="102"/>
      <c r="JX60" s="102"/>
      <c r="JY60" s="102"/>
      <c r="JZ60" s="102"/>
      <c r="KA60" s="482"/>
      <c r="NM60" s="30"/>
      <c r="NN60" s="842"/>
      <c r="NO60" s="20"/>
      <c r="NP60" s="619"/>
      <c r="NQ60" s="619"/>
      <c r="NR60" s="619"/>
      <c r="NS60" s="619"/>
      <c r="NT60" s="619"/>
      <c r="NU60" s="619"/>
      <c r="NV60" s="619"/>
      <c r="NW60" s="619"/>
      <c r="NX60" s="619"/>
      <c r="NY60" s="619"/>
      <c r="NZ60" s="619"/>
      <c r="OA60" s="641"/>
      <c r="OB60" s="641"/>
      <c r="OC60" s="641"/>
      <c r="OD60" s="641"/>
      <c r="OH60" s="102"/>
      <c r="OI60" s="102"/>
      <c r="OJ60" s="102"/>
      <c r="OK60" s="102"/>
      <c r="OL60" s="102"/>
      <c r="OM60" s="102"/>
      <c r="ON60" s="102"/>
      <c r="OO60" s="102"/>
      <c r="OP60" s="102"/>
      <c r="OQ60" s="102"/>
      <c r="OR60" s="102"/>
      <c r="OS60" s="102"/>
      <c r="OT60" s="102"/>
      <c r="OU60" s="102"/>
      <c r="OV60" s="102"/>
      <c r="OW60" s="102"/>
      <c r="OX60" s="1203"/>
      <c r="OY60" s="1203"/>
      <c r="OZ60" s="63"/>
      <c r="PA60" s="63"/>
      <c r="PB60" s="63"/>
      <c r="PC60" s="63"/>
      <c r="PD60" s="600"/>
      <c r="PE60" s="63"/>
      <c r="PF60" s="646"/>
      <c r="PG60" s="63"/>
      <c r="PH60" s="667"/>
      <c r="PI60" s="63"/>
      <c r="PJ60" s="667"/>
      <c r="PK60" s="102"/>
      <c r="PL60" s="102"/>
      <c r="PM60" s="102"/>
      <c r="PN60" s="102"/>
      <c r="PO60" s="102"/>
      <c r="PP60" s="102"/>
      <c r="PQ60" s="102"/>
      <c r="PR60" s="102"/>
      <c r="SM60" s="521">
        <f>ROW()</f>
        <v>60</v>
      </c>
      <c r="SN60" s="102" t="s">
        <v>259</v>
      </c>
      <c r="SO60" s="608">
        <v>0.21</v>
      </c>
      <c r="SP60" s="669"/>
      <c r="SQ60" s="745"/>
      <c r="SR60" s="745"/>
      <c r="SS60" s="745">
        <f>SS58*-$SO$60</f>
        <v>-270255.53729999997</v>
      </c>
      <c r="ST60" s="745">
        <f t="shared" ref="ST60:SY60" si="210">ST58*-$SO$60</f>
        <v>-270255.53729999997</v>
      </c>
      <c r="SU60" s="745">
        <f t="shared" si="210"/>
        <v>-1141638.0738000001</v>
      </c>
      <c r="SV60" s="745">
        <f t="shared" si="210"/>
        <v>-1411893.6111000001</v>
      </c>
      <c r="SW60" s="745">
        <f t="shared" si="210"/>
        <v>-934956.79409999994</v>
      </c>
      <c r="SX60" s="745">
        <f t="shared" si="210"/>
        <v>-2346850.4051999999</v>
      </c>
      <c r="SY60" s="745">
        <f t="shared" si="210"/>
        <v>-2238323.7770543993</v>
      </c>
      <c r="SZ60" s="745">
        <f>SZ58*-$SO$60</f>
        <v>-4585174.1822543992</v>
      </c>
      <c r="TA60" s="669">
        <f>TA58*-$SO$60</f>
        <v>0</v>
      </c>
      <c r="TB60" s="669">
        <f>TB58*-$SO$60</f>
        <v>-4585174.1822543992</v>
      </c>
      <c r="TC60" s="669">
        <f>TC58*-$SO$60</f>
        <v>0</v>
      </c>
      <c r="TD60" s="669">
        <f>TD58*-$SO$60</f>
        <v>-4585174.1822543992</v>
      </c>
      <c r="TF60" s="950"/>
      <c r="TG60" s="477"/>
      <c r="TH60" s="610"/>
      <c r="TI60" s="651"/>
      <c r="TJ60" s="651"/>
      <c r="TK60" s="17"/>
      <c r="TL60" s="651"/>
      <c r="TM60" s="17"/>
      <c r="TN60" s="651"/>
      <c r="TO60" s="17"/>
      <c r="TP60" s="651"/>
      <c r="TQ60" s="17"/>
      <c r="TR60" s="651"/>
      <c r="TS60" s="17"/>
      <c r="TV60" s="694"/>
      <c r="TW60" s="694"/>
      <c r="TX60" s="694"/>
      <c r="TY60" s="694"/>
      <c r="TZ60" s="694"/>
      <c r="UA60" s="694"/>
      <c r="UB60" s="694"/>
      <c r="UC60" s="694"/>
      <c r="UD60" s="694"/>
      <c r="UE60" s="694"/>
      <c r="UF60" s="694"/>
      <c r="UG60" s="694"/>
      <c r="UH60" s="694"/>
      <c r="UJ60" s="521"/>
      <c r="UK60" s="102" t="str">
        <f>UPPER(UK35)</f>
        <v/>
      </c>
      <c r="UL60" s="610"/>
      <c r="UM60" s="861"/>
      <c r="UN60" s="861"/>
      <c r="UO60" s="861"/>
      <c r="UP60" s="861"/>
      <c r="UQ60" s="861"/>
      <c r="UR60" s="861"/>
      <c r="US60" s="861"/>
      <c r="UT60" s="861"/>
      <c r="UU60" s="861"/>
      <c r="UV60" s="861"/>
      <c r="UW60" s="861"/>
    </row>
    <row r="61" spans="1:569" ht="15" x14ac:dyDescent="0.25">
      <c r="A61" s="13">
        <f>ROW()</f>
        <v>61</v>
      </c>
      <c r="B61" s="524" t="s">
        <v>434</v>
      </c>
      <c r="D61" s="560"/>
      <c r="E61" s="880"/>
      <c r="F61" s="618">
        <f t="shared" si="196"/>
        <v>0</v>
      </c>
      <c r="G61" s="880"/>
      <c r="H61" s="618">
        <f t="shared" si="197"/>
        <v>0</v>
      </c>
      <c r="I61" s="880"/>
      <c r="J61" s="618">
        <f t="shared" si="198"/>
        <v>0</v>
      </c>
      <c r="K61" s="880">
        <v>-1308151.5911948793</v>
      </c>
      <c r="L61" s="618">
        <f t="shared" si="199"/>
        <v>-1308151.5911948793</v>
      </c>
      <c r="M61" s="880">
        <v>4224790.6063043475</v>
      </c>
      <c r="N61" s="618">
        <f t="shared" si="192"/>
        <v>2916639.0151094683</v>
      </c>
      <c r="O61" s="894"/>
      <c r="P61" s="618">
        <f t="shared" si="200"/>
        <v>2916639.0151094683</v>
      </c>
      <c r="Q61" s="894"/>
      <c r="R61" s="618">
        <f t="shared" si="201"/>
        <v>2916639.0151094683</v>
      </c>
      <c r="S61" s="529">
        <f>ROW()</f>
        <v>61</v>
      </c>
      <c r="T61" s="895"/>
      <c r="U61" s="895"/>
      <c r="V61" s="895"/>
      <c r="W61" s="895"/>
      <c r="X61" s="895"/>
      <c r="Y61" s="895"/>
      <c r="Z61" s="895"/>
      <c r="AA61" s="895"/>
      <c r="AB61" s="895"/>
      <c r="AC61" s="895"/>
      <c r="AD61" s="895"/>
      <c r="AE61" s="895"/>
      <c r="AF61" s="895"/>
      <c r="AG61" s="21"/>
      <c r="AH61" s="21"/>
      <c r="AI61" s="21"/>
      <c r="AJ61" s="21"/>
      <c r="AK61" s="529"/>
      <c r="AL61" s="1187"/>
      <c r="AM61" s="776"/>
      <c r="AN61" s="1190"/>
      <c r="AO61" s="1190"/>
      <c r="AP61" s="1190"/>
      <c r="AQ61" s="1190"/>
      <c r="AR61" s="1190"/>
      <c r="AS61" s="1190"/>
      <c r="AT61" s="1190"/>
      <c r="AU61" s="1190"/>
      <c r="AV61" s="1190"/>
      <c r="AW61" s="1190"/>
      <c r="AX61" s="1190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IQ61" s="102"/>
      <c r="IR61" s="102"/>
      <c r="IS61" s="102"/>
      <c r="IT61" s="102"/>
      <c r="IU61" s="102"/>
      <c r="IV61" s="102"/>
      <c r="IW61" s="102"/>
      <c r="IX61" s="102"/>
      <c r="JI61" s="102"/>
      <c r="JJ61" s="102"/>
      <c r="JK61" s="102"/>
      <c r="JL61" s="102"/>
      <c r="JM61" s="102"/>
      <c r="JN61" s="102"/>
      <c r="JO61" s="102"/>
      <c r="JP61" s="102"/>
      <c r="JQ61" s="102"/>
      <c r="JR61" s="102"/>
      <c r="JS61" s="102"/>
      <c r="JT61" s="102"/>
      <c r="JU61" s="102"/>
      <c r="JV61" s="102"/>
      <c r="JW61" s="102"/>
      <c r="JX61" s="102"/>
      <c r="JY61" s="102"/>
      <c r="JZ61" s="102"/>
      <c r="NM61" s="30"/>
      <c r="NN61" s="842"/>
      <c r="NO61" s="20"/>
      <c r="NP61" s="619"/>
      <c r="NQ61" s="619"/>
      <c r="NR61" s="619"/>
      <c r="NS61" s="619"/>
      <c r="NT61" s="619"/>
      <c r="NU61" s="619"/>
      <c r="NV61" s="619"/>
      <c r="NW61" s="619"/>
      <c r="NX61" s="619"/>
      <c r="NY61" s="619"/>
      <c r="NZ61" s="619"/>
      <c r="OA61" s="641"/>
      <c r="OB61" s="641"/>
      <c r="OC61" s="641"/>
      <c r="OD61" s="641"/>
      <c r="OH61" s="102"/>
      <c r="OI61" s="102"/>
      <c r="OJ61" s="102"/>
      <c r="OK61" s="102"/>
      <c r="OL61" s="102"/>
      <c r="OM61" s="102"/>
      <c r="ON61" s="102"/>
      <c r="OO61" s="102"/>
      <c r="OP61" s="102"/>
      <c r="OQ61" s="102"/>
      <c r="OR61" s="102"/>
      <c r="OS61" s="102"/>
      <c r="OT61" s="102"/>
      <c r="OU61" s="102"/>
      <c r="OV61" s="102"/>
      <c r="OW61" s="102"/>
      <c r="OX61" s="1203"/>
      <c r="OY61" s="1203"/>
      <c r="OZ61" s="63"/>
      <c r="PA61" s="63"/>
      <c r="PB61" s="63"/>
      <c r="PC61" s="600"/>
      <c r="PD61" s="600"/>
      <c r="PE61" s="600"/>
      <c r="PF61" s="646"/>
      <c r="PG61" s="600"/>
      <c r="PH61" s="42"/>
      <c r="PI61" s="600"/>
      <c r="PJ61" s="42"/>
      <c r="PK61" s="102"/>
      <c r="PL61" s="102"/>
      <c r="PM61" s="102"/>
      <c r="PN61" s="102"/>
      <c r="PO61" s="102"/>
      <c r="PP61" s="102"/>
      <c r="PQ61" s="102"/>
      <c r="PR61" s="102"/>
      <c r="SM61" s="521">
        <f>ROW()</f>
        <v>61</v>
      </c>
      <c r="SO61" s="608"/>
      <c r="SP61" s="760"/>
      <c r="SQ61" s="36"/>
      <c r="SR61" s="36"/>
      <c r="SS61" s="36"/>
      <c r="ST61" s="36"/>
      <c r="SU61" s="36"/>
      <c r="SV61" s="36"/>
      <c r="SW61" s="36"/>
      <c r="SX61" s="36"/>
      <c r="SY61" s="36"/>
      <c r="SZ61" s="36"/>
      <c r="TA61" s="760"/>
      <c r="TB61" s="760"/>
      <c r="TC61" s="760"/>
      <c r="TD61" s="760"/>
      <c r="TF61" s="950"/>
      <c r="TG61" s="555"/>
      <c r="TH61" s="610"/>
      <c r="TI61" s="51"/>
      <c r="TJ61" s="51"/>
      <c r="TK61" s="51"/>
      <c r="TL61" s="51"/>
      <c r="TM61" s="51"/>
      <c r="TN61" s="51"/>
      <c r="TO61" s="51"/>
      <c r="TP61" s="51"/>
      <c r="TQ61" s="51"/>
      <c r="TR61" s="51"/>
      <c r="TS61" s="51"/>
      <c r="TV61" s="694"/>
      <c r="TW61" s="694"/>
      <c r="TX61" s="694"/>
      <c r="TY61" s="694"/>
      <c r="TZ61" s="694"/>
      <c r="UA61" s="694"/>
      <c r="UB61" s="694"/>
      <c r="UC61" s="694"/>
      <c r="UD61" s="694"/>
      <c r="UE61" s="694"/>
      <c r="UF61" s="694"/>
      <c r="UG61" s="694"/>
      <c r="UH61" s="694"/>
      <c r="UJ61" s="521"/>
      <c r="UK61" s="20"/>
      <c r="UL61" s="610"/>
      <c r="UM61" s="633"/>
      <c r="UN61" s="633"/>
      <c r="UO61" s="633"/>
      <c r="UP61" s="633"/>
      <c r="UQ61" s="633"/>
      <c r="UR61" s="633"/>
      <c r="US61" s="633"/>
      <c r="UT61" s="633"/>
      <c r="UU61" s="633"/>
      <c r="UV61" s="633"/>
      <c r="UW61" s="633"/>
    </row>
    <row r="62" spans="1:569" ht="15.75" thickBot="1" x14ac:dyDescent="0.3">
      <c r="A62" s="22">
        <f>ROW()</f>
        <v>62</v>
      </c>
      <c r="B62" s="510" t="s">
        <v>435</v>
      </c>
      <c r="C62" s="23"/>
      <c r="D62" s="896">
        <f>SUM(D49:D61)</f>
        <v>4832032.66</v>
      </c>
      <c r="E62" s="897">
        <f t="shared" ref="E62:R62" si="211">SUM(E49:E61)</f>
        <v>-4832032.66</v>
      </c>
      <c r="F62" s="897">
        <f t="shared" si="211"/>
        <v>0</v>
      </c>
      <c r="G62" s="897">
        <f t="shared" si="211"/>
        <v>42410003.579999991</v>
      </c>
      <c r="H62" s="897">
        <f t="shared" si="211"/>
        <v>42410003.579999991</v>
      </c>
      <c r="I62" s="897">
        <f t="shared" si="211"/>
        <v>0</v>
      </c>
      <c r="J62" s="897">
        <f t="shared" si="211"/>
        <v>42410003.579999991</v>
      </c>
      <c r="K62" s="897">
        <f t="shared" si="211"/>
        <v>-1935796.9378028773</v>
      </c>
      <c r="L62" s="897">
        <f t="shared" si="211"/>
        <v>40474206.642197117</v>
      </c>
      <c r="M62" s="897">
        <f t="shared" si="211"/>
        <v>4841336.3654877078</v>
      </c>
      <c r="N62" s="897">
        <f t="shared" si="211"/>
        <v>45315543.007684827</v>
      </c>
      <c r="O62" s="897">
        <f t="shared" si="211"/>
        <v>0</v>
      </c>
      <c r="P62" s="897">
        <f t="shared" si="211"/>
        <v>45315543.007684827</v>
      </c>
      <c r="Q62" s="897">
        <f t="shared" si="211"/>
        <v>0</v>
      </c>
      <c r="R62" s="897">
        <f t="shared" si="211"/>
        <v>45315543.007684827</v>
      </c>
      <c r="S62" s="529">
        <f>ROW()</f>
        <v>62</v>
      </c>
      <c r="T62" s="1" t="s">
        <v>82</v>
      </c>
      <c r="V62" s="51">
        <f t="shared" ref="V62:AF62" si="212">SUM(V17:V19,V21:V24,V26,V28,V33:V33,V30:V31)</f>
        <v>304125471.57553309</v>
      </c>
      <c r="W62" s="51">
        <f t="shared" si="212"/>
        <v>-286618901.86553311</v>
      </c>
      <c r="X62" s="51">
        <f t="shared" si="212"/>
        <v>17506569.710000001</v>
      </c>
      <c r="Y62" s="51">
        <f t="shared" si="212"/>
        <v>-17506569.710000001</v>
      </c>
      <c r="Z62" s="51">
        <f t="shared" si="212"/>
        <v>0</v>
      </c>
      <c r="AA62" s="51">
        <f t="shared" si="212"/>
        <v>0</v>
      </c>
      <c r="AB62" s="51">
        <f t="shared" si="212"/>
        <v>0</v>
      </c>
      <c r="AC62" s="51">
        <f t="shared" si="212"/>
        <v>0</v>
      </c>
      <c r="AD62" s="51">
        <f t="shared" si="212"/>
        <v>0</v>
      </c>
      <c r="AE62" s="51">
        <f t="shared" si="212"/>
        <v>0</v>
      </c>
      <c r="AF62" s="51">
        <f t="shared" si="212"/>
        <v>0</v>
      </c>
      <c r="AG62" s="78"/>
      <c r="AH62" s="78"/>
      <c r="AI62" s="78"/>
      <c r="AJ62" s="78"/>
      <c r="AK62" s="529"/>
      <c r="AL62" s="776"/>
      <c r="AM62" s="776"/>
      <c r="AN62" s="776"/>
      <c r="AO62" s="776"/>
      <c r="AP62" s="776"/>
      <c r="AQ62" s="776"/>
      <c r="AR62" s="776"/>
      <c r="AS62" s="776"/>
      <c r="AT62" s="776"/>
      <c r="AU62" s="776"/>
      <c r="AV62" s="776"/>
      <c r="AW62" s="776"/>
      <c r="AX62" s="776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IQ62" s="102"/>
      <c r="IR62" s="102"/>
      <c r="IS62" s="102"/>
      <c r="IT62" s="102"/>
      <c r="IU62" s="102"/>
      <c r="IV62" s="102"/>
      <c r="IW62" s="102"/>
      <c r="IX62" s="102"/>
      <c r="JI62" s="102"/>
      <c r="JJ62" s="102"/>
      <c r="JK62" s="102"/>
      <c r="JL62" s="102"/>
      <c r="JM62" s="102"/>
      <c r="JN62" s="102"/>
      <c r="JO62" s="102"/>
      <c r="JP62" s="102"/>
      <c r="JQ62" s="102"/>
      <c r="JR62" s="102"/>
      <c r="JS62" s="102"/>
      <c r="JT62" s="102"/>
      <c r="JU62" s="102"/>
      <c r="JV62" s="102"/>
      <c r="JW62" s="102"/>
      <c r="JX62" s="102"/>
      <c r="JY62" s="102"/>
      <c r="JZ62" s="102"/>
      <c r="NM62" s="30"/>
      <c r="NN62" s="842"/>
      <c r="NO62" s="20"/>
      <c r="NP62" s="619"/>
      <c r="NQ62" s="619"/>
      <c r="NR62" s="619"/>
      <c r="NS62" s="619"/>
      <c r="NT62" s="619"/>
      <c r="NU62" s="619"/>
      <c r="NV62" s="619"/>
      <c r="NW62" s="619"/>
      <c r="NX62" s="619"/>
      <c r="NY62" s="619"/>
      <c r="NZ62" s="619"/>
      <c r="OA62" s="641"/>
      <c r="OB62" s="641"/>
      <c r="OC62" s="641"/>
      <c r="OD62" s="641"/>
      <c r="OH62" s="102"/>
      <c r="OI62" s="102"/>
      <c r="OJ62" s="102"/>
      <c r="OK62" s="102"/>
      <c r="OL62" s="102"/>
      <c r="OM62" s="102"/>
      <c r="ON62" s="102"/>
      <c r="OO62" s="102"/>
      <c r="OP62" s="102"/>
      <c r="OQ62" s="102"/>
      <c r="OR62" s="102"/>
      <c r="OS62" s="102"/>
      <c r="OT62" s="102"/>
      <c r="OU62" s="102"/>
      <c r="OV62" s="102"/>
      <c r="OW62" s="102"/>
      <c r="OX62" s="4"/>
      <c r="OY62" s="1203"/>
      <c r="OZ62" s="1162"/>
      <c r="PA62" s="1162"/>
      <c r="PB62" s="1204"/>
      <c r="PC62" s="1204"/>
      <c r="PD62" s="1204"/>
      <c r="PE62" s="1204"/>
      <c r="PF62" s="1204"/>
      <c r="PG62" s="1204"/>
      <c r="PH62" s="1162"/>
      <c r="PI62" s="1204"/>
      <c r="PJ62" s="1162"/>
      <c r="PK62" s="102"/>
      <c r="PL62" s="102"/>
      <c r="PM62" s="102"/>
      <c r="PN62" s="102"/>
      <c r="PO62" s="102"/>
      <c r="PP62" s="102"/>
      <c r="PQ62" s="102"/>
      <c r="PR62" s="102"/>
      <c r="SM62" s="521">
        <f>ROW()</f>
        <v>62</v>
      </c>
      <c r="SN62" s="102" t="s">
        <v>240</v>
      </c>
      <c r="SO62" s="608"/>
      <c r="SP62" s="773"/>
      <c r="SQ62" s="1209"/>
      <c r="SR62" s="1209"/>
      <c r="SS62" s="1209">
        <f>-SS58-SS60</f>
        <v>-1016675.5926999999</v>
      </c>
      <c r="ST62" s="1209">
        <f t="shared" ref="ST62:SY62" si="213">-ST58-ST60</f>
        <v>-1016675.5926999999</v>
      </c>
      <c r="SU62" s="1209">
        <f t="shared" si="213"/>
        <v>-4294733.7062000008</v>
      </c>
      <c r="SV62" s="1209">
        <f t="shared" si="213"/>
        <v>-5311409.2989000008</v>
      </c>
      <c r="SW62" s="1209">
        <f t="shared" si="213"/>
        <v>-3517218.4158999999</v>
      </c>
      <c r="SX62" s="1209">
        <f t="shared" si="213"/>
        <v>-8828627.7148000002</v>
      </c>
      <c r="SY62" s="1209">
        <f t="shared" si="213"/>
        <v>-8420360.875585597</v>
      </c>
      <c r="SZ62" s="1209">
        <f>-SZ58-SZ60</f>
        <v>-17248988.590385597</v>
      </c>
      <c r="TA62" s="773">
        <f>-TA58-TA60</f>
        <v>0</v>
      </c>
      <c r="TB62" s="773">
        <f>-TB58-TB60</f>
        <v>-17248988.590385597</v>
      </c>
      <c r="TC62" s="773">
        <f>-TC58-TC60</f>
        <v>0</v>
      </c>
      <c r="TD62" s="773">
        <f>-TD58-TD60</f>
        <v>-17248988.590385597</v>
      </c>
      <c r="TF62" s="950"/>
      <c r="TG62" s="555"/>
      <c r="TH62" s="610"/>
      <c r="TI62" s="78"/>
      <c r="TJ62" s="78"/>
      <c r="TK62" s="78"/>
      <c r="TL62" s="78"/>
      <c r="TM62" s="78"/>
      <c r="TN62" s="78"/>
      <c r="TO62" s="78"/>
      <c r="TP62" s="78"/>
      <c r="TQ62" s="78"/>
      <c r="TR62" s="78"/>
      <c r="TS62" s="78"/>
      <c r="TV62" s="694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J62" s="521"/>
      <c r="UK62" s="20"/>
      <c r="UL62" s="610"/>
      <c r="UM62" s="72"/>
      <c r="UN62" s="72"/>
      <c r="UO62" s="72"/>
      <c r="UP62" s="72"/>
      <c r="UQ62" s="72"/>
      <c r="UR62" s="72"/>
      <c r="US62" s="72"/>
      <c r="UT62" s="72"/>
      <c r="UU62" s="72"/>
      <c r="UV62" s="72"/>
      <c r="UW62" s="72"/>
    </row>
    <row r="63" spans="1:569" ht="15.75" thickTop="1" x14ac:dyDescent="0.25">
      <c r="A63" s="22">
        <f>ROW()</f>
        <v>63</v>
      </c>
      <c r="B63" s="540" t="s">
        <v>436</v>
      </c>
      <c r="C63" s="489"/>
      <c r="D63" s="875">
        <f>D46+D62</f>
        <v>170675448.13184497</v>
      </c>
      <c r="E63" s="875">
        <f t="shared" ref="E63:R63" si="214">E46+E62</f>
        <v>112330966.88713682</v>
      </c>
      <c r="F63" s="875">
        <f t="shared" si="214"/>
        <v>283006415.0189817</v>
      </c>
      <c r="G63" s="875">
        <f t="shared" si="214"/>
        <v>-240596411.43898171</v>
      </c>
      <c r="H63" s="875">
        <f t="shared" si="214"/>
        <v>42410003.579999991</v>
      </c>
      <c r="I63" s="747">
        <f t="shared" si="214"/>
        <v>12111248.292725325</v>
      </c>
      <c r="J63" s="747">
        <f t="shared" si="214"/>
        <v>54521251.872725315</v>
      </c>
      <c r="K63" s="875">
        <f t="shared" si="214"/>
        <v>7813732.1925112344</v>
      </c>
      <c r="L63" s="747">
        <f t="shared" si="214"/>
        <v>62334984.065236554</v>
      </c>
      <c r="M63" s="875">
        <f t="shared" si="214"/>
        <v>27230417.353753224</v>
      </c>
      <c r="N63" s="747">
        <f t="shared" si="214"/>
        <v>89565401.418989778</v>
      </c>
      <c r="O63" s="875">
        <f t="shared" si="214"/>
        <v>0</v>
      </c>
      <c r="P63" s="875">
        <f t="shared" si="214"/>
        <v>89565401.418989778</v>
      </c>
      <c r="Q63" s="875">
        <f t="shared" si="214"/>
        <v>0</v>
      </c>
      <c r="R63" s="875">
        <f t="shared" si="214"/>
        <v>89565401.418989778</v>
      </c>
      <c r="S63" s="529">
        <f>ROW()</f>
        <v>63</v>
      </c>
      <c r="T63" s="1" t="s">
        <v>437</v>
      </c>
      <c r="V63" s="50">
        <f t="shared" ref="V63:AF63" si="215">V20</f>
        <v>0</v>
      </c>
      <c r="W63" s="50">
        <f t="shared" si="215"/>
        <v>0</v>
      </c>
      <c r="X63" s="50">
        <f t="shared" si="215"/>
        <v>0</v>
      </c>
      <c r="Y63" s="50">
        <f t="shared" si="215"/>
        <v>0</v>
      </c>
      <c r="Z63" s="50">
        <f t="shared" si="215"/>
        <v>0</v>
      </c>
      <c r="AA63" s="50">
        <f t="shared" si="215"/>
        <v>0</v>
      </c>
      <c r="AB63" s="50">
        <f t="shared" si="215"/>
        <v>0</v>
      </c>
      <c r="AC63" s="50">
        <f t="shared" si="215"/>
        <v>0</v>
      </c>
      <c r="AD63" s="50">
        <f t="shared" si="215"/>
        <v>0</v>
      </c>
      <c r="AE63" s="50">
        <f t="shared" si="215"/>
        <v>0</v>
      </c>
      <c r="AF63" s="50">
        <f t="shared" si="215"/>
        <v>0</v>
      </c>
      <c r="AG63" s="78"/>
      <c r="AH63" s="78"/>
      <c r="AI63" s="78"/>
      <c r="AJ63" s="78"/>
      <c r="AK63" s="529"/>
      <c r="AL63" s="1187"/>
      <c r="AM63" s="776"/>
      <c r="AN63" s="21"/>
      <c r="AO63" s="21"/>
      <c r="AP63" s="526"/>
      <c r="AQ63" s="21"/>
      <c r="AR63" s="526"/>
      <c r="AS63" s="526"/>
      <c r="AT63" s="526"/>
      <c r="AU63" s="526"/>
      <c r="AV63" s="526"/>
      <c r="AW63" s="526"/>
      <c r="AX63" s="526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IQ63" s="102"/>
      <c r="IR63" s="102"/>
      <c r="IS63" s="102"/>
      <c r="IT63" s="102"/>
      <c r="IU63" s="102"/>
      <c r="IV63" s="102"/>
      <c r="IW63" s="102"/>
      <c r="IX63" s="102"/>
      <c r="JI63" s="102"/>
      <c r="JJ63" s="102"/>
      <c r="JK63" s="102"/>
      <c r="JL63" s="102"/>
      <c r="JM63" s="102"/>
      <c r="JN63" s="102"/>
      <c r="JO63" s="102"/>
      <c r="JP63" s="102"/>
      <c r="JQ63" s="102"/>
      <c r="JR63" s="102"/>
      <c r="JS63" s="102"/>
      <c r="JT63" s="102"/>
      <c r="JU63" s="102"/>
      <c r="JV63" s="102"/>
      <c r="JW63" s="102"/>
      <c r="JX63" s="102"/>
      <c r="JY63" s="102"/>
      <c r="JZ63" s="102"/>
      <c r="NM63" s="30"/>
      <c r="NN63" s="842"/>
      <c r="NO63" s="20"/>
      <c r="NP63" s="619"/>
      <c r="NQ63" s="619"/>
      <c r="NR63" s="619"/>
      <c r="NS63" s="619"/>
      <c r="NT63" s="619"/>
      <c r="NU63" s="619"/>
      <c r="NV63" s="619"/>
      <c r="NW63" s="619"/>
      <c r="NX63" s="619"/>
      <c r="NY63" s="619"/>
      <c r="NZ63" s="619"/>
      <c r="OA63" s="641"/>
      <c r="OB63" s="641"/>
      <c r="OC63" s="641"/>
      <c r="OD63" s="641"/>
      <c r="OH63" s="102"/>
      <c r="OI63" s="102"/>
      <c r="OJ63" s="102"/>
      <c r="OK63" s="102"/>
      <c r="OL63" s="102"/>
      <c r="OM63" s="102"/>
      <c r="ON63" s="102"/>
      <c r="OO63" s="102"/>
      <c r="OP63" s="102"/>
      <c r="OQ63" s="102"/>
      <c r="OR63" s="102"/>
      <c r="OS63" s="102"/>
      <c r="OT63" s="102"/>
      <c r="OU63" s="102"/>
      <c r="OV63" s="102"/>
      <c r="OW63" s="102"/>
      <c r="OX63" s="1054"/>
      <c r="OY63" s="1203"/>
      <c r="OZ63" s="63"/>
      <c r="PA63" s="63"/>
      <c r="PB63" s="63"/>
      <c r="PC63" s="600"/>
      <c r="PD63" s="600"/>
      <c r="PE63" s="600"/>
      <c r="PF63" s="646"/>
      <c r="PG63" s="600"/>
      <c r="PH63" s="42"/>
      <c r="PI63" s="600"/>
      <c r="PJ63" s="42"/>
      <c r="PK63" s="102"/>
      <c r="PL63" s="102"/>
      <c r="PM63" s="102"/>
      <c r="PN63" s="102"/>
      <c r="PO63" s="102"/>
      <c r="PP63" s="102"/>
      <c r="PQ63" s="102"/>
      <c r="PR63" s="102"/>
      <c r="SM63" s="521">
        <f>ROW()</f>
        <v>63</v>
      </c>
      <c r="SO63" s="608"/>
      <c r="SP63" s="520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520"/>
      <c r="TB63" s="520"/>
      <c r="TC63" s="520"/>
      <c r="TD63" s="520"/>
      <c r="TF63" s="950"/>
      <c r="TG63" s="555"/>
      <c r="TH63" s="610"/>
      <c r="TI63" s="646"/>
      <c r="TJ63" s="646"/>
      <c r="TK63" s="78"/>
      <c r="TL63" s="78"/>
      <c r="TM63" s="78"/>
      <c r="TN63" s="78"/>
      <c r="TO63" s="78"/>
      <c r="TP63" s="78"/>
      <c r="TQ63" s="78"/>
      <c r="TR63" s="78"/>
      <c r="TS63" s="78"/>
      <c r="TV63" s="712"/>
      <c r="TW63" s="20"/>
      <c r="TX63" s="20"/>
      <c r="TY63" s="20"/>
      <c r="TZ63" s="20"/>
      <c r="UA63" s="20"/>
      <c r="UB63" s="20"/>
      <c r="UC63" s="20"/>
      <c r="UD63" s="20"/>
      <c r="UE63" s="20"/>
      <c r="UF63" s="20"/>
      <c r="UG63" s="20"/>
      <c r="UH63" s="20"/>
      <c r="UJ63" s="521"/>
      <c r="UK63" s="20"/>
      <c r="UL63" s="610"/>
      <c r="UM63" s="574"/>
      <c r="UN63" s="574"/>
      <c r="UO63" s="574"/>
      <c r="UP63" s="574"/>
      <c r="UQ63" s="574"/>
      <c r="UR63" s="574"/>
      <c r="US63" s="574"/>
      <c r="UT63" s="574"/>
      <c r="UU63" s="574"/>
      <c r="UV63" s="574"/>
      <c r="UW63" s="574"/>
    </row>
    <row r="64" spans="1:569" ht="15.75" thickBot="1" x14ac:dyDescent="0.3">
      <c r="A64" s="22">
        <f>ROW()</f>
        <v>64</v>
      </c>
      <c r="B64" s="28"/>
      <c r="C64" s="792"/>
      <c r="D64" s="64"/>
      <c r="E64" s="898"/>
      <c r="F64" s="64"/>
      <c r="G64" s="898"/>
      <c r="H64" s="64"/>
      <c r="I64" s="898"/>
      <c r="J64" s="64"/>
      <c r="K64" s="898"/>
      <c r="L64" s="64"/>
      <c r="M64" s="898"/>
      <c r="N64" s="64"/>
      <c r="O64" s="898"/>
      <c r="P64" s="64"/>
      <c r="Q64" s="898"/>
      <c r="R64" s="64"/>
      <c r="S64" s="529">
        <f>ROW()</f>
        <v>64</v>
      </c>
      <c r="T64" s="1" t="s">
        <v>85</v>
      </c>
      <c r="V64" s="50">
        <f t="shared" ref="V64:AF64" si="216">SUM(V25,V27,V29,V32)</f>
        <v>-4435800.3300000019</v>
      </c>
      <c r="W64" s="50">
        <f t="shared" si="216"/>
        <v>1969166.3900000025</v>
      </c>
      <c r="X64" s="50">
        <f t="shared" si="216"/>
        <v>-2466633.94</v>
      </c>
      <c r="Y64" s="50">
        <f t="shared" si="216"/>
        <v>2466633.94</v>
      </c>
      <c r="Z64" s="50">
        <f t="shared" si="216"/>
        <v>0</v>
      </c>
      <c r="AA64" s="50">
        <f t="shared" si="216"/>
        <v>0</v>
      </c>
      <c r="AB64" s="50">
        <f t="shared" si="216"/>
        <v>0</v>
      </c>
      <c r="AC64" s="50">
        <f t="shared" si="216"/>
        <v>0</v>
      </c>
      <c r="AD64" s="50">
        <f t="shared" si="216"/>
        <v>0</v>
      </c>
      <c r="AE64" s="50">
        <f t="shared" si="216"/>
        <v>0</v>
      </c>
      <c r="AF64" s="50">
        <f t="shared" si="216"/>
        <v>0</v>
      </c>
      <c r="AG64" s="21"/>
      <c r="AH64" s="21"/>
      <c r="AI64" s="21"/>
      <c r="AJ64" s="21"/>
      <c r="AK64" s="529"/>
      <c r="AL64" s="776"/>
      <c r="AM64" s="776"/>
      <c r="AN64" s="776"/>
      <c r="AO64" s="776"/>
      <c r="AP64" s="776"/>
      <c r="AQ64" s="776"/>
      <c r="AR64" s="776"/>
      <c r="AS64" s="776"/>
      <c r="AT64" s="776"/>
      <c r="AU64" s="776"/>
      <c r="AV64" s="776"/>
      <c r="AW64" s="776"/>
      <c r="AX64" s="776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IQ64" s="102"/>
      <c r="IR64" s="102"/>
      <c r="IS64" s="102"/>
      <c r="IT64" s="102"/>
      <c r="IU64" s="102"/>
      <c r="IV64" s="102"/>
      <c r="IW64" s="102"/>
      <c r="IX64" s="102"/>
      <c r="JI64" s="102"/>
      <c r="JJ64" s="102"/>
      <c r="JK64" s="102"/>
      <c r="JL64" s="102"/>
      <c r="JM64" s="102"/>
      <c r="JN64" s="102"/>
      <c r="JO64" s="102"/>
      <c r="JP64" s="102"/>
      <c r="JQ64" s="102"/>
      <c r="JR64" s="102"/>
      <c r="JS64" s="102"/>
      <c r="JT64" s="102"/>
      <c r="JU64" s="102"/>
      <c r="NM64" s="30"/>
      <c r="NN64" s="842"/>
      <c r="NO64" s="20"/>
      <c r="NP64" s="619"/>
      <c r="NQ64" s="619"/>
      <c r="NR64" s="619"/>
      <c r="NS64" s="619"/>
      <c r="NT64" s="619"/>
      <c r="NU64" s="619"/>
      <c r="NV64" s="619"/>
      <c r="NW64" s="619"/>
      <c r="NX64" s="619"/>
      <c r="NY64" s="619"/>
      <c r="NZ64" s="619"/>
      <c r="OA64" s="771"/>
      <c r="OB64" s="771"/>
      <c r="OC64" s="771"/>
      <c r="OD64" s="771"/>
      <c r="OH64" s="102"/>
      <c r="OI64" s="102"/>
      <c r="OJ64" s="102"/>
      <c r="OK64" s="102"/>
      <c r="OL64" s="102"/>
      <c r="OM64" s="102"/>
      <c r="ON64" s="102"/>
      <c r="OO64" s="102"/>
      <c r="OP64" s="102"/>
      <c r="OQ64" s="102"/>
      <c r="OR64" s="102"/>
      <c r="OS64" s="102"/>
      <c r="OT64" s="102"/>
      <c r="OU64" s="102"/>
      <c r="OV64" s="102"/>
      <c r="OW64" s="102"/>
      <c r="OX64" s="1054"/>
      <c r="OY64" s="1203"/>
      <c r="OZ64" s="20"/>
      <c r="PA64" s="20"/>
      <c r="PB64" s="20"/>
      <c r="PC64" s="600"/>
      <c r="PD64" s="600"/>
      <c r="PE64" s="600"/>
      <c r="PF64" s="600"/>
      <c r="PG64" s="600"/>
      <c r="PH64" s="667"/>
      <c r="PI64" s="600"/>
      <c r="PJ64" s="667"/>
      <c r="PK64" s="102"/>
      <c r="PL64" s="102"/>
      <c r="PM64" s="102"/>
      <c r="PN64" s="102"/>
      <c r="PO64" s="102"/>
      <c r="PP64" s="102"/>
      <c r="PQ64" s="102"/>
      <c r="PR64" s="102"/>
      <c r="SM64" s="521">
        <f>ROW()</f>
        <v>64</v>
      </c>
      <c r="SN64" s="102" t="s">
        <v>361</v>
      </c>
      <c r="SO64" s="608"/>
      <c r="SP64" s="570"/>
      <c r="SQ64" s="98"/>
      <c r="SR64" s="98"/>
      <c r="SS64" s="98">
        <v>248858085.66</v>
      </c>
      <c r="ST64" s="98">
        <f>SS64</f>
        <v>248858085.66</v>
      </c>
      <c r="SU64" s="98">
        <v>207087159.31000015</v>
      </c>
      <c r="SV64" s="98">
        <f>SU64+ST64</f>
        <v>455945244.97000015</v>
      </c>
      <c r="SW64" s="98">
        <v>32685474.269999862</v>
      </c>
      <c r="SX64" s="98">
        <f>SW64+SV64</f>
        <v>488630719.24000001</v>
      </c>
      <c r="SY64" s="98">
        <v>446418402.20912504</v>
      </c>
      <c r="SZ64" s="98">
        <f>SY64+SX64</f>
        <v>935049121.44912505</v>
      </c>
      <c r="TA64" s="570"/>
      <c r="TB64" s="570"/>
      <c r="TC64" s="570"/>
      <c r="TD64" s="570"/>
      <c r="TF64" s="950"/>
      <c r="TG64" s="555"/>
      <c r="TH64" s="610"/>
      <c r="TI64" s="635"/>
      <c r="TJ64" s="635"/>
      <c r="TK64" s="635"/>
      <c r="TL64" s="635"/>
      <c r="TM64" s="635"/>
      <c r="TN64" s="635"/>
      <c r="TO64" s="635"/>
      <c r="TP64" s="635"/>
      <c r="TQ64" s="635"/>
      <c r="TR64" s="635"/>
      <c r="TS64" s="635"/>
      <c r="TV64" s="1024"/>
      <c r="TW64" s="20"/>
      <c r="TX64" s="78"/>
      <c r="TY64" s="78"/>
      <c r="TZ64" s="78"/>
      <c r="UA64" s="20"/>
      <c r="UB64" s="20"/>
      <c r="UC64" s="20"/>
      <c r="UD64" s="20"/>
      <c r="UE64" s="78"/>
      <c r="UF64" s="78"/>
      <c r="UG64" s="78"/>
      <c r="UH64" s="78"/>
      <c r="UJ64" s="521"/>
      <c r="UK64" s="20"/>
      <c r="UL64" s="610"/>
      <c r="UM64" s="72"/>
      <c r="UN64" s="72"/>
      <c r="UO64" s="72"/>
      <c r="UP64" s="72"/>
      <c r="UQ64" s="72"/>
      <c r="UR64" s="72"/>
      <c r="US64" s="72"/>
      <c r="UT64" s="72"/>
      <c r="UU64" s="72"/>
      <c r="UV64" s="72"/>
      <c r="UW64" s="72"/>
    </row>
    <row r="65" spans="1:569" ht="16.5" thickTop="1" thickBot="1" x14ac:dyDescent="0.3">
      <c r="A65" s="22">
        <f>ROW()</f>
        <v>65</v>
      </c>
      <c r="B65" s="28"/>
      <c r="C65" s="23"/>
      <c r="D65" s="641"/>
      <c r="E65" s="641"/>
      <c r="F65" s="641"/>
      <c r="G65" s="641"/>
      <c r="H65" s="641"/>
      <c r="I65" s="641"/>
      <c r="J65" s="641"/>
      <c r="K65" s="641"/>
      <c r="L65" s="641"/>
      <c r="M65" s="641"/>
      <c r="N65" s="641"/>
      <c r="O65" s="641"/>
      <c r="P65" s="641"/>
      <c r="Q65" s="641"/>
      <c r="R65" s="641"/>
      <c r="S65" s="529">
        <f>ROW()</f>
        <v>65</v>
      </c>
      <c r="T65" s="1" t="s">
        <v>438</v>
      </c>
      <c r="V65" s="708">
        <f t="shared" ref="V65:AF65" si="217">SUM(V62:V64)</f>
        <v>299689671.24553311</v>
      </c>
      <c r="W65" s="708">
        <f t="shared" si="217"/>
        <v>-284649735.47553313</v>
      </c>
      <c r="X65" s="708">
        <f t="shared" si="217"/>
        <v>15039935.770000001</v>
      </c>
      <c r="Y65" s="708">
        <f t="shared" si="217"/>
        <v>-15039935.770000001</v>
      </c>
      <c r="Z65" s="708">
        <f t="shared" si="217"/>
        <v>0</v>
      </c>
      <c r="AA65" s="708">
        <f t="shared" si="217"/>
        <v>0</v>
      </c>
      <c r="AB65" s="708">
        <f t="shared" si="217"/>
        <v>0</v>
      </c>
      <c r="AC65" s="708">
        <f t="shared" si="217"/>
        <v>0</v>
      </c>
      <c r="AD65" s="708">
        <f t="shared" si="217"/>
        <v>0</v>
      </c>
      <c r="AE65" s="708">
        <f t="shared" si="217"/>
        <v>0</v>
      </c>
      <c r="AF65" s="708">
        <f t="shared" si="217"/>
        <v>0</v>
      </c>
      <c r="AG65" s="899"/>
      <c r="AH65" s="899"/>
      <c r="AI65" s="899"/>
      <c r="AJ65" s="899"/>
      <c r="AL65" s="842"/>
      <c r="AM65" s="1191"/>
      <c r="AN65" s="619"/>
      <c r="AO65" s="619"/>
      <c r="AP65" s="591"/>
      <c r="AQ65" s="619"/>
      <c r="AR65" s="591"/>
      <c r="AS65" s="619"/>
      <c r="AT65" s="619"/>
      <c r="AU65" s="619"/>
      <c r="AV65" s="619"/>
      <c r="AW65" s="619"/>
      <c r="AX65" s="619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IQ65" s="102"/>
      <c r="IR65" s="102"/>
      <c r="IS65" s="102"/>
      <c r="IT65" s="102"/>
      <c r="IU65" s="102"/>
      <c r="IV65" s="102"/>
      <c r="IW65" s="102"/>
      <c r="IX65" s="102"/>
      <c r="JI65" s="102"/>
      <c r="JJ65" s="102"/>
      <c r="JK65" s="102"/>
      <c r="JL65" s="102"/>
      <c r="JM65" s="102"/>
      <c r="JN65" s="102"/>
      <c r="JO65" s="102"/>
      <c r="JP65" s="102"/>
      <c r="JQ65" s="102"/>
      <c r="JR65" s="102"/>
      <c r="JS65" s="102"/>
      <c r="JT65" s="102"/>
      <c r="JU65" s="102"/>
      <c r="NM65" s="30"/>
      <c r="NN65" s="842"/>
      <c r="NO65" s="20"/>
      <c r="NP65" s="619"/>
      <c r="NQ65" s="619"/>
      <c r="NR65" s="619"/>
      <c r="NS65" s="619"/>
      <c r="NT65" s="619"/>
      <c r="NU65" s="619"/>
      <c r="NV65" s="619"/>
      <c r="NW65" s="619"/>
      <c r="NX65" s="619"/>
      <c r="NY65" s="619"/>
      <c r="NZ65" s="619"/>
      <c r="OA65" s="759"/>
      <c r="OB65" s="759"/>
      <c r="OC65" s="759"/>
      <c r="OD65" s="759"/>
      <c r="OH65" s="102"/>
      <c r="OI65" s="102"/>
      <c r="OJ65" s="102"/>
      <c r="OK65" s="102"/>
      <c r="OL65" s="102"/>
      <c r="OM65" s="102"/>
      <c r="ON65" s="102"/>
      <c r="OO65" s="102"/>
      <c r="OP65" s="102"/>
      <c r="OQ65" s="102"/>
      <c r="OR65" s="102"/>
      <c r="OS65" s="102"/>
      <c r="OT65" s="102"/>
      <c r="OU65" s="102"/>
      <c r="OV65" s="102"/>
      <c r="OW65" s="102"/>
      <c r="OX65" s="1203"/>
      <c r="OY65" s="1203"/>
      <c r="OZ65" s="63"/>
      <c r="PA65" s="624"/>
      <c r="PB65" s="63"/>
      <c r="PC65" s="63"/>
      <c r="PD65" s="600"/>
      <c r="PE65" s="63"/>
      <c r="PF65" s="600"/>
      <c r="PG65" s="63"/>
      <c r="PH65" s="647"/>
      <c r="PI65" s="63"/>
      <c r="PJ65" s="647"/>
      <c r="PK65" s="102"/>
      <c r="PL65" s="102"/>
      <c r="PM65" s="102"/>
      <c r="PN65" s="102"/>
      <c r="PO65" s="102"/>
      <c r="PP65" s="102"/>
      <c r="PQ65" s="102"/>
      <c r="PR65" s="102"/>
      <c r="SM65" s="521">
        <f>ROW()</f>
        <v>65</v>
      </c>
      <c r="SN65" s="102" t="s">
        <v>369</v>
      </c>
      <c r="SO65" s="608"/>
      <c r="SP65" s="606"/>
      <c r="SQ65" s="39"/>
      <c r="SR65" s="39"/>
      <c r="SS65" s="39">
        <v>-1286931.1299999999</v>
      </c>
      <c r="ST65" s="39">
        <f>SS65</f>
        <v>-1286931.1299999999</v>
      </c>
      <c r="SU65" s="39">
        <v>-6723302.9100000001</v>
      </c>
      <c r="SV65" s="39">
        <f>SU65+ST65</f>
        <v>-8010234.04</v>
      </c>
      <c r="SW65" s="39">
        <v>-5322013.0899999989</v>
      </c>
      <c r="SX65" s="39">
        <f>SW65+SV65</f>
        <v>-13332247.129999999</v>
      </c>
      <c r="SY65" s="39">
        <v>-16537949.618749999</v>
      </c>
      <c r="SZ65" s="39">
        <f>SY65+SX65</f>
        <v>-29870196.748749997</v>
      </c>
      <c r="TA65" s="606"/>
      <c r="TB65" s="606"/>
      <c r="TC65" s="606"/>
      <c r="TD65" s="606"/>
      <c r="TF65" s="950"/>
      <c r="TG65" s="71"/>
      <c r="TH65" s="610"/>
      <c r="TI65" s="574"/>
      <c r="TJ65" s="574"/>
      <c r="TK65" s="574"/>
      <c r="TL65" s="574"/>
      <c r="TM65" s="574"/>
      <c r="TN65" s="574"/>
      <c r="TO65" s="574"/>
      <c r="TP65" s="574"/>
      <c r="TQ65" s="574"/>
      <c r="TR65" s="574"/>
      <c r="TS65" s="574"/>
      <c r="TV65" s="1024"/>
      <c r="TW65" s="20"/>
      <c r="TX65" s="78"/>
      <c r="TY65" s="78"/>
      <c r="TZ65" s="78"/>
      <c r="UA65" s="20"/>
      <c r="UB65" s="20"/>
      <c r="UC65" s="20"/>
      <c r="UD65" s="20"/>
      <c r="UE65" s="78"/>
      <c r="UF65" s="78"/>
      <c r="UG65" s="78"/>
      <c r="UH65" s="78"/>
      <c r="UJ65" s="521"/>
      <c r="UK65" s="20"/>
      <c r="UL65" s="610"/>
      <c r="UM65" s="574"/>
      <c r="UN65" s="574"/>
      <c r="UO65" s="574"/>
      <c r="UP65" s="574"/>
      <c r="UQ65" s="574"/>
      <c r="UR65" s="574"/>
      <c r="US65" s="574"/>
      <c r="UT65" s="574"/>
      <c r="UU65" s="574"/>
      <c r="UV65" s="574"/>
      <c r="UW65" s="574"/>
    </row>
    <row r="66" spans="1:569" ht="15.75" thickTop="1" x14ac:dyDescent="0.25">
      <c r="A66" s="22">
        <f>ROW()</f>
        <v>66</v>
      </c>
      <c r="C66" s="23"/>
      <c r="D66" s="619"/>
      <c r="E66" s="641"/>
      <c r="F66" s="641"/>
      <c r="G66" s="641"/>
      <c r="H66" s="641"/>
      <c r="I66" s="641"/>
      <c r="J66" s="641"/>
      <c r="K66" s="641"/>
      <c r="L66" s="641"/>
      <c r="M66" s="641"/>
      <c r="N66" s="641"/>
      <c r="O66" s="641"/>
      <c r="P66" s="641"/>
      <c r="Q66" s="641"/>
      <c r="R66" s="641"/>
      <c r="S66" s="529">
        <f>ROW()</f>
        <v>66</v>
      </c>
      <c r="V66" s="900">
        <f t="shared" ref="V66:AF66" si="218">V34-V65</f>
        <v>0</v>
      </c>
      <c r="W66" s="900">
        <f t="shared" si="218"/>
        <v>0</v>
      </c>
      <c r="X66" s="900">
        <f t="shared" si="218"/>
        <v>0</v>
      </c>
      <c r="Y66" s="900">
        <f t="shared" si="218"/>
        <v>0</v>
      </c>
      <c r="Z66" s="900">
        <f t="shared" si="218"/>
        <v>0</v>
      </c>
      <c r="AA66" s="900">
        <f t="shared" si="218"/>
        <v>0</v>
      </c>
      <c r="AB66" s="900">
        <f t="shared" si="218"/>
        <v>0</v>
      </c>
      <c r="AC66" s="900">
        <f t="shared" si="218"/>
        <v>0</v>
      </c>
      <c r="AD66" s="900">
        <f t="shared" si="218"/>
        <v>0</v>
      </c>
      <c r="AE66" s="900">
        <f t="shared" si="218"/>
        <v>0</v>
      </c>
      <c r="AF66" s="900">
        <f t="shared" si="218"/>
        <v>0</v>
      </c>
      <c r="AG66" s="21"/>
      <c r="AH66" s="21"/>
      <c r="AI66" s="21"/>
      <c r="AJ66" s="21"/>
      <c r="AL66" s="842"/>
      <c r="AM66" s="1191"/>
      <c r="AN66" s="619"/>
      <c r="AO66" s="619"/>
      <c r="AP66" s="591"/>
      <c r="AQ66" s="619"/>
      <c r="AR66" s="591"/>
      <c r="AS66" s="619"/>
      <c r="AT66" s="619"/>
      <c r="AU66" s="619"/>
      <c r="AV66" s="619"/>
      <c r="AW66" s="619"/>
      <c r="AX66" s="619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IQ66" s="102"/>
      <c r="IR66" s="102"/>
      <c r="IS66" s="102"/>
      <c r="IT66" s="102"/>
      <c r="IU66" s="102"/>
      <c r="IV66" s="102"/>
      <c r="IW66" s="102"/>
      <c r="IX66" s="102"/>
      <c r="JI66" s="102"/>
      <c r="JJ66" s="102"/>
      <c r="JK66" s="102"/>
      <c r="JL66" s="102"/>
      <c r="JM66" s="102"/>
      <c r="JN66" s="102"/>
      <c r="JO66" s="102"/>
      <c r="JP66" s="102"/>
      <c r="JQ66" s="102"/>
      <c r="JR66" s="102"/>
      <c r="JS66" s="102"/>
      <c r="JT66" s="102"/>
      <c r="JU66" s="102"/>
      <c r="NM66" s="30"/>
      <c r="NN66" s="1195"/>
      <c r="NO66" s="20"/>
      <c r="NP66" s="1196"/>
      <c r="NQ66" s="1196"/>
      <c r="NR66" s="1196"/>
      <c r="NS66" s="1196"/>
      <c r="NT66" s="1196"/>
      <c r="NU66" s="1196"/>
      <c r="NV66" s="619"/>
      <c r="NW66" s="641"/>
      <c r="NX66" s="641"/>
      <c r="NY66" s="641"/>
      <c r="NZ66" s="641"/>
      <c r="OA66" s="64"/>
      <c r="OB66" s="64"/>
      <c r="OC66" s="64"/>
      <c r="OD66" s="64"/>
      <c r="OH66" s="102"/>
      <c r="OI66" s="102"/>
      <c r="OJ66" s="102"/>
      <c r="OK66" s="102"/>
      <c r="OL66" s="102"/>
      <c r="OM66" s="102"/>
      <c r="ON66" s="102"/>
      <c r="OO66" s="102"/>
      <c r="OP66" s="102"/>
      <c r="OQ66" s="102"/>
      <c r="OR66" s="102"/>
      <c r="OS66" s="102"/>
      <c r="OT66" s="102"/>
      <c r="OU66" s="102"/>
      <c r="OV66" s="102"/>
      <c r="OW66" s="102"/>
      <c r="OX66" s="1203"/>
      <c r="OY66" s="1203"/>
      <c r="OZ66" s="63"/>
      <c r="PA66" s="63"/>
      <c r="PB66" s="63"/>
      <c r="PC66" s="63"/>
      <c r="PD66" s="600"/>
      <c r="PE66" s="63"/>
      <c r="PF66" s="600"/>
      <c r="PG66" s="63"/>
      <c r="PH66" s="667"/>
      <c r="PI66" s="63"/>
      <c r="PJ66" s="667"/>
      <c r="PK66" s="102"/>
      <c r="PL66" s="102"/>
      <c r="PM66" s="102"/>
      <c r="PN66" s="102"/>
      <c r="PO66" s="102"/>
      <c r="PP66" s="102"/>
      <c r="PQ66" s="102"/>
      <c r="PR66" s="102"/>
      <c r="SM66" s="521">
        <f>ROW()</f>
        <v>66</v>
      </c>
      <c r="SN66" s="102" t="s">
        <v>375</v>
      </c>
      <c r="SO66" s="608"/>
      <c r="SP66" s="669"/>
      <c r="SQ66" s="745"/>
      <c r="SR66" s="745"/>
      <c r="SS66" s="745">
        <v>-2205224.6999999997</v>
      </c>
      <c r="ST66" s="745">
        <f>SS66</f>
        <v>-2205224.6999999997</v>
      </c>
      <c r="SU66" s="745">
        <v>-5511447.6900000013</v>
      </c>
      <c r="SV66" s="745">
        <f>SU66+ST66</f>
        <v>-7716672.3900000006</v>
      </c>
      <c r="SW66" s="745">
        <v>-4601340.83</v>
      </c>
      <c r="SX66" s="745">
        <f>SW66+SV66</f>
        <v>-12318013.220000001</v>
      </c>
      <c r="SY66" s="745">
        <v>-10842382.590205001</v>
      </c>
      <c r="SZ66" s="745">
        <f>SY66+SX66</f>
        <v>-23160395.810205001</v>
      </c>
      <c r="TA66" s="669"/>
      <c r="TB66" s="669"/>
      <c r="TC66" s="669"/>
      <c r="TD66" s="669"/>
      <c r="TF66" s="950"/>
      <c r="TG66" s="477"/>
      <c r="TH66" s="20"/>
      <c r="TI66" s="573"/>
      <c r="TJ66" s="573"/>
      <c r="TK66" s="573"/>
      <c r="TL66" s="574"/>
      <c r="TM66" s="574"/>
      <c r="TN66" s="574"/>
      <c r="TO66" s="574"/>
      <c r="TP66" s="574"/>
      <c r="TQ66" s="574"/>
      <c r="TR66" s="574"/>
      <c r="TS66" s="574"/>
      <c r="TV66" s="1024"/>
      <c r="TW66" s="20"/>
      <c r="TX66" s="78"/>
      <c r="TY66" s="78"/>
      <c r="TZ66" s="78"/>
      <c r="UA66" s="78"/>
      <c r="UB66" s="78"/>
      <c r="UC66" s="78"/>
      <c r="UD66" s="78"/>
      <c r="UE66" s="78"/>
      <c r="UF66" s="78"/>
      <c r="UG66" s="78"/>
      <c r="UH66" s="78"/>
      <c r="UJ66" s="521"/>
      <c r="UK66" s="20"/>
      <c r="UL66" s="610"/>
      <c r="UM66" s="633"/>
      <c r="UN66" s="633"/>
      <c r="UO66" s="633"/>
      <c r="UP66" s="633"/>
      <c r="UQ66" s="633"/>
      <c r="UR66" s="633"/>
      <c r="US66" s="633"/>
      <c r="UT66" s="633"/>
      <c r="UU66" s="633"/>
      <c r="UV66" s="633"/>
      <c r="UW66" s="633"/>
    </row>
    <row r="67" spans="1:569" ht="15.75" thickBot="1" x14ac:dyDescent="0.3">
      <c r="A67" s="22">
        <f>ROW()</f>
        <v>67</v>
      </c>
      <c r="B67" s="489" t="s">
        <v>104</v>
      </c>
      <c r="C67" s="23"/>
      <c r="D67" s="619"/>
      <c r="E67" s="641"/>
      <c r="F67" s="641"/>
      <c r="G67" s="641"/>
      <c r="H67" s="641"/>
      <c r="I67" s="641"/>
      <c r="J67" s="641"/>
      <c r="K67" s="641"/>
      <c r="L67" s="641"/>
      <c r="M67" s="641"/>
      <c r="N67" s="641"/>
      <c r="O67" s="641"/>
      <c r="P67" s="641"/>
      <c r="Q67" s="641"/>
      <c r="R67" s="641"/>
      <c r="S67" s="529">
        <f>ROW()</f>
        <v>67</v>
      </c>
      <c r="T67" s="575" t="s">
        <v>90</v>
      </c>
      <c r="V67" s="51">
        <f t="shared" ref="V67:AF67" si="219">SUM(V53,V49)</f>
        <v>47690607.920000002</v>
      </c>
      <c r="W67" s="51">
        <f t="shared" si="219"/>
        <v>-47690607.920000002</v>
      </c>
      <c r="X67" s="51">
        <f t="shared" si="219"/>
        <v>0</v>
      </c>
      <c r="Y67" s="51">
        <f t="shared" si="219"/>
        <v>0</v>
      </c>
      <c r="Z67" s="51">
        <f t="shared" si="219"/>
        <v>0</v>
      </c>
      <c r="AA67" s="51">
        <f t="shared" si="219"/>
        <v>0</v>
      </c>
      <c r="AB67" s="51">
        <f t="shared" si="219"/>
        <v>0</v>
      </c>
      <c r="AC67" s="51">
        <f t="shared" si="219"/>
        <v>0</v>
      </c>
      <c r="AD67" s="51">
        <f t="shared" si="219"/>
        <v>0</v>
      </c>
      <c r="AE67" s="51">
        <f t="shared" si="219"/>
        <v>0</v>
      </c>
      <c r="AF67" s="51">
        <f t="shared" si="219"/>
        <v>0</v>
      </c>
      <c r="AG67" s="901"/>
      <c r="AH67" s="901"/>
      <c r="AI67" s="901"/>
      <c r="AJ67" s="901"/>
      <c r="AL67" s="842"/>
      <c r="AM67" s="1191"/>
      <c r="AN67" s="619"/>
      <c r="AO67" s="619"/>
      <c r="AP67" s="591"/>
      <c r="AQ67" s="619"/>
      <c r="AR67" s="591"/>
      <c r="AS67" s="619"/>
      <c r="AT67" s="619"/>
      <c r="AU67" s="619"/>
      <c r="AV67" s="619"/>
      <c r="AW67" s="619"/>
      <c r="AX67" s="619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IQ67" s="102"/>
      <c r="IR67" s="102"/>
      <c r="IS67" s="102"/>
      <c r="IT67" s="102"/>
      <c r="IU67" s="102"/>
      <c r="IV67" s="102"/>
      <c r="IW67" s="102"/>
      <c r="IX67" s="102"/>
      <c r="JI67" s="102"/>
      <c r="JJ67" s="102"/>
      <c r="JK67" s="102"/>
      <c r="JL67" s="102"/>
      <c r="JM67" s="102"/>
      <c r="JN67" s="102"/>
      <c r="JO67" s="102"/>
      <c r="JP67" s="102"/>
      <c r="JQ67" s="102"/>
      <c r="JR67" s="102"/>
      <c r="JS67" s="102"/>
      <c r="JT67" s="102"/>
      <c r="JU67" s="102"/>
      <c r="NM67" s="30"/>
      <c r="NN67" s="1197"/>
      <c r="NO67" s="41"/>
      <c r="NP67" s="560"/>
      <c r="NQ67" s="560"/>
      <c r="NR67" s="560"/>
      <c r="NS67" s="560"/>
      <c r="NT67" s="560"/>
      <c r="NU67" s="560"/>
      <c r="NV67" s="560"/>
      <c r="NW67" s="880"/>
      <c r="NX67" s="880"/>
      <c r="NY67" s="880"/>
      <c r="NZ67" s="560"/>
      <c r="OA67" s="800"/>
      <c r="OB67" s="800"/>
      <c r="OC67" s="63"/>
      <c r="OD67" s="800"/>
      <c r="OH67" s="102"/>
      <c r="OI67" s="102"/>
      <c r="OJ67" s="102"/>
      <c r="OK67" s="102"/>
      <c r="OL67" s="102"/>
      <c r="OM67" s="102"/>
      <c r="ON67" s="102"/>
      <c r="OO67" s="102"/>
      <c r="OP67" s="102"/>
      <c r="OQ67" s="102"/>
      <c r="OR67" s="102"/>
      <c r="OS67" s="102"/>
      <c r="OT67" s="102"/>
      <c r="OU67" s="102"/>
      <c r="OV67" s="102"/>
      <c r="OW67" s="102"/>
      <c r="OX67" s="1203"/>
      <c r="OY67" s="1203"/>
      <c r="OZ67" s="63"/>
      <c r="PA67" s="63"/>
      <c r="PB67" s="63"/>
      <c r="PC67" s="600"/>
      <c r="PD67" s="600"/>
      <c r="PE67" s="600"/>
      <c r="PF67" s="600"/>
      <c r="PG67" s="600"/>
      <c r="PH67" s="667"/>
      <c r="PI67" s="600"/>
      <c r="PJ67" s="667"/>
      <c r="PK67" s="102"/>
      <c r="PL67" s="102"/>
      <c r="PM67" s="102"/>
      <c r="PN67" s="102"/>
      <c r="PO67" s="102"/>
      <c r="PP67" s="102"/>
      <c r="PQ67" s="102"/>
      <c r="PR67" s="102"/>
      <c r="SM67" s="521">
        <f>ROW()</f>
        <v>67</v>
      </c>
      <c r="SN67" s="102" t="s">
        <v>382</v>
      </c>
      <c r="SO67" s="608"/>
      <c r="SP67" s="819"/>
      <c r="SQ67" s="821"/>
      <c r="SR67" s="821"/>
      <c r="SS67" s="821">
        <f>SUM(SS64:SS66)</f>
        <v>245365929.83000001</v>
      </c>
      <c r="ST67" s="821">
        <f t="shared" ref="ST67:TD67" si="220">SUM(ST64:ST66)</f>
        <v>245365929.83000001</v>
      </c>
      <c r="SU67" s="821">
        <f t="shared" si="220"/>
        <v>194852408.71000016</v>
      </c>
      <c r="SV67" s="821">
        <f t="shared" si="220"/>
        <v>440218338.54000014</v>
      </c>
      <c r="SW67" s="821">
        <f t="shared" si="220"/>
        <v>22762120.34999986</v>
      </c>
      <c r="SX67" s="821">
        <f t="shared" si="220"/>
        <v>462980458.88999999</v>
      </c>
      <c r="SY67" s="821">
        <f t="shared" si="220"/>
        <v>419038070.00017005</v>
      </c>
      <c r="SZ67" s="821">
        <f t="shared" si="220"/>
        <v>882018528.8901701</v>
      </c>
      <c r="TA67" s="819">
        <f t="shared" si="220"/>
        <v>0</v>
      </c>
      <c r="TB67" s="819">
        <f t="shared" si="220"/>
        <v>0</v>
      </c>
      <c r="TC67" s="819">
        <f t="shared" si="220"/>
        <v>0</v>
      </c>
      <c r="TD67" s="819">
        <f t="shared" si="220"/>
        <v>0</v>
      </c>
      <c r="TF67" s="950"/>
      <c r="TG67" s="609"/>
      <c r="TH67" s="610"/>
      <c r="TI67" s="611"/>
      <c r="TJ67" s="611"/>
      <c r="TK67" s="20"/>
      <c r="TL67" s="611"/>
      <c r="TM67" s="20"/>
      <c r="TN67" s="611"/>
      <c r="TO67" s="20"/>
      <c r="TP67" s="611"/>
      <c r="TQ67" s="20"/>
      <c r="TR67" s="611"/>
      <c r="TS67" s="20"/>
      <c r="TV67" s="1211"/>
      <c r="TW67" s="20"/>
      <c r="TX67" s="20"/>
      <c r="TY67" s="20"/>
      <c r="TZ67" s="20"/>
      <c r="UA67" s="20"/>
      <c r="UB67" s="20"/>
      <c r="UC67" s="20"/>
      <c r="UD67" s="20"/>
      <c r="UE67" s="20"/>
      <c r="UF67" s="20"/>
      <c r="UG67" s="20"/>
      <c r="UH67" s="20"/>
      <c r="UJ67" s="521"/>
      <c r="UK67" s="20"/>
      <c r="UL67" s="610"/>
      <c r="UM67" s="633"/>
      <c r="UN67" s="633"/>
      <c r="UO67" s="633"/>
      <c r="UP67" s="633"/>
      <c r="UQ67" s="633"/>
      <c r="UR67" s="633"/>
      <c r="US67" s="633"/>
      <c r="UT67" s="633"/>
      <c r="UU67" s="633"/>
      <c r="UV67" s="633"/>
      <c r="UW67" s="633"/>
    </row>
    <row r="68" spans="1:569" ht="15.75" thickTop="1" x14ac:dyDescent="0.25">
      <c r="A68" s="22">
        <f>ROW()</f>
        <v>68</v>
      </c>
      <c r="B68" s="882" t="s">
        <v>439</v>
      </c>
      <c r="D68" s="74">
        <v>312908.36</v>
      </c>
      <c r="E68" s="39">
        <f>-D68</f>
        <v>-312908.36</v>
      </c>
      <c r="F68" s="618">
        <f>D68+E68</f>
        <v>0</v>
      </c>
      <c r="G68" s="902"/>
      <c r="H68" s="902">
        <f>F68+G68</f>
        <v>0</v>
      </c>
      <c r="I68" s="902"/>
      <c r="J68" s="902">
        <f>H68+I68</f>
        <v>0</v>
      </c>
      <c r="K68" s="902"/>
      <c r="L68" s="902">
        <f>J68+K68</f>
        <v>0</v>
      </c>
      <c r="M68" s="902"/>
      <c r="N68" s="902">
        <f>L68+M68</f>
        <v>0</v>
      </c>
      <c r="O68" s="902"/>
      <c r="P68" s="902">
        <f>N68+O68</f>
        <v>0</v>
      </c>
      <c r="Q68" s="902"/>
      <c r="R68" s="902">
        <f>P68+Q68</f>
        <v>0</v>
      </c>
      <c r="S68" s="529">
        <f>ROW()</f>
        <v>68</v>
      </c>
      <c r="T68" s="730" t="s">
        <v>92</v>
      </c>
      <c r="V68" s="903">
        <f t="shared" ref="V68:AF68" si="221">V47</f>
        <v>-77573434.540000007</v>
      </c>
      <c r="W68" s="903">
        <f t="shared" si="221"/>
        <v>77573434.540000007</v>
      </c>
      <c r="X68" s="903">
        <f t="shared" si="221"/>
        <v>0</v>
      </c>
      <c r="Y68" s="903">
        <f t="shared" si="221"/>
        <v>0</v>
      </c>
      <c r="Z68" s="903">
        <f t="shared" si="221"/>
        <v>0</v>
      </c>
      <c r="AA68" s="903">
        <f t="shared" si="221"/>
        <v>0</v>
      </c>
      <c r="AB68" s="903">
        <f t="shared" si="221"/>
        <v>0</v>
      </c>
      <c r="AC68" s="903">
        <f t="shared" si="221"/>
        <v>0</v>
      </c>
      <c r="AD68" s="903">
        <f t="shared" si="221"/>
        <v>0</v>
      </c>
      <c r="AE68" s="903">
        <f t="shared" si="221"/>
        <v>0</v>
      </c>
      <c r="AF68" s="903">
        <f t="shared" si="221"/>
        <v>0</v>
      </c>
      <c r="AG68" s="904"/>
      <c r="AH68" s="904"/>
      <c r="AI68" s="904"/>
      <c r="AJ68" s="904"/>
      <c r="AL68" s="881"/>
      <c r="AM68" s="1191"/>
      <c r="AN68" s="619"/>
      <c r="AO68" s="619"/>
      <c r="AP68" s="619"/>
      <c r="AQ68" s="619"/>
      <c r="AR68" s="619"/>
      <c r="AS68" s="619"/>
      <c r="AT68" s="619"/>
      <c r="AU68" s="619"/>
      <c r="AV68" s="619"/>
      <c r="AW68" s="619"/>
      <c r="AX68" s="619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IQ68" s="102"/>
      <c r="IR68" s="102"/>
      <c r="IS68" s="102"/>
      <c r="IT68" s="102"/>
      <c r="IU68" s="102"/>
      <c r="IV68" s="102"/>
      <c r="IW68" s="102"/>
      <c r="IX68" s="102"/>
      <c r="JI68" s="102"/>
      <c r="JJ68" s="102"/>
      <c r="JK68" s="102"/>
      <c r="JL68" s="102"/>
      <c r="JM68" s="102"/>
      <c r="JN68" s="102"/>
      <c r="JO68" s="102"/>
      <c r="JP68" s="102"/>
      <c r="JQ68" s="102"/>
      <c r="JR68" s="102"/>
      <c r="JS68" s="102"/>
      <c r="JT68" s="102"/>
      <c r="JU68" s="102"/>
      <c r="NM68" s="30"/>
      <c r="NN68" s="1186"/>
      <c r="NO68" s="1172"/>
      <c r="NP68" s="793"/>
      <c r="NQ68" s="793"/>
      <c r="NR68" s="793"/>
      <c r="NS68" s="793"/>
      <c r="NT68" s="793"/>
      <c r="NU68" s="793"/>
      <c r="NV68" s="63"/>
      <c r="NW68" s="64"/>
      <c r="NX68" s="64"/>
      <c r="NY68" s="64"/>
      <c r="NZ68" s="64"/>
      <c r="OH68" s="102"/>
      <c r="OI68" s="102"/>
      <c r="OJ68" s="102"/>
      <c r="OK68" s="102"/>
      <c r="OL68" s="102"/>
      <c r="OM68" s="102"/>
      <c r="ON68" s="102"/>
      <c r="OO68" s="102"/>
      <c r="OP68" s="102"/>
      <c r="OQ68" s="102"/>
      <c r="OR68" s="102"/>
      <c r="OS68" s="102"/>
      <c r="OT68" s="102"/>
      <c r="OU68" s="102"/>
      <c r="OV68" s="102"/>
      <c r="OW68" s="102"/>
      <c r="OX68" s="4"/>
      <c r="OY68" s="1203"/>
      <c r="OZ68" s="667"/>
      <c r="PA68" s="667"/>
      <c r="PB68" s="667"/>
      <c r="PC68" s="667"/>
      <c r="PD68" s="600"/>
      <c r="PE68" s="600"/>
      <c r="PF68" s="600"/>
      <c r="PG68" s="600"/>
      <c r="PH68" s="667"/>
      <c r="PI68" s="600"/>
      <c r="PJ68" s="667"/>
      <c r="PK68" s="102"/>
      <c r="PL68" s="102"/>
      <c r="PM68" s="102"/>
      <c r="PN68" s="102"/>
      <c r="PO68" s="102"/>
      <c r="PP68" s="102"/>
      <c r="PQ68" s="102"/>
      <c r="PR68" s="102"/>
      <c r="SM68" s="521">
        <f>ROW()</f>
        <v>68</v>
      </c>
      <c r="SO68" s="608"/>
      <c r="SP68" s="520"/>
      <c r="SQ68" s="43"/>
      <c r="SR68" s="43"/>
      <c r="SS68" s="43"/>
      <c r="ST68" s="43"/>
      <c r="SU68" s="43"/>
      <c r="SV68" s="43"/>
      <c r="SW68" s="43"/>
      <c r="SX68" s="43"/>
      <c r="SY68" s="43"/>
      <c r="SZ68" s="43"/>
      <c r="TA68" s="520"/>
      <c r="TB68" s="520"/>
      <c r="TC68" s="520"/>
      <c r="TD68" s="520"/>
      <c r="TF68" s="950"/>
      <c r="TG68" s="650"/>
      <c r="TH68" s="610"/>
      <c r="TI68" s="651"/>
      <c r="TJ68" s="651"/>
      <c r="TK68" s="17"/>
      <c r="TL68" s="651"/>
      <c r="TM68" s="17"/>
      <c r="TN68" s="651"/>
      <c r="TO68" s="17"/>
      <c r="TP68" s="651"/>
      <c r="TQ68" s="17"/>
      <c r="TR68" s="651"/>
      <c r="TS68" s="17"/>
      <c r="TV68" s="609"/>
      <c r="TW68" s="695"/>
      <c r="TX68" s="659"/>
      <c r="TY68" s="659"/>
      <c r="TZ68" s="659"/>
      <c r="UA68" s="659"/>
      <c r="UB68" s="659"/>
      <c r="UC68" s="659"/>
      <c r="UD68" s="659"/>
      <c r="UE68" s="659"/>
      <c r="UF68" s="659"/>
      <c r="UG68" s="659"/>
      <c r="UH68" s="659"/>
      <c r="UJ68" s="521"/>
      <c r="UK68" s="20"/>
      <c r="UL68" s="610"/>
      <c r="UM68" s="574"/>
      <c r="UN68" s="574"/>
      <c r="UO68" s="574"/>
      <c r="UP68" s="574"/>
      <c r="UQ68" s="574"/>
      <c r="UR68" s="574"/>
      <c r="US68" s="574"/>
      <c r="UT68" s="574"/>
      <c r="UU68" s="574"/>
      <c r="UV68" s="574"/>
      <c r="UW68" s="574"/>
    </row>
    <row r="69" spans="1:569" ht="15" x14ac:dyDescent="0.25">
      <c r="A69" s="22">
        <f>ROW()</f>
        <v>69</v>
      </c>
      <c r="B69" s="882" t="s">
        <v>440</v>
      </c>
      <c r="D69" s="74">
        <v>15392.9</v>
      </c>
      <c r="E69" s="39">
        <f>-D69</f>
        <v>-15392.9</v>
      </c>
      <c r="F69" s="618">
        <f>D69+E69</f>
        <v>0</v>
      </c>
      <c r="G69" s="902"/>
      <c r="H69" s="902">
        <f>F69+G69</f>
        <v>0</v>
      </c>
      <c r="I69" s="902"/>
      <c r="J69" s="902">
        <f>H69+I69</f>
        <v>0</v>
      </c>
      <c r="K69" s="902"/>
      <c r="L69" s="902">
        <f>J69+K69</f>
        <v>0</v>
      </c>
      <c r="M69" s="902"/>
      <c r="N69" s="902">
        <f>L69+M69</f>
        <v>0</v>
      </c>
      <c r="O69" s="902"/>
      <c r="P69" s="902">
        <f>N69+O69</f>
        <v>0</v>
      </c>
      <c r="Q69" s="902"/>
      <c r="R69" s="902">
        <f>P69+Q69</f>
        <v>0</v>
      </c>
      <c r="S69" s="529">
        <f>ROW()</f>
        <v>69</v>
      </c>
      <c r="T69" s="842" t="s">
        <v>97</v>
      </c>
      <c r="U69" s="20"/>
      <c r="V69" s="904">
        <f t="shared" ref="V69:AF69" si="222">V37</f>
        <v>1943095.8498527787</v>
      </c>
      <c r="W69" s="904">
        <f t="shared" si="222"/>
        <v>-1845516.7465770189</v>
      </c>
      <c r="X69" s="904">
        <f t="shared" si="222"/>
        <v>97579.103275759844</v>
      </c>
      <c r="Y69" s="904">
        <f t="shared" si="222"/>
        <v>-97579.103275760004</v>
      </c>
      <c r="Z69" s="904">
        <f t="shared" si="222"/>
        <v>0</v>
      </c>
      <c r="AA69" s="904">
        <f t="shared" si="222"/>
        <v>0</v>
      </c>
      <c r="AB69" s="904">
        <f t="shared" si="222"/>
        <v>0</v>
      </c>
      <c r="AC69" s="904">
        <f t="shared" si="222"/>
        <v>0</v>
      </c>
      <c r="AD69" s="904">
        <f t="shared" si="222"/>
        <v>0</v>
      </c>
      <c r="AE69" s="904">
        <f t="shared" si="222"/>
        <v>0</v>
      </c>
      <c r="AF69" s="904">
        <f t="shared" si="222"/>
        <v>0</v>
      </c>
      <c r="AG69" s="901"/>
      <c r="AH69" s="901"/>
      <c r="AI69" s="901"/>
      <c r="AJ69" s="901"/>
      <c r="AL69" s="881"/>
      <c r="AM69" s="1191"/>
      <c r="AN69" s="619"/>
      <c r="AO69" s="619"/>
      <c r="AP69" s="619"/>
      <c r="AQ69" s="619"/>
      <c r="AR69" s="619"/>
      <c r="AS69" s="619"/>
      <c r="AT69" s="619"/>
      <c r="AU69" s="619"/>
      <c r="AV69" s="619"/>
      <c r="AW69" s="619"/>
      <c r="AX69" s="61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IQ69" s="102"/>
      <c r="IR69" s="102"/>
      <c r="IS69" s="102"/>
      <c r="IT69" s="102"/>
      <c r="IU69" s="102"/>
      <c r="IV69" s="102"/>
      <c r="IW69" s="102"/>
      <c r="IX69" s="102"/>
      <c r="JI69" s="102"/>
      <c r="JJ69" s="102"/>
      <c r="JK69" s="102"/>
      <c r="JL69" s="102"/>
      <c r="JM69" s="102"/>
      <c r="JN69" s="102"/>
      <c r="JO69" s="102"/>
      <c r="JP69" s="102"/>
      <c r="JQ69" s="102"/>
      <c r="JR69" s="102"/>
      <c r="JS69" s="102"/>
      <c r="JT69" s="102"/>
      <c r="JU69" s="102"/>
      <c r="NM69" s="30"/>
      <c r="NN69" s="1186"/>
      <c r="NO69" s="547"/>
      <c r="NP69" s="63"/>
      <c r="NQ69" s="63"/>
      <c r="NR69" s="63"/>
      <c r="NS69" s="63"/>
      <c r="NT69" s="800"/>
      <c r="NU69" s="63"/>
      <c r="NV69" s="800"/>
      <c r="NW69" s="64"/>
      <c r="NX69" s="801"/>
      <c r="NY69" s="64"/>
      <c r="NZ69" s="800"/>
      <c r="OA69" s="641"/>
      <c r="OB69" s="641"/>
      <c r="OC69" s="641"/>
      <c r="OD69" s="641"/>
      <c r="OH69" s="102"/>
      <c r="OI69" s="102"/>
      <c r="OJ69" s="102"/>
      <c r="OK69" s="102"/>
      <c r="OL69" s="102"/>
      <c r="OM69" s="102"/>
      <c r="ON69" s="102"/>
      <c r="OO69" s="102"/>
      <c r="OP69" s="102"/>
      <c r="OQ69" s="102"/>
      <c r="OR69" s="102"/>
      <c r="OS69" s="102"/>
      <c r="OT69" s="102"/>
      <c r="OU69" s="102"/>
      <c r="OV69" s="102"/>
      <c r="OW69" s="102"/>
      <c r="OX69" s="4"/>
      <c r="OY69" s="4"/>
      <c r="OZ69" s="20"/>
      <c r="PA69" s="20"/>
      <c r="PB69" s="20"/>
      <c r="PC69" s="600"/>
      <c r="PD69" s="600"/>
      <c r="PE69" s="600"/>
      <c r="PF69" s="600"/>
      <c r="PG69" s="600"/>
      <c r="PH69" s="667"/>
      <c r="PI69" s="600"/>
      <c r="PJ69" s="667"/>
      <c r="PK69" s="102"/>
      <c r="PL69" s="102"/>
      <c r="PM69" s="102"/>
      <c r="PN69" s="102"/>
      <c r="PO69" s="102"/>
      <c r="PP69" s="102"/>
      <c r="PQ69" s="102"/>
      <c r="PR69" s="102"/>
      <c r="SM69" s="521">
        <f>ROW()</f>
        <v>69</v>
      </c>
      <c r="SN69" s="828" t="s">
        <v>732</v>
      </c>
      <c r="SO69" s="608"/>
      <c r="SP69" s="520"/>
      <c r="SQ69" s="43"/>
      <c r="SR69" s="43"/>
      <c r="SS69" s="43"/>
      <c r="ST69" s="43"/>
      <c r="SU69" s="43"/>
      <c r="SV69" s="43"/>
      <c r="SW69" s="43"/>
      <c r="SX69" s="43"/>
      <c r="SY69" s="43"/>
      <c r="SZ69" s="43"/>
      <c r="TA69" s="520"/>
      <c r="TB69" s="520"/>
      <c r="TC69" s="520"/>
      <c r="TD69" s="520"/>
      <c r="TF69" s="950"/>
      <c r="TG69" s="477"/>
      <c r="TH69" s="610"/>
      <c r="TI69" s="78"/>
      <c r="TJ69" s="78"/>
      <c r="TK69" s="1"/>
      <c r="TL69" s="78"/>
      <c r="TM69" s="1"/>
      <c r="TN69" s="78"/>
      <c r="TO69" s="1"/>
      <c r="TP69" s="78"/>
      <c r="TQ69" s="1"/>
      <c r="TR69" s="78"/>
      <c r="TS69" s="1"/>
      <c r="TV69" s="609"/>
      <c r="TW69" s="20"/>
      <c r="TX69" s="1212"/>
      <c r="TY69" s="1212"/>
      <c r="TZ69" s="1212"/>
      <c r="UA69" s="1212"/>
      <c r="UB69" s="1212"/>
      <c r="UC69" s="1212"/>
      <c r="UD69" s="1212"/>
      <c r="UE69" s="1212"/>
      <c r="UF69" s="1212"/>
      <c r="UG69" s="1212"/>
      <c r="UH69" s="1212"/>
      <c r="UJ69" s="521"/>
      <c r="UK69" s="20"/>
      <c r="UL69" s="610"/>
      <c r="UM69" s="72"/>
      <c r="UN69" s="72"/>
      <c r="UO69" s="72"/>
      <c r="UP69" s="72"/>
      <c r="UQ69" s="72"/>
      <c r="UR69" s="72"/>
      <c r="US69" s="72"/>
      <c r="UT69" s="72"/>
      <c r="UU69" s="72"/>
      <c r="UV69" s="72"/>
      <c r="UW69" s="72"/>
    </row>
    <row r="70" spans="1:569" ht="15" x14ac:dyDescent="0.25">
      <c r="A70" s="22">
        <f>ROW()</f>
        <v>70</v>
      </c>
      <c r="B70" s="617" t="s">
        <v>441</v>
      </c>
      <c r="D70" s="619">
        <v>-10865280.42</v>
      </c>
      <c r="E70" s="39">
        <f>-D70</f>
        <v>10865280.42</v>
      </c>
      <c r="F70" s="618">
        <f>D70+E70</f>
        <v>0</v>
      </c>
      <c r="G70" s="902"/>
      <c r="H70" s="618">
        <f>F70+G70</f>
        <v>0</v>
      </c>
      <c r="I70" s="902"/>
      <c r="J70" s="618">
        <f>H70+I70</f>
        <v>0</v>
      </c>
      <c r="K70" s="902"/>
      <c r="L70" s="618">
        <f>J70+K70</f>
        <v>0</v>
      </c>
      <c r="M70" s="902"/>
      <c r="N70" s="618">
        <f>L70+M70</f>
        <v>0</v>
      </c>
      <c r="O70" s="902"/>
      <c r="P70" s="618">
        <f>N70+O70</f>
        <v>0</v>
      </c>
      <c r="Q70" s="902"/>
      <c r="R70" s="618">
        <f>P70+Q70</f>
        <v>0</v>
      </c>
      <c r="S70" s="529">
        <f>ROW()</f>
        <v>70</v>
      </c>
      <c r="T70" s="575" t="s">
        <v>98</v>
      </c>
      <c r="V70" s="903">
        <f t="shared" ref="V70:AF70" si="223">SUM(V50,V46)</f>
        <v>48233851.559999995</v>
      </c>
      <c r="W70" s="903">
        <f t="shared" si="223"/>
        <v>-48233851.559999995</v>
      </c>
      <c r="X70" s="903">
        <f t="shared" si="223"/>
        <v>0</v>
      </c>
      <c r="Y70" s="903">
        <f t="shared" si="223"/>
        <v>0</v>
      </c>
      <c r="Z70" s="903">
        <f t="shared" si="223"/>
        <v>0</v>
      </c>
      <c r="AA70" s="903">
        <f t="shared" si="223"/>
        <v>0</v>
      </c>
      <c r="AB70" s="903">
        <f t="shared" si="223"/>
        <v>0</v>
      </c>
      <c r="AC70" s="903">
        <f t="shared" si="223"/>
        <v>0</v>
      </c>
      <c r="AD70" s="903">
        <f t="shared" si="223"/>
        <v>0</v>
      </c>
      <c r="AE70" s="903">
        <f t="shared" si="223"/>
        <v>0</v>
      </c>
      <c r="AF70" s="903">
        <f t="shared" si="223"/>
        <v>0</v>
      </c>
      <c r="AG70" s="64"/>
      <c r="AH70" s="64"/>
      <c r="AI70" s="64"/>
      <c r="AJ70" s="64"/>
      <c r="AL70" s="842"/>
      <c r="AM70" s="776"/>
      <c r="AN70" s="619"/>
      <c r="AO70" s="619"/>
      <c r="AP70" s="619"/>
      <c r="AQ70" s="619"/>
      <c r="AR70" s="619"/>
      <c r="AS70" s="619"/>
      <c r="AT70" s="619"/>
      <c r="AU70" s="619"/>
      <c r="AV70" s="619"/>
      <c r="AW70" s="619"/>
      <c r="AX70" s="619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IQ70" s="102"/>
      <c r="IR70" s="102"/>
      <c r="IS70" s="102"/>
      <c r="IT70" s="102"/>
      <c r="IU70" s="102"/>
      <c r="IV70" s="102"/>
      <c r="IW70" s="102"/>
      <c r="IX70" s="102"/>
      <c r="JI70" s="102"/>
      <c r="JJ70" s="102"/>
      <c r="JK70" s="102"/>
      <c r="JL70" s="102"/>
      <c r="JM70" s="102"/>
      <c r="JN70" s="102"/>
      <c r="JO70" s="102"/>
      <c r="JP70" s="102"/>
      <c r="JQ70" s="102"/>
      <c r="JR70" s="102"/>
      <c r="JS70" s="102"/>
      <c r="JT70" s="102"/>
      <c r="JU70" s="102"/>
      <c r="NM70" s="30"/>
      <c r="NN70" s="888"/>
      <c r="NO70" s="20"/>
      <c r="NP70" s="20"/>
      <c r="NQ70" s="20"/>
      <c r="NR70" s="20"/>
      <c r="NS70" s="20"/>
      <c r="NT70" s="20"/>
      <c r="NU70" s="20"/>
      <c r="NV70" s="20"/>
      <c r="NW70" s="72"/>
      <c r="NX70" s="72"/>
      <c r="NY70" s="72"/>
      <c r="NZ70" s="20"/>
      <c r="OA70" s="647"/>
      <c r="OB70" s="647"/>
      <c r="OC70" s="647"/>
      <c r="OD70" s="647"/>
      <c r="OH70" s="102"/>
      <c r="OI70" s="102"/>
      <c r="OJ70" s="102"/>
      <c r="OK70" s="102"/>
      <c r="OL70" s="102"/>
      <c r="OM70" s="102"/>
      <c r="ON70" s="102"/>
      <c r="OO70" s="102"/>
      <c r="OP70" s="102"/>
      <c r="OQ70" s="102"/>
      <c r="OR70" s="102"/>
      <c r="OS70" s="102"/>
      <c r="OT70" s="102"/>
      <c r="OU70" s="102"/>
      <c r="OV70" s="102"/>
      <c r="OW70" s="102"/>
      <c r="OX70" s="1054"/>
      <c r="OY70" s="1205"/>
      <c r="OZ70" s="20"/>
      <c r="PA70" s="20"/>
      <c r="PB70" s="20"/>
      <c r="PC70" s="600"/>
      <c r="PD70" s="600"/>
      <c r="PE70" s="600"/>
      <c r="PF70" s="600"/>
      <c r="PG70" s="600"/>
      <c r="PH70" s="667"/>
      <c r="PI70" s="600"/>
      <c r="PJ70" s="667"/>
      <c r="PK70" s="102"/>
      <c r="PL70" s="102"/>
      <c r="PM70" s="102"/>
      <c r="PN70" s="102"/>
      <c r="PO70" s="102"/>
      <c r="PP70" s="102"/>
      <c r="PQ70" s="102"/>
      <c r="PR70" s="102"/>
      <c r="SM70" s="521">
        <f>ROW()</f>
        <v>70</v>
      </c>
      <c r="SN70" s="102" t="s">
        <v>201</v>
      </c>
      <c r="SO70" s="608"/>
      <c r="SP70" s="571"/>
      <c r="SQ70" s="576"/>
      <c r="SR70" s="576"/>
      <c r="SS70" s="98">
        <v>574282.80000000016</v>
      </c>
      <c r="ST70" s="98">
        <f>SS70</f>
        <v>574282.80000000016</v>
      </c>
      <c r="SU70" s="98">
        <v>3690776.7899999996</v>
      </c>
      <c r="SV70" s="98">
        <f>SU70+ST70</f>
        <v>4265059.59</v>
      </c>
      <c r="SW70" s="98">
        <v>5846683.0400000028</v>
      </c>
      <c r="SX70" s="98">
        <f>SW70+SV70</f>
        <v>10111742.630000003</v>
      </c>
      <c r="SY70" s="98">
        <v>7696925.2899999954</v>
      </c>
      <c r="SZ70" s="98">
        <f>SY70+SX70</f>
        <v>17808667.919999998</v>
      </c>
      <c r="TA70" s="570"/>
      <c r="TB70" s="570">
        <f>TA70+SZ70</f>
        <v>17808667.919999998</v>
      </c>
      <c r="TC70" s="571"/>
      <c r="TD70" s="570">
        <f>TC70+TB70</f>
        <v>17808667.919999998</v>
      </c>
      <c r="TF70" s="950"/>
      <c r="TG70" s="689"/>
      <c r="TH70" s="690"/>
      <c r="TI70" s="78"/>
      <c r="TJ70" s="78"/>
      <c r="TK70" s="1"/>
      <c r="TL70" s="78"/>
      <c r="TM70" s="1"/>
      <c r="TN70" s="78"/>
      <c r="TO70" s="1"/>
      <c r="TP70" s="78"/>
      <c r="TQ70" s="1"/>
      <c r="TR70" s="78"/>
      <c r="TS70" s="1"/>
      <c r="TV70" s="20"/>
      <c r="TW70" s="20"/>
      <c r="TX70" s="20"/>
      <c r="TY70" s="20"/>
      <c r="TZ70" s="20"/>
      <c r="UA70" s="20"/>
      <c r="UB70" s="20"/>
      <c r="UC70" s="20"/>
      <c r="UD70" s="20"/>
      <c r="UE70" s="20"/>
      <c r="UF70" s="20"/>
      <c r="UG70" s="20"/>
      <c r="UH70" s="20"/>
      <c r="UJ70" s="521"/>
      <c r="UK70" s="523"/>
      <c r="UL70" s="610"/>
      <c r="UM70" s="72"/>
      <c r="UN70" s="72"/>
      <c r="UO70" s="72"/>
      <c r="UP70" s="72"/>
      <c r="UQ70" s="72"/>
      <c r="UR70" s="72"/>
      <c r="US70" s="72"/>
      <c r="UT70" s="72"/>
      <c r="UU70" s="72"/>
      <c r="UV70" s="72"/>
      <c r="UW70" s="72"/>
    </row>
    <row r="71" spans="1:569" ht="15.75" thickBot="1" x14ac:dyDescent="0.3">
      <c r="A71" s="22">
        <f>ROW()</f>
        <v>71</v>
      </c>
      <c r="B71" s="882" t="s">
        <v>442</v>
      </c>
      <c r="D71" s="759">
        <v>-495611.53</v>
      </c>
      <c r="E71" s="745">
        <f>-D71</f>
        <v>495611.53</v>
      </c>
      <c r="F71" s="905">
        <f>D71+E71</f>
        <v>0</v>
      </c>
      <c r="G71" s="905"/>
      <c r="H71" s="905">
        <f>F71+G71</f>
        <v>0</v>
      </c>
      <c r="I71" s="905"/>
      <c r="J71" s="906">
        <f>H71+I71</f>
        <v>0</v>
      </c>
      <c r="K71" s="905"/>
      <c r="L71" s="906">
        <f>J71+K71</f>
        <v>0</v>
      </c>
      <c r="M71" s="905"/>
      <c r="N71" s="906">
        <f>L71+M71</f>
        <v>0</v>
      </c>
      <c r="O71" s="905"/>
      <c r="P71" s="906">
        <f>N71+O71</f>
        <v>0</v>
      </c>
      <c r="Q71" s="905"/>
      <c r="R71" s="906">
        <f>P71+Q71</f>
        <v>0</v>
      </c>
      <c r="S71" s="529">
        <f>ROW()</f>
        <v>71</v>
      </c>
      <c r="T71" s="575" t="s">
        <v>99</v>
      </c>
      <c r="V71" s="763">
        <f t="shared" ref="V71:AF71" si="224">V43</f>
        <v>102976391.14</v>
      </c>
      <c r="W71" s="763">
        <f t="shared" si="224"/>
        <v>-102976391.14</v>
      </c>
      <c r="X71" s="763">
        <f t="shared" si="224"/>
        <v>0</v>
      </c>
      <c r="Y71" s="763">
        <f t="shared" si="224"/>
        <v>0</v>
      </c>
      <c r="Z71" s="763">
        <f t="shared" si="224"/>
        <v>0</v>
      </c>
      <c r="AA71" s="763">
        <f t="shared" si="224"/>
        <v>0</v>
      </c>
      <c r="AB71" s="763">
        <f t="shared" si="224"/>
        <v>0</v>
      </c>
      <c r="AC71" s="763">
        <f t="shared" si="224"/>
        <v>0</v>
      </c>
      <c r="AD71" s="763">
        <f t="shared" si="224"/>
        <v>0</v>
      </c>
      <c r="AE71" s="763">
        <f t="shared" si="224"/>
        <v>0</v>
      </c>
      <c r="AF71" s="763">
        <f t="shared" si="224"/>
        <v>0</v>
      </c>
      <c r="AG71" s="901"/>
      <c r="AH71" s="901"/>
      <c r="AI71" s="901"/>
      <c r="AJ71" s="901"/>
      <c r="AL71" s="842"/>
      <c r="AM71" s="667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IQ71" s="102"/>
      <c r="IR71" s="102"/>
      <c r="IS71" s="102"/>
      <c r="IT71" s="102"/>
      <c r="IU71" s="102"/>
      <c r="IV71" s="102"/>
      <c r="IW71" s="102"/>
      <c r="IX71" s="102"/>
      <c r="JI71" s="102"/>
      <c r="JJ71" s="102"/>
      <c r="JK71" s="102"/>
      <c r="JL71" s="102"/>
      <c r="JM71" s="102"/>
      <c r="JN71" s="102"/>
      <c r="JO71" s="102"/>
      <c r="JP71" s="102"/>
      <c r="JQ71" s="102"/>
      <c r="JR71" s="102"/>
      <c r="JS71" s="102"/>
      <c r="JT71" s="102"/>
      <c r="JU71" s="102"/>
      <c r="NM71" s="30"/>
      <c r="NN71" s="888"/>
      <c r="NO71" s="1177"/>
      <c r="NP71" s="64"/>
      <c r="NQ71" s="64"/>
      <c r="NR71" s="64"/>
      <c r="NS71" s="64"/>
      <c r="NT71" s="64"/>
      <c r="NU71" s="64"/>
      <c r="NV71" s="64"/>
      <c r="NW71" s="641"/>
      <c r="NX71" s="641"/>
      <c r="NY71" s="641"/>
      <c r="NZ71" s="641"/>
      <c r="OA71" s="824"/>
      <c r="OB71" s="824"/>
      <c r="OC71" s="824"/>
      <c r="OD71" s="824"/>
      <c r="OH71" s="102"/>
      <c r="OI71" s="102"/>
      <c r="OJ71" s="102"/>
      <c r="OK71" s="102"/>
      <c r="OL71" s="102"/>
      <c r="OM71" s="102"/>
      <c r="ON71" s="102"/>
      <c r="OO71" s="102"/>
      <c r="OP71" s="102"/>
      <c r="OQ71" s="102"/>
      <c r="OR71" s="102"/>
      <c r="OS71" s="102"/>
      <c r="OT71" s="102"/>
      <c r="OU71" s="102"/>
      <c r="OV71" s="102"/>
      <c r="OW71" s="102"/>
      <c r="OX71" s="1203"/>
      <c r="OY71" s="1054"/>
      <c r="OZ71" s="63"/>
      <c r="PA71" s="624"/>
      <c r="PB71" s="63"/>
      <c r="PC71" s="63"/>
      <c r="PD71" s="600"/>
      <c r="PE71" s="63"/>
      <c r="PF71" s="600"/>
      <c r="PG71" s="63"/>
      <c r="PH71" s="647"/>
      <c r="PI71" s="63"/>
      <c r="PJ71" s="647"/>
      <c r="PK71" s="102"/>
      <c r="PL71" s="102"/>
      <c r="PM71" s="102"/>
      <c r="PN71" s="102"/>
      <c r="PO71" s="102"/>
      <c r="PP71" s="102"/>
      <c r="PQ71" s="102"/>
      <c r="PR71" s="102"/>
      <c r="SM71" s="521">
        <f>ROW()</f>
        <v>71</v>
      </c>
      <c r="SN71" s="102" t="s">
        <v>222</v>
      </c>
      <c r="SO71" s="608"/>
      <c r="SP71" s="607"/>
      <c r="SQ71" s="74"/>
      <c r="SR71" s="74"/>
      <c r="SS71" s="39">
        <v>20132.904329999998</v>
      </c>
      <c r="ST71" s="39">
        <f>SS71</f>
        <v>20132.904329999998</v>
      </c>
      <c r="SU71" s="39">
        <v>463188.96932000003</v>
      </c>
      <c r="SV71" s="39">
        <f>SU71+ST71</f>
        <v>483321.87365000002</v>
      </c>
      <c r="SW71" s="39">
        <v>2245601.6213400005</v>
      </c>
      <c r="SX71" s="39">
        <f>SW71+SV71</f>
        <v>2728923.4949900005</v>
      </c>
      <c r="SY71" s="39">
        <v>1896880.3430499993</v>
      </c>
      <c r="SZ71" s="39">
        <f t="shared" ref="SZ71:TD73" si="225">SY71+SX71</f>
        <v>4625803.8380399998</v>
      </c>
      <c r="TA71" s="606"/>
      <c r="TB71" s="606">
        <f t="shared" si="225"/>
        <v>4625803.8380399998</v>
      </c>
      <c r="TC71" s="607"/>
      <c r="TD71" s="606">
        <f t="shared" si="225"/>
        <v>4625803.8380399998</v>
      </c>
      <c r="TF71" s="950"/>
      <c r="TG71" s="679"/>
      <c r="TH71" s="711"/>
      <c r="TI71" s="78"/>
      <c r="TJ71" s="78"/>
      <c r="TK71" s="1"/>
      <c r="TL71" s="78"/>
      <c r="TM71" s="1"/>
      <c r="TN71" s="78"/>
      <c r="TO71" s="1"/>
      <c r="TP71" s="78"/>
      <c r="TQ71" s="1"/>
      <c r="TR71" s="78"/>
      <c r="TS71" s="1"/>
      <c r="TV71" s="20"/>
      <c r="TW71" s="20"/>
      <c r="TX71" s="20"/>
      <c r="TY71" s="20"/>
      <c r="TZ71" s="20"/>
      <c r="UA71" s="20"/>
      <c r="UB71" s="20"/>
      <c r="UC71" s="20"/>
      <c r="UD71" s="20"/>
      <c r="UE71" s="20"/>
      <c r="UF71" s="20"/>
      <c r="UG71" s="20"/>
      <c r="UH71" s="20"/>
      <c r="UJ71" s="521"/>
      <c r="UK71" s="20"/>
      <c r="UL71" s="610"/>
      <c r="UM71" s="573"/>
      <c r="UN71" s="573"/>
      <c r="UO71" s="573"/>
      <c r="UP71" s="574"/>
      <c r="UQ71" s="574"/>
      <c r="UR71" s="574"/>
      <c r="US71" s="574"/>
      <c r="UT71" s="574"/>
      <c r="UU71" s="574"/>
      <c r="UV71" s="574"/>
      <c r="UW71" s="574"/>
    </row>
    <row r="72" spans="1:569" ht="15.75" thickTop="1" x14ac:dyDescent="0.25">
      <c r="A72" s="22">
        <f>ROW()</f>
        <v>72</v>
      </c>
      <c r="B72" s="540" t="s">
        <v>443</v>
      </c>
      <c r="C72" s="477"/>
      <c r="D72" s="907">
        <f>SUM(D68:D71)</f>
        <v>-11032590.689999999</v>
      </c>
      <c r="E72" s="907">
        <f t="shared" ref="E72:R72" si="226">SUM(E68:E71)</f>
        <v>11032590.689999999</v>
      </c>
      <c r="F72" s="907">
        <f t="shared" si="226"/>
        <v>0</v>
      </c>
      <c r="G72" s="907">
        <f t="shared" si="226"/>
        <v>0</v>
      </c>
      <c r="H72" s="907">
        <f t="shared" si="226"/>
        <v>0</v>
      </c>
      <c r="I72" s="907">
        <f t="shared" si="226"/>
        <v>0</v>
      </c>
      <c r="J72" s="907">
        <f t="shared" si="226"/>
        <v>0</v>
      </c>
      <c r="K72" s="907">
        <f t="shared" si="226"/>
        <v>0</v>
      </c>
      <c r="L72" s="907">
        <f t="shared" si="226"/>
        <v>0</v>
      </c>
      <c r="M72" s="907">
        <f t="shared" si="226"/>
        <v>0</v>
      </c>
      <c r="N72" s="907">
        <f t="shared" si="226"/>
        <v>0</v>
      </c>
      <c r="O72" s="907">
        <f t="shared" si="226"/>
        <v>0</v>
      </c>
      <c r="P72" s="907">
        <f t="shared" si="226"/>
        <v>0</v>
      </c>
      <c r="Q72" s="907">
        <f t="shared" si="226"/>
        <v>0</v>
      </c>
      <c r="R72" s="907">
        <f t="shared" si="226"/>
        <v>0</v>
      </c>
      <c r="S72" s="529">
        <f>ROW()</f>
        <v>72</v>
      </c>
      <c r="T72" s="575" t="s">
        <v>100</v>
      </c>
      <c r="V72" s="908">
        <f>SUM(V51,V38)</f>
        <v>1621618.0850776655</v>
      </c>
      <c r="W72" s="908">
        <f t="shared" ref="W72:AF72" si="227">SUM(W51,W38)</f>
        <v>-1546418.4062276655</v>
      </c>
      <c r="X72" s="908">
        <f t="shared" si="227"/>
        <v>75199.678850000026</v>
      </c>
      <c r="Y72" s="908">
        <f t="shared" si="227"/>
        <v>-75199.678850000011</v>
      </c>
      <c r="Z72" s="903">
        <f t="shared" si="227"/>
        <v>0</v>
      </c>
      <c r="AA72" s="903">
        <f t="shared" si="227"/>
        <v>0</v>
      </c>
      <c r="AB72" s="903">
        <f t="shared" si="227"/>
        <v>0</v>
      </c>
      <c r="AC72" s="903">
        <f t="shared" si="227"/>
        <v>0</v>
      </c>
      <c r="AD72" s="903">
        <f t="shared" si="227"/>
        <v>0</v>
      </c>
      <c r="AE72" s="903">
        <f t="shared" si="227"/>
        <v>0</v>
      </c>
      <c r="AF72" s="903">
        <f t="shared" si="227"/>
        <v>0</v>
      </c>
      <c r="AG72" s="901"/>
      <c r="AH72" s="901"/>
      <c r="AI72" s="901"/>
      <c r="AJ72" s="901"/>
      <c r="AL72" s="842"/>
      <c r="AM72" s="1191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IQ72" s="102"/>
      <c r="IR72" s="102"/>
      <c r="IS72" s="102"/>
      <c r="IT72" s="102"/>
      <c r="IU72" s="102"/>
      <c r="IV72" s="102"/>
      <c r="IW72" s="102"/>
      <c r="IX72" s="102"/>
      <c r="JI72" s="102"/>
      <c r="JJ72" s="102"/>
      <c r="JK72" s="102"/>
      <c r="JL72" s="102"/>
      <c r="JM72" s="102"/>
      <c r="JN72" s="102"/>
      <c r="JO72" s="102"/>
      <c r="JP72" s="102"/>
      <c r="JQ72" s="102"/>
      <c r="JR72" s="102"/>
      <c r="JS72" s="102"/>
      <c r="JT72" s="102"/>
      <c r="JU72" s="102"/>
      <c r="NM72" s="30"/>
      <c r="NN72" s="888"/>
      <c r="NO72" s="1198"/>
      <c r="NP72" s="647"/>
      <c r="NQ72" s="647"/>
      <c r="NR72" s="647"/>
      <c r="NS72" s="647"/>
      <c r="NT72" s="647"/>
      <c r="NU72" s="647"/>
      <c r="NV72" s="647"/>
      <c r="NW72" s="647"/>
      <c r="NX72" s="647"/>
      <c r="NY72" s="647"/>
      <c r="NZ72" s="647"/>
      <c r="OH72" s="102"/>
      <c r="OI72" s="102"/>
      <c r="OJ72" s="102"/>
      <c r="OK72" s="102"/>
      <c r="OL72" s="102"/>
      <c r="OM72" s="102"/>
      <c r="ON72" s="102"/>
      <c r="OO72" s="102"/>
      <c r="OP72" s="102"/>
      <c r="OQ72" s="102"/>
      <c r="OR72" s="102"/>
      <c r="OS72" s="102"/>
      <c r="OT72" s="102"/>
      <c r="OU72" s="102"/>
      <c r="OV72" s="102"/>
      <c r="OW72" s="102"/>
      <c r="OX72" s="1203"/>
      <c r="OY72" s="592"/>
      <c r="OZ72" s="63"/>
      <c r="PA72" s="63"/>
      <c r="PB72" s="63"/>
      <c r="PC72" s="63"/>
      <c r="PD72" s="600"/>
      <c r="PE72" s="63"/>
      <c r="PF72" s="600"/>
      <c r="PG72" s="63"/>
      <c r="PH72" s="647"/>
      <c r="PI72" s="63"/>
      <c r="PJ72" s="647"/>
      <c r="PK72" s="102"/>
      <c r="PL72" s="102"/>
      <c r="PM72" s="102"/>
      <c r="PN72" s="102"/>
      <c r="PO72" s="102"/>
      <c r="PP72" s="102"/>
      <c r="PQ72" s="102"/>
      <c r="PR72" s="102"/>
      <c r="SM72" s="521">
        <f>ROW()</f>
        <v>72</v>
      </c>
      <c r="SN72" s="102" t="s">
        <v>244</v>
      </c>
      <c r="SO72" s="608"/>
      <c r="SP72" s="607"/>
      <c r="SQ72" s="74"/>
      <c r="SR72" s="74"/>
      <c r="SS72" s="39">
        <v>378322.60000000003</v>
      </c>
      <c r="ST72" s="39">
        <f>SS72</f>
        <v>378322.60000000003</v>
      </c>
      <c r="SU72" s="39">
        <v>6530691.1800000006</v>
      </c>
      <c r="SV72" s="39">
        <f>SU72+ST72</f>
        <v>6909013.7800000003</v>
      </c>
      <c r="SW72" s="39">
        <v>3525598.1800000006</v>
      </c>
      <c r="SX72" s="39">
        <f>SW72+SV72</f>
        <v>10434611.960000001</v>
      </c>
      <c r="SY72" s="39">
        <v>11020664.309999999</v>
      </c>
      <c r="SZ72" s="39">
        <f t="shared" si="225"/>
        <v>21455276.27</v>
      </c>
      <c r="TA72" s="606"/>
      <c r="TB72" s="606">
        <f t="shared" si="225"/>
        <v>21455276.27</v>
      </c>
      <c r="TC72" s="607"/>
      <c r="TD72" s="606">
        <f t="shared" si="225"/>
        <v>21455276.27</v>
      </c>
      <c r="TF72" s="950"/>
      <c r="TG72" s="679"/>
      <c r="TH72" s="711"/>
      <c r="TI72" s="78"/>
      <c r="TJ72" s="78"/>
      <c r="TK72" s="1"/>
      <c r="TL72" s="1"/>
      <c r="TM72" s="1"/>
      <c r="TN72" s="1"/>
      <c r="TO72" s="1"/>
      <c r="TP72" s="1"/>
      <c r="TQ72" s="1"/>
      <c r="TR72" s="1"/>
      <c r="TS72" s="1"/>
      <c r="UJ72" s="521"/>
      <c r="UK72" s="20"/>
      <c r="UL72" s="610"/>
      <c r="UM72" s="42"/>
      <c r="UN72" s="42"/>
      <c r="UO72" s="42"/>
      <c r="UP72" s="633"/>
      <c r="UQ72" s="633"/>
      <c r="UR72" s="633"/>
      <c r="US72" s="633"/>
      <c r="UT72" s="633"/>
      <c r="UU72" s="633"/>
      <c r="UV72" s="633"/>
      <c r="UW72" s="633"/>
    </row>
    <row r="73" spans="1:569" ht="15" x14ac:dyDescent="0.25">
      <c r="A73" s="22">
        <f>ROW()</f>
        <v>73</v>
      </c>
      <c r="D73" s="63"/>
      <c r="E73" s="64"/>
      <c r="F73" s="64"/>
      <c r="G73" s="64"/>
      <c r="H73" s="801"/>
      <c r="I73" s="64"/>
      <c r="J73" s="801"/>
      <c r="K73" s="64"/>
      <c r="L73" s="801"/>
      <c r="M73" s="64"/>
      <c r="N73" s="801"/>
      <c r="O73" s="64"/>
      <c r="P73" s="801"/>
      <c r="Q73" s="64"/>
      <c r="R73" s="801"/>
      <c r="S73" s="529">
        <f>ROW()</f>
        <v>73</v>
      </c>
      <c r="T73" s="575" t="s">
        <v>104</v>
      </c>
      <c r="V73" s="903">
        <f>SUM(V54,V48)</f>
        <v>-11274.67</v>
      </c>
      <c r="W73" s="903">
        <f t="shared" ref="W73:AF73" si="228">SUM(W54,W48)</f>
        <v>11274.67</v>
      </c>
      <c r="X73" s="903">
        <f t="shared" si="228"/>
        <v>0</v>
      </c>
      <c r="Y73" s="903">
        <f t="shared" si="228"/>
        <v>0</v>
      </c>
      <c r="Z73" s="903">
        <f t="shared" si="228"/>
        <v>0</v>
      </c>
      <c r="AA73" s="903">
        <f t="shared" si="228"/>
        <v>0</v>
      </c>
      <c r="AB73" s="903">
        <f t="shared" si="228"/>
        <v>0</v>
      </c>
      <c r="AC73" s="903">
        <f t="shared" si="228"/>
        <v>0</v>
      </c>
      <c r="AD73" s="903">
        <f t="shared" si="228"/>
        <v>0</v>
      </c>
      <c r="AE73" s="903">
        <f t="shared" si="228"/>
        <v>0</v>
      </c>
      <c r="AF73" s="903">
        <f t="shared" si="228"/>
        <v>0</v>
      </c>
      <c r="AG73" s="901"/>
      <c r="AH73" s="901"/>
      <c r="AI73" s="901"/>
      <c r="AJ73" s="901"/>
      <c r="AL73" s="842"/>
      <c r="AM73" s="20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IQ73" s="102"/>
      <c r="IR73" s="102"/>
      <c r="IS73" s="102"/>
      <c r="IT73" s="102"/>
      <c r="IU73" s="102"/>
      <c r="IV73" s="102"/>
      <c r="IW73" s="102"/>
      <c r="IX73" s="102"/>
      <c r="JI73" s="102"/>
      <c r="JJ73" s="102"/>
      <c r="JK73" s="102"/>
      <c r="JL73" s="102"/>
      <c r="JM73" s="102"/>
      <c r="JN73" s="102"/>
      <c r="JO73" s="102"/>
      <c r="JP73" s="102"/>
      <c r="JQ73" s="102"/>
      <c r="JR73" s="102"/>
      <c r="JS73" s="102"/>
      <c r="JT73" s="102"/>
      <c r="JU73" s="102"/>
      <c r="NM73" s="30"/>
      <c r="NN73" s="888"/>
      <c r="NO73" s="547"/>
      <c r="NP73" s="980"/>
      <c r="NQ73" s="980"/>
      <c r="NR73" s="980"/>
      <c r="NS73" s="980"/>
      <c r="NT73" s="980"/>
      <c r="NU73" s="980"/>
      <c r="NV73" s="980"/>
      <c r="NW73" s="980"/>
      <c r="NX73" s="980"/>
      <c r="NY73" s="980"/>
      <c r="NZ73" s="980"/>
      <c r="OH73" s="102"/>
      <c r="OI73" s="102"/>
      <c r="OJ73" s="102"/>
      <c r="OK73" s="102"/>
      <c r="OL73" s="102"/>
      <c r="OM73" s="102"/>
      <c r="ON73" s="102"/>
      <c r="OO73" s="102"/>
      <c r="OP73" s="102"/>
      <c r="OQ73" s="102"/>
      <c r="OR73" s="102"/>
      <c r="OS73" s="102"/>
      <c r="OT73" s="102"/>
      <c r="OU73" s="102"/>
      <c r="OV73" s="102"/>
      <c r="OW73" s="102"/>
      <c r="OX73" s="1203"/>
      <c r="OY73" s="20"/>
      <c r="OZ73" s="63"/>
      <c r="PA73" s="63"/>
      <c r="PB73" s="63"/>
      <c r="PC73" s="63"/>
      <c r="PD73" s="600"/>
      <c r="PE73" s="600"/>
      <c r="PF73" s="600"/>
      <c r="PG73" s="647"/>
      <c r="PH73" s="647"/>
      <c r="PI73" s="647"/>
      <c r="PJ73" s="647"/>
      <c r="PK73" s="102"/>
      <c r="PL73" s="102"/>
      <c r="PM73" s="102"/>
      <c r="PN73" s="102"/>
      <c r="PO73" s="102"/>
      <c r="PP73" s="102"/>
      <c r="PQ73" s="102"/>
      <c r="PR73" s="102"/>
      <c r="SM73" s="521">
        <f>ROW()</f>
        <v>73</v>
      </c>
      <c r="SN73" s="102" t="s">
        <v>260</v>
      </c>
      <c r="SO73" s="608"/>
      <c r="SP73" s="671"/>
      <c r="SQ73" s="739"/>
      <c r="SR73" s="739"/>
      <c r="SS73" s="745">
        <v>363856.31589999999</v>
      </c>
      <c r="ST73" s="745">
        <f>SS73</f>
        <v>363856.31589999999</v>
      </c>
      <c r="SU73" s="745">
        <v>6673199.4479150008</v>
      </c>
      <c r="SV73" s="745">
        <f>SU73+ST73</f>
        <v>7037055.7638150007</v>
      </c>
      <c r="SW73" s="745">
        <v>8857462.1866499986</v>
      </c>
      <c r="SX73" s="745">
        <f>SW73+SV73</f>
        <v>15894517.950464999</v>
      </c>
      <c r="SY73" s="745">
        <v>9258105.1135649998</v>
      </c>
      <c r="SZ73" s="745">
        <f t="shared" si="225"/>
        <v>25152623.064029999</v>
      </c>
      <c r="TA73" s="669"/>
      <c r="TB73" s="669">
        <f t="shared" si="225"/>
        <v>25152623.064029999</v>
      </c>
      <c r="TC73" s="671"/>
      <c r="TD73" s="669">
        <f t="shared" si="225"/>
        <v>25152623.064029999</v>
      </c>
      <c r="TF73" s="950"/>
      <c r="TG73" s="679"/>
      <c r="TH73" s="711"/>
      <c r="TI73" s="651"/>
      <c r="TJ73" s="651"/>
      <c r="TK73" s="1"/>
      <c r="TL73" s="1"/>
      <c r="TM73" s="1"/>
      <c r="TN73" s="1"/>
      <c r="TO73" s="1"/>
      <c r="TP73" s="1"/>
      <c r="TQ73" s="1"/>
      <c r="TR73" s="1"/>
      <c r="TS73" s="1"/>
      <c r="UJ73" s="521"/>
      <c r="UK73" s="20"/>
      <c r="UL73" s="610"/>
      <c r="UM73" s="42"/>
      <c r="UN73" s="42"/>
      <c r="UO73" s="42"/>
      <c r="UP73" s="633"/>
      <c r="UQ73" s="633"/>
      <c r="UR73" s="633"/>
      <c r="US73" s="633"/>
      <c r="UT73" s="633"/>
      <c r="UU73" s="633"/>
      <c r="UV73" s="633"/>
      <c r="UW73" s="633"/>
    </row>
    <row r="74" spans="1:569" ht="15" x14ac:dyDescent="0.25">
      <c r="A74" s="22">
        <f>ROW()</f>
        <v>74</v>
      </c>
      <c r="B74" s="28" t="s">
        <v>300</v>
      </c>
      <c r="C74" s="37">
        <f>+'SEF-31'!E12</f>
        <v>6.4879999999999998E-3</v>
      </c>
      <c r="D74" s="898">
        <f t="shared" ref="D74:G76" si="229">+D$63*$C74</f>
        <v>1107342.3074794102</v>
      </c>
      <c r="E74" s="898">
        <f t="shared" si="229"/>
        <v>728803.3131637437</v>
      </c>
      <c r="F74" s="898">
        <f t="shared" si="229"/>
        <v>1836145.6206431531</v>
      </c>
      <c r="G74" s="898">
        <f t="shared" si="229"/>
        <v>-1560989.5174161133</v>
      </c>
      <c r="H74" s="898">
        <f t="shared" ref="H74:N75" si="230">G74+F74</f>
        <v>275156.1032270398</v>
      </c>
      <c r="I74" s="910">
        <f>+I$63*$C74</f>
        <v>78577.778923201899</v>
      </c>
      <c r="J74" s="910">
        <f t="shared" si="230"/>
        <v>353733.8821502417</v>
      </c>
      <c r="K74" s="898">
        <f>+K$63*$C74</f>
        <v>50695.494465012889</v>
      </c>
      <c r="L74" s="910">
        <f t="shared" si="230"/>
        <v>404429.37661525456</v>
      </c>
      <c r="M74" s="898">
        <f>+M$63*$C74</f>
        <v>176670.94779115092</v>
      </c>
      <c r="N74" s="910">
        <f t="shared" si="230"/>
        <v>581100.32440640545</v>
      </c>
      <c r="O74" s="898">
        <f>+O$63*$C74</f>
        <v>0</v>
      </c>
      <c r="P74" s="898">
        <f t="shared" ref="P74:P75" si="231">O74+N74</f>
        <v>581100.32440640545</v>
      </c>
      <c r="Q74" s="898">
        <f>+Q$63*$C74</f>
        <v>0</v>
      </c>
      <c r="R74" s="898">
        <f t="shared" ref="R74:R75" si="232">Q74+P74</f>
        <v>581100.32440640545</v>
      </c>
      <c r="S74" s="529">
        <f>ROW()</f>
        <v>74</v>
      </c>
      <c r="T74" s="575" t="s">
        <v>105</v>
      </c>
      <c r="V74" s="903">
        <f>SUM(V52,V45,V44,V39)</f>
        <v>160366695.8847048</v>
      </c>
      <c r="W74" s="903">
        <f t="shared" ref="W74:AF74" si="233">SUM(W52,W45,W44,W39)</f>
        <v>-159787914.03646788</v>
      </c>
      <c r="X74" s="903">
        <f t="shared" si="233"/>
        <v>578781.84823690914</v>
      </c>
      <c r="Y74" s="903">
        <f t="shared" si="233"/>
        <v>-578781.84823691007</v>
      </c>
      <c r="Z74" s="903">
        <f t="shared" si="233"/>
        <v>0</v>
      </c>
      <c r="AA74" s="903">
        <f t="shared" si="233"/>
        <v>0</v>
      </c>
      <c r="AB74" s="903">
        <f t="shared" si="233"/>
        <v>0</v>
      </c>
      <c r="AC74" s="903">
        <f t="shared" si="233"/>
        <v>0</v>
      </c>
      <c r="AD74" s="903">
        <f t="shared" si="233"/>
        <v>0</v>
      </c>
      <c r="AE74" s="903">
        <f t="shared" si="233"/>
        <v>0</v>
      </c>
      <c r="AF74" s="903">
        <f t="shared" si="233"/>
        <v>0</v>
      </c>
      <c r="AG74" s="901"/>
      <c r="AH74" s="901"/>
      <c r="AI74" s="901"/>
      <c r="AJ74" s="901"/>
      <c r="AL74" s="20"/>
      <c r="AM74" s="20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IQ74" s="102"/>
      <c r="IR74" s="102"/>
      <c r="IS74" s="102"/>
      <c r="IT74" s="102"/>
      <c r="IU74" s="102"/>
      <c r="IV74" s="102"/>
      <c r="IW74" s="102"/>
      <c r="IX74" s="102"/>
      <c r="JI74" s="102"/>
      <c r="JJ74" s="102"/>
      <c r="JK74" s="102"/>
      <c r="JL74" s="102"/>
      <c r="JM74" s="102"/>
      <c r="JN74" s="102"/>
      <c r="JO74" s="102"/>
      <c r="JP74" s="102"/>
      <c r="JQ74" s="102"/>
      <c r="JR74" s="102"/>
      <c r="JS74" s="102"/>
      <c r="JT74" s="102"/>
      <c r="JU74" s="102"/>
      <c r="NN74" s="88"/>
      <c r="OH74" s="102"/>
      <c r="OI74" s="102"/>
      <c r="OJ74" s="102"/>
      <c r="OK74" s="102"/>
      <c r="OL74" s="102"/>
      <c r="OM74" s="102"/>
      <c r="ON74" s="102"/>
      <c r="OO74" s="102"/>
      <c r="OP74" s="102"/>
      <c r="OQ74" s="102"/>
      <c r="OR74" s="102"/>
      <c r="OS74" s="102"/>
      <c r="OT74" s="102"/>
      <c r="OU74" s="102"/>
      <c r="OV74" s="102"/>
      <c r="OW74" s="102"/>
      <c r="OX74" s="4"/>
      <c r="OY74" s="592"/>
      <c r="OZ74" s="667"/>
      <c r="PA74" s="667"/>
      <c r="PB74" s="667"/>
      <c r="PC74" s="667"/>
      <c r="PD74" s="600"/>
      <c r="PE74" s="600"/>
      <c r="PF74" s="600"/>
      <c r="PG74" s="647"/>
      <c r="PH74" s="647"/>
      <c r="PI74" s="647"/>
      <c r="PJ74" s="647"/>
      <c r="PK74" s="102"/>
      <c r="PL74" s="102"/>
      <c r="PM74" s="102"/>
      <c r="PN74" s="102"/>
      <c r="PO74" s="102"/>
      <c r="PP74" s="102"/>
      <c r="PQ74" s="102"/>
      <c r="PR74" s="102"/>
      <c r="SM74" s="521">
        <f>ROW()</f>
        <v>74</v>
      </c>
      <c r="SN74" s="102" t="s">
        <v>280</v>
      </c>
      <c r="SO74" s="608"/>
      <c r="SP74" s="606"/>
      <c r="SQ74" s="39"/>
      <c r="SR74" s="39"/>
      <c r="SS74" s="39">
        <f t="shared" ref="SS74:TD74" si="234">SUM(SS70:SS73)</f>
        <v>1336594.6202300002</v>
      </c>
      <c r="ST74" s="39">
        <f t="shared" si="234"/>
        <v>1336594.6202300002</v>
      </c>
      <c r="SU74" s="39">
        <f t="shared" si="234"/>
        <v>17357856.387235001</v>
      </c>
      <c r="SV74" s="39">
        <f t="shared" si="234"/>
        <v>18694451.007465001</v>
      </c>
      <c r="SW74" s="39">
        <f t="shared" si="234"/>
        <v>20475345.027990006</v>
      </c>
      <c r="SX74" s="39">
        <f t="shared" si="234"/>
        <v>39169796.035455003</v>
      </c>
      <c r="SY74" s="39">
        <f t="shared" si="234"/>
        <v>29872575.056614995</v>
      </c>
      <c r="SZ74" s="39">
        <f t="shared" si="234"/>
        <v>69042371.092069983</v>
      </c>
      <c r="TA74" s="606">
        <f t="shared" si="234"/>
        <v>0</v>
      </c>
      <c r="TB74" s="606">
        <f t="shared" si="234"/>
        <v>69042371.092069983</v>
      </c>
      <c r="TC74" s="606">
        <f t="shared" si="234"/>
        <v>0</v>
      </c>
      <c r="TD74" s="606">
        <f t="shared" si="234"/>
        <v>69042371.092069983</v>
      </c>
      <c r="TF74" s="950"/>
      <c r="TG74" s="690"/>
      <c r="TH74" s="749"/>
      <c r="TI74" s="78"/>
      <c r="TJ74" s="78"/>
      <c r="TK74" s="1"/>
      <c r="TL74" s="1"/>
      <c r="TM74" s="1"/>
      <c r="TN74" s="1"/>
      <c r="TO74" s="1"/>
      <c r="TP74" s="1"/>
      <c r="TQ74" s="1"/>
      <c r="TR74" s="1"/>
      <c r="TS74" s="1"/>
      <c r="UJ74" s="521"/>
      <c r="UK74" s="20"/>
      <c r="UL74" s="610"/>
      <c r="UM74" s="42"/>
      <c r="UN74" s="42"/>
      <c r="UO74" s="42"/>
      <c r="UP74" s="633"/>
      <c r="UQ74" s="633"/>
      <c r="UR74" s="633"/>
      <c r="US74" s="633"/>
      <c r="UT74" s="633"/>
      <c r="UU74" s="633"/>
      <c r="UV74" s="633"/>
      <c r="UW74" s="633"/>
    </row>
    <row r="75" spans="1:569" ht="15" x14ac:dyDescent="0.25">
      <c r="A75" s="22">
        <f>ROW()</f>
        <v>75</v>
      </c>
      <c r="B75" s="28" t="s">
        <v>310</v>
      </c>
      <c r="C75" s="1151">
        <v>5.0000000000000001E-3</v>
      </c>
      <c r="D75" s="910">
        <f t="shared" si="229"/>
        <v>853377.2406592248</v>
      </c>
      <c r="E75" s="910">
        <f t="shared" si="229"/>
        <v>561654.83443568414</v>
      </c>
      <c r="F75" s="910">
        <f t="shared" si="229"/>
        <v>1415032.0750949085</v>
      </c>
      <c r="G75" s="910">
        <f t="shared" si="229"/>
        <v>-1202982.0571949086</v>
      </c>
      <c r="H75" s="910">
        <f t="shared" si="230"/>
        <v>212050.01789999986</v>
      </c>
      <c r="I75" s="910">
        <f>+I$63*$C75</f>
        <v>60556.241463626626</v>
      </c>
      <c r="J75" s="910">
        <f t="shared" si="230"/>
        <v>272606.25936362648</v>
      </c>
      <c r="K75" s="910">
        <f>+K$63*$C75</f>
        <v>39068.660962556176</v>
      </c>
      <c r="L75" s="910">
        <f t="shared" si="230"/>
        <v>311674.92032618268</v>
      </c>
      <c r="M75" s="910">
        <f>+M$63*$C75</f>
        <v>136152.08676876611</v>
      </c>
      <c r="N75" s="910">
        <f t="shared" si="230"/>
        <v>447827.00709494879</v>
      </c>
      <c r="O75" s="898">
        <f>+O$63*$C75</f>
        <v>0</v>
      </c>
      <c r="P75" s="898">
        <f t="shared" si="231"/>
        <v>447827.00709494879</v>
      </c>
      <c r="Q75" s="898">
        <f>+Q$63*$C75</f>
        <v>0</v>
      </c>
      <c r="R75" s="898">
        <f t="shared" si="232"/>
        <v>447827.00709494879</v>
      </c>
      <c r="S75" s="529">
        <f>ROW()</f>
        <v>75</v>
      </c>
      <c r="T75" s="575" t="s">
        <v>106</v>
      </c>
      <c r="V75" s="908">
        <f t="shared" ref="V75:AF75" si="235">V58</f>
        <v>3032845.2033385653</v>
      </c>
      <c r="W75" s="908">
        <f t="shared" si="235"/>
        <v>-32286.424014708995</v>
      </c>
      <c r="X75" s="908">
        <f t="shared" si="235"/>
        <v>3000558.7793238396</v>
      </c>
      <c r="Y75" s="908">
        <f t="shared" si="235"/>
        <v>-3000558.7793238391</v>
      </c>
      <c r="Z75" s="903">
        <f t="shared" si="235"/>
        <v>0</v>
      </c>
      <c r="AA75" s="903">
        <f t="shared" si="235"/>
        <v>0</v>
      </c>
      <c r="AB75" s="903">
        <f t="shared" si="235"/>
        <v>0</v>
      </c>
      <c r="AC75" s="903">
        <f t="shared" si="235"/>
        <v>0</v>
      </c>
      <c r="AD75" s="903">
        <f t="shared" si="235"/>
        <v>0</v>
      </c>
      <c r="AE75" s="903">
        <f t="shared" si="235"/>
        <v>0</v>
      </c>
      <c r="AF75" s="903">
        <f t="shared" si="235"/>
        <v>0</v>
      </c>
      <c r="AG75" s="21"/>
      <c r="AH75" s="21"/>
      <c r="AI75" s="21"/>
      <c r="AJ75" s="21"/>
      <c r="AL75" s="20"/>
      <c r="AM75" s="20"/>
      <c r="AN75" s="20"/>
      <c r="AO75" s="21"/>
      <c r="AP75" s="78"/>
      <c r="AQ75" s="21"/>
      <c r="AR75" s="20"/>
      <c r="AS75" s="21"/>
      <c r="AT75" s="21"/>
      <c r="AU75" s="21"/>
      <c r="AV75" s="21"/>
      <c r="AW75" s="21"/>
      <c r="AX75" s="21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IQ75" s="102"/>
      <c r="IR75" s="102"/>
      <c r="IS75" s="102"/>
      <c r="IT75" s="102"/>
      <c r="IU75" s="102"/>
      <c r="IV75" s="102"/>
      <c r="IW75" s="102"/>
      <c r="IX75" s="102"/>
      <c r="JI75" s="102"/>
      <c r="JJ75" s="102"/>
      <c r="JK75" s="102"/>
      <c r="JL75" s="102"/>
      <c r="JM75" s="102"/>
      <c r="JN75" s="102"/>
      <c r="JO75" s="102"/>
      <c r="JP75" s="102"/>
      <c r="JQ75" s="102"/>
      <c r="JR75" s="102"/>
      <c r="JS75" s="102"/>
      <c r="JT75" s="102"/>
      <c r="JU75" s="102"/>
      <c r="NN75" s="88"/>
      <c r="OH75" s="102"/>
      <c r="OI75" s="102"/>
      <c r="OJ75" s="102"/>
      <c r="OK75" s="102"/>
      <c r="OL75" s="102"/>
      <c r="OM75" s="102"/>
      <c r="ON75" s="102"/>
      <c r="OO75" s="102"/>
      <c r="OP75" s="102"/>
      <c r="OQ75" s="102"/>
      <c r="OR75" s="102"/>
      <c r="OS75" s="102"/>
      <c r="OT75" s="102"/>
      <c r="OU75" s="102"/>
      <c r="OV75" s="102"/>
      <c r="OW75" s="102"/>
      <c r="OX75" s="592"/>
      <c r="OY75" s="592"/>
      <c r="OZ75" s="667"/>
      <c r="PA75" s="667"/>
      <c r="PB75" s="667"/>
      <c r="PC75" s="667"/>
      <c r="PD75" s="600"/>
      <c r="PE75" s="600"/>
      <c r="PF75" s="600"/>
      <c r="PG75" s="647"/>
      <c r="PH75" s="647"/>
      <c r="PI75" s="647"/>
      <c r="PJ75" s="647"/>
      <c r="PK75" s="102"/>
      <c r="PL75" s="102"/>
      <c r="PM75" s="102"/>
      <c r="PN75" s="102"/>
      <c r="PO75" s="102"/>
      <c r="PP75" s="102"/>
      <c r="PQ75" s="102"/>
      <c r="PR75" s="102"/>
      <c r="SM75" s="521">
        <f>ROW()</f>
        <v>75</v>
      </c>
      <c r="SO75" s="608"/>
      <c r="SP75" s="606"/>
      <c r="SQ75" s="39"/>
      <c r="SR75" s="39"/>
      <c r="SS75" s="39"/>
      <c r="ST75" s="39"/>
      <c r="SU75" s="39"/>
      <c r="SV75" s="39"/>
      <c r="SW75" s="39"/>
      <c r="SX75" s="39"/>
      <c r="SY75" s="39"/>
      <c r="SZ75" s="39"/>
      <c r="TA75" s="606"/>
      <c r="TB75" s="606"/>
      <c r="TC75" s="606"/>
      <c r="TD75" s="606"/>
      <c r="TF75" s="950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UJ75" s="521"/>
      <c r="UK75" s="20"/>
      <c r="UL75" s="610"/>
      <c r="UM75" s="633"/>
      <c r="UN75" s="633"/>
      <c r="UO75" s="633"/>
      <c r="UP75" s="633"/>
      <c r="UQ75" s="633"/>
      <c r="UR75" s="633"/>
      <c r="US75" s="633"/>
      <c r="UT75" s="633"/>
      <c r="UU75" s="633"/>
      <c r="UV75" s="633"/>
      <c r="UW75" s="633"/>
    </row>
    <row r="76" spans="1:569" ht="15.75" thickBot="1" x14ac:dyDescent="0.3">
      <c r="A76" s="22">
        <f>ROW()</f>
        <v>76</v>
      </c>
      <c r="B76" s="28" t="s">
        <v>444</v>
      </c>
      <c r="C76" s="911">
        <f>+'SEF-31'!E14</f>
        <v>3.8483000000000003E-2</v>
      </c>
      <c r="D76" s="912">
        <f t="shared" si="229"/>
        <v>6568103.2704577902</v>
      </c>
      <c r="E76" s="912">
        <f t="shared" si="229"/>
        <v>4322832.5987176867</v>
      </c>
      <c r="F76" s="912">
        <f t="shared" si="229"/>
        <v>10890935.869175473</v>
      </c>
      <c r="G76" s="912">
        <f t="shared" si="229"/>
        <v>-9258871.7014063336</v>
      </c>
      <c r="H76" s="912">
        <f>G76+F76</f>
        <v>1632064.1677691396</v>
      </c>
      <c r="I76" s="913">
        <f>+I$63*$C76</f>
        <v>466077.16804894869</v>
      </c>
      <c r="J76" s="913">
        <f>I76+H76</f>
        <v>2098141.3358180881</v>
      </c>
      <c r="K76" s="912">
        <f>+K$63*$C76</f>
        <v>300695.85596440989</v>
      </c>
      <c r="L76" s="913">
        <f>K76+J76</f>
        <v>2398837.1917824978</v>
      </c>
      <c r="M76" s="912">
        <f>+M$63*$C76</f>
        <v>1047908.1510244854</v>
      </c>
      <c r="N76" s="913">
        <f>M76+L76</f>
        <v>3446745.3428069833</v>
      </c>
      <c r="O76" s="912">
        <f>+O$63*$C76</f>
        <v>0</v>
      </c>
      <c r="P76" s="912">
        <f>O76+N76</f>
        <v>3446745.3428069833</v>
      </c>
      <c r="Q76" s="912">
        <f>+Q$63*$C76</f>
        <v>0</v>
      </c>
      <c r="R76" s="912">
        <f>Q76+P76</f>
        <v>3446745.3428069833</v>
      </c>
      <c r="S76" s="529">
        <f>ROW()</f>
        <v>76</v>
      </c>
      <c r="T76" s="1" t="s">
        <v>109</v>
      </c>
      <c r="V76" s="804">
        <f t="shared" ref="V76:AF76" si="236">SUM(V67:V75)</f>
        <v>288280396.4329738</v>
      </c>
      <c r="W76" s="804">
        <f t="shared" si="236"/>
        <v>-284528277.02328724</v>
      </c>
      <c r="X76" s="804">
        <f t="shared" si="236"/>
        <v>3752119.4096865086</v>
      </c>
      <c r="Y76" s="804">
        <f t="shared" si="236"/>
        <v>-3752119.4096865091</v>
      </c>
      <c r="Z76" s="708">
        <f t="shared" si="236"/>
        <v>0</v>
      </c>
      <c r="AA76" s="708">
        <f t="shared" si="236"/>
        <v>0</v>
      </c>
      <c r="AB76" s="708">
        <f t="shared" si="236"/>
        <v>0</v>
      </c>
      <c r="AC76" s="708">
        <f t="shared" si="236"/>
        <v>0</v>
      </c>
      <c r="AD76" s="708">
        <f t="shared" si="236"/>
        <v>0</v>
      </c>
      <c r="AE76" s="708">
        <f t="shared" si="236"/>
        <v>0</v>
      </c>
      <c r="AF76" s="708">
        <f t="shared" si="236"/>
        <v>0</v>
      </c>
      <c r="AG76" s="899"/>
      <c r="AH76" s="899"/>
      <c r="AI76" s="899"/>
      <c r="AJ76" s="899"/>
      <c r="AL76" s="20"/>
      <c r="AM76" s="20"/>
      <c r="AN76" s="20"/>
      <c r="AO76" s="78"/>
      <c r="AP76" s="78"/>
      <c r="AQ76" s="78"/>
      <c r="AR76" s="20"/>
      <c r="AS76" s="78"/>
      <c r="AT76" s="78"/>
      <c r="AU76" s="78"/>
      <c r="AV76" s="78"/>
      <c r="AW76" s="78"/>
      <c r="AX76" s="78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IQ76" s="102"/>
      <c r="IR76" s="102"/>
      <c r="IS76" s="102"/>
      <c r="IT76" s="102"/>
      <c r="IU76" s="102"/>
      <c r="IV76" s="102"/>
      <c r="IW76" s="102"/>
      <c r="IX76" s="102"/>
      <c r="JI76" s="102"/>
      <c r="JJ76" s="102"/>
      <c r="JK76" s="102"/>
      <c r="JL76" s="102"/>
      <c r="JM76" s="102"/>
      <c r="JN76" s="102"/>
      <c r="JO76" s="102"/>
      <c r="JP76" s="102"/>
      <c r="JQ76" s="102"/>
      <c r="JR76" s="102"/>
      <c r="JS76" s="102"/>
      <c r="JT76" s="102"/>
      <c r="JU76" s="102"/>
      <c r="NN76" s="88"/>
      <c r="OH76" s="102"/>
      <c r="OI76" s="102"/>
      <c r="OJ76" s="102"/>
      <c r="OK76" s="102"/>
      <c r="OL76" s="102"/>
      <c r="OM76" s="102"/>
      <c r="ON76" s="102"/>
      <c r="OO76" s="102"/>
      <c r="OP76" s="102"/>
      <c r="OQ76" s="102"/>
      <c r="OR76" s="102"/>
      <c r="OS76" s="102"/>
      <c r="OT76" s="102"/>
      <c r="OU76" s="102"/>
      <c r="OV76" s="102"/>
      <c r="OW76" s="102"/>
      <c r="OX76" s="594"/>
      <c r="OY76" s="594"/>
      <c r="OZ76" s="667"/>
      <c r="PA76" s="667"/>
      <c r="PB76" s="667"/>
      <c r="PC76" s="667"/>
      <c r="PD76" s="600"/>
      <c r="PE76" s="600"/>
      <c r="PF76" s="600"/>
      <c r="PG76" s="647"/>
      <c r="PH76" s="647"/>
      <c r="PI76" s="647"/>
      <c r="PJ76" s="647"/>
      <c r="PK76" s="102"/>
      <c r="PL76" s="102"/>
      <c r="PM76" s="102"/>
      <c r="PN76" s="102"/>
      <c r="PO76" s="102"/>
      <c r="PP76" s="102"/>
      <c r="PQ76" s="102"/>
      <c r="PR76" s="102"/>
      <c r="SM76" s="521">
        <f>ROW()</f>
        <v>76</v>
      </c>
      <c r="SN76" s="102" t="s">
        <v>258</v>
      </c>
      <c r="SO76" s="608"/>
      <c r="SP76" s="606"/>
      <c r="SQ76" s="39"/>
      <c r="SR76" s="39"/>
      <c r="SS76" s="39">
        <f t="shared" ref="SS76:SY76" si="237">SS74</f>
        <v>1336594.6202300002</v>
      </c>
      <c r="ST76" s="39">
        <f t="shared" si="237"/>
        <v>1336594.6202300002</v>
      </c>
      <c r="SU76" s="39">
        <f t="shared" si="237"/>
        <v>17357856.387235001</v>
      </c>
      <c r="SV76" s="39">
        <f t="shared" si="237"/>
        <v>18694451.007465001</v>
      </c>
      <c r="SW76" s="39">
        <f t="shared" si="237"/>
        <v>20475345.027990006</v>
      </c>
      <c r="SX76" s="39">
        <f t="shared" si="237"/>
        <v>39169796.035455003</v>
      </c>
      <c r="SY76" s="39">
        <f t="shared" si="237"/>
        <v>29872575.056614995</v>
      </c>
      <c r="SZ76" s="39">
        <f>SZ74</f>
        <v>69042371.092069983</v>
      </c>
      <c r="TA76" s="606">
        <f>TA74</f>
        <v>0</v>
      </c>
      <c r="TB76" s="606">
        <f>TB74</f>
        <v>69042371.092069983</v>
      </c>
      <c r="TC76" s="606">
        <f>TC74</f>
        <v>0</v>
      </c>
      <c r="TD76" s="606">
        <f>TD74</f>
        <v>69042371.092069983</v>
      </c>
      <c r="TF76" s="950"/>
      <c r="TG76" s="477"/>
      <c r="TH76" s="610"/>
      <c r="TI76" s="78"/>
      <c r="TJ76" s="78"/>
      <c r="TK76" s="1"/>
      <c r="TL76" s="78"/>
      <c r="TM76" s="1"/>
      <c r="TN76" s="78"/>
      <c r="TO76" s="1"/>
      <c r="TP76" s="78"/>
      <c r="TQ76" s="1"/>
      <c r="TR76" s="78"/>
      <c r="TS76" s="1"/>
      <c r="UJ76" s="521"/>
      <c r="UK76" s="20"/>
      <c r="UL76" s="610"/>
      <c r="UM76" s="633"/>
      <c r="UN76" s="633"/>
      <c r="UO76" s="633"/>
      <c r="UP76" s="633"/>
      <c r="UQ76" s="633"/>
      <c r="UR76" s="633"/>
      <c r="US76" s="633"/>
      <c r="UT76" s="633"/>
      <c r="UU76" s="633"/>
      <c r="UV76" s="633"/>
      <c r="UW76" s="633"/>
    </row>
    <row r="77" spans="1:569" ht="15.75" thickTop="1" x14ac:dyDescent="0.25">
      <c r="A77" s="22">
        <f>ROW()</f>
        <v>77</v>
      </c>
      <c r="B77" s="28" t="s">
        <v>445</v>
      </c>
      <c r="C77" s="798"/>
      <c r="D77" s="910">
        <f>SUM(D74:D76)</f>
        <v>8528822.8185964245</v>
      </c>
      <c r="E77" s="910">
        <f>SUM(E74:E76)</f>
        <v>5613290.7463171147</v>
      </c>
      <c r="F77" s="910">
        <f t="shared" ref="F77:R77" si="238">SUM(F74:F76)</f>
        <v>14142113.564913534</v>
      </c>
      <c r="G77" s="910">
        <f t="shared" si="238"/>
        <v>-12022843.276017357</v>
      </c>
      <c r="H77" s="910">
        <f t="shared" si="238"/>
        <v>2119270.2888961793</v>
      </c>
      <c r="I77" s="910">
        <f t="shared" si="238"/>
        <v>605211.18843577721</v>
      </c>
      <c r="J77" s="910">
        <f t="shared" si="238"/>
        <v>2724481.4773319564</v>
      </c>
      <c r="K77" s="910">
        <f t="shared" si="238"/>
        <v>390460.01139197894</v>
      </c>
      <c r="L77" s="910">
        <f t="shared" si="238"/>
        <v>3114941.4887239351</v>
      </c>
      <c r="M77" s="910">
        <f t="shared" si="238"/>
        <v>1360731.1855844024</v>
      </c>
      <c r="N77" s="910">
        <f t="shared" si="238"/>
        <v>4475672.6743083373</v>
      </c>
      <c r="O77" s="898">
        <f t="shared" si="238"/>
        <v>0</v>
      </c>
      <c r="P77" s="898">
        <f t="shared" si="238"/>
        <v>4475672.6743083373</v>
      </c>
      <c r="Q77" s="898">
        <f t="shared" si="238"/>
        <v>0</v>
      </c>
      <c r="R77" s="898">
        <f t="shared" si="238"/>
        <v>4475672.6743083373</v>
      </c>
      <c r="V77" s="900"/>
      <c r="W77" s="900"/>
      <c r="X77" s="900"/>
      <c r="Y77" s="900"/>
      <c r="Z77" s="900"/>
      <c r="AA77" s="900">
        <f t="shared" ref="AA77:AF77" si="239">(AA58+AA55+AA40)-AA76</f>
        <v>0</v>
      </c>
      <c r="AB77" s="900">
        <f t="shared" si="239"/>
        <v>0</v>
      </c>
      <c r="AC77" s="900">
        <f t="shared" si="239"/>
        <v>0</v>
      </c>
      <c r="AD77" s="900">
        <f t="shared" si="239"/>
        <v>0</v>
      </c>
      <c r="AE77" s="900">
        <f t="shared" si="239"/>
        <v>0</v>
      </c>
      <c r="AF77" s="900">
        <f t="shared" si="239"/>
        <v>0</v>
      </c>
      <c r="AL77" s="20"/>
      <c r="AM77" s="20"/>
      <c r="AN77" s="20"/>
      <c r="AO77" s="21"/>
      <c r="AP77" s="78"/>
      <c r="AQ77" s="21"/>
      <c r="AR77" s="20"/>
      <c r="AS77" s="21"/>
      <c r="AT77" s="21"/>
      <c r="AU77" s="21"/>
      <c r="AV77" s="21"/>
      <c r="AW77" s="21"/>
      <c r="AX77" s="21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IQ77" s="102"/>
      <c r="IR77" s="102"/>
      <c r="IS77" s="102"/>
      <c r="IT77" s="102"/>
      <c r="IU77" s="102"/>
      <c r="IV77" s="102"/>
      <c r="IW77" s="102"/>
      <c r="IX77" s="102"/>
      <c r="JI77" s="102"/>
      <c r="JJ77" s="102"/>
      <c r="JK77" s="102"/>
      <c r="JL77" s="102"/>
      <c r="JM77" s="102"/>
      <c r="JN77" s="102"/>
      <c r="JO77" s="102"/>
      <c r="JP77" s="102"/>
      <c r="JQ77" s="102"/>
      <c r="JR77" s="102"/>
      <c r="JS77" s="102"/>
      <c r="JT77" s="102"/>
      <c r="JU77" s="102"/>
      <c r="NN77" s="88"/>
      <c r="OH77" s="102"/>
      <c r="OI77" s="102"/>
      <c r="OJ77" s="102"/>
      <c r="OK77" s="102"/>
      <c r="OL77" s="102"/>
      <c r="OM77" s="102"/>
      <c r="ON77" s="102"/>
      <c r="OO77" s="102"/>
      <c r="OP77" s="102"/>
      <c r="OQ77" s="102"/>
      <c r="OR77" s="102"/>
      <c r="OS77" s="102"/>
      <c r="OT77" s="102"/>
      <c r="OU77" s="102"/>
      <c r="OV77" s="102"/>
      <c r="OW77" s="102"/>
      <c r="OX77" s="842"/>
      <c r="OY77" s="842"/>
      <c r="OZ77" s="63"/>
      <c r="PA77" s="63"/>
      <c r="PB77" s="63"/>
      <c r="PC77" s="63"/>
      <c r="PD77" s="63"/>
      <c r="PE77" s="63"/>
      <c r="PF77" s="63"/>
      <c r="PG77" s="64"/>
      <c r="PH77" s="64"/>
      <c r="PI77" s="64"/>
      <c r="PJ77" s="64"/>
      <c r="PK77" s="102"/>
      <c r="PL77" s="102"/>
      <c r="PM77" s="102"/>
      <c r="PN77" s="102"/>
      <c r="PO77" s="102"/>
      <c r="PP77" s="102"/>
      <c r="PQ77" s="102"/>
      <c r="PR77" s="102"/>
      <c r="SM77" s="521">
        <f>ROW()</f>
        <v>77</v>
      </c>
      <c r="SO77" s="608"/>
      <c r="SP77" s="568"/>
      <c r="SQ77" s="1210"/>
      <c r="SR77" s="1210"/>
      <c r="SS77" s="1210"/>
      <c r="ST77" s="1210"/>
      <c r="SU77" s="1210"/>
      <c r="SV77" s="1210"/>
      <c r="SW77" s="1210"/>
      <c r="SX77" s="1210"/>
      <c r="SY77" s="1210"/>
      <c r="SZ77" s="1210"/>
      <c r="TA77" s="568"/>
      <c r="TB77" s="568"/>
      <c r="TC77" s="568"/>
      <c r="TD77" s="568"/>
      <c r="TF77" s="950"/>
      <c r="TG77" s="1"/>
      <c r="TH77" s="610"/>
      <c r="TI77" s="78"/>
      <c r="TJ77" s="78"/>
      <c r="TK77" s="1"/>
      <c r="TL77" s="78"/>
      <c r="TM77" s="1"/>
      <c r="TN77" s="78"/>
      <c r="TO77" s="1"/>
      <c r="TP77" s="78"/>
      <c r="TQ77" s="1"/>
      <c r="TR77" s="78"/>
      <c r="TS77" s="1"/>
      <c r="UJ77" s="521"/>
      <c r="UK77" s="20"/>
      <c r="UL77" s="610"/>
      <c r="UM77" s="633"/>
      <c r="UN77" s="633"/>
      <c r="UO77" s="633"/>
      <c r="UP77" s="633"/>
      <c r="UQ77" s="633"/>
      <c r="UR77" s="633"/>
      <c r="US77" s="633"/>
      <c r="UT77" s="633"/>
      <c r="UU77" s="633"/>
      <c r="UV77" s="633"/>
      <c r="UW77" s="633"/>
    </row>
    <row r="78" spans="1:569" ht="15" x14ac:dyDescent="0.25">
      <c r="A78" s="22">
        <f>ROW()</f>
        <v>78</v>
      </c>
      <c r="C78" s="23"/>
      <c r="D78" s="550"/>
      <c r="E78" s="898"/>
      <c r="F78" s="898"/>
      <c r="G78" s="898"/>
      <c r="H78" s="64"/>
      <c r="I78" s="898"/>
      <c r="J78" s="64"/>
      <c r="K78" s="898"/>
      <c r="L78" s="64"/>
      <c r="M78" s="898"/>
      <c r="N78" s="64"/>
      <c r="O78" s="898"/>
      <c r="P78" s="64"/>
      <c r="Q78" s="898"/>
      <c r="R78" s="64"/>
      <c r="S78" s="65" t="s">
        <v>30</v>
      </c>
      <c r="V78" s="51"/>
      <c r="W78" s="90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IQ78" s="102"/>
      <c r="IR78" s="102"/>
      <c r="IS78" s="102"/>
      <c r="IT78" s="102"/>
      <c r="IU78" s="102"/>
      <c r="IV78" s="102"/>
      <c r="IW78" s="102"/>
      <c r="IX78" s="102"/>
      <c r="JI78" s="102"/>
      <c r="JJ78" s="102"/>
      <c r="JK78" s="102"/>
      <c r="JL78" s="102"/>
      <c r="JM78" s="102"/>
      <c r="JN78" s="102"/>
      <c r="JO78" s="102"/>
      <c r="JP78" s="102"/>
      <c r="JQ78" s="102"/>
      <c r="JR78" s="102"/>
      <c r="JS78" s="102"/>
      <c r="JT78" s="102"/>
      <c r="JU78" s="102"/>
      <c r="NN78" s="88"/>
      <c r="OH78" s="102"/>
      <c r="OI78" s="102"/>
      <c r="OJ78" s="102"/>
      <c r="OK78" s="102"/>
      <c r="OL78" s="102"/>
      <c r="OM78" s="102"/>
      <c r="ON78" s="102"/>
      <c r="OO78" s="102"/>
      <c r="OP78" s="102"/>
      <c r="OQ78" s="102"/>
      <c r="OR78" s="102"/>
      <c r="OS78" s="102"/>
      <c r="OT78" s="102"/>
      <c r="OU78" s="102"/>
      <c r="OV78" s="102"/>
      <c r="OW78" s="102"/>
      <c r="OX78" s="1054"/>
      <c r="OY78" s="20"/>
      <c r="OZ78" s="20"/>
      <c r="PA78" s="20"/>
      <c r="PB78" s="20"/>
      <c r="PC78" s="20"/>
      <c r="PD78" s="20"/>
      <c r="PE78" s="20"/>
      <c r="PF78" s="20"/>
      <c r="PG78" s="72"/>
      <c r="PH78" s="72"/>
      <c r="PI78" s="72"/>
      <c r="PJ78" s="72"/>
      <c r="PK78" s="102"/>
      <c r="PL78" s="102"/>
      <c r="PM78" s="102"/>
      <c r="PN78" s="102"/>
      <c r="PO78" s="102"/>
      <c r="PP78" s="102"/>
      <c r="PQ78" s="102"/>
      <c r="PR78" s="102"/>
      <c r="SM78" s="521">
        <f>ROW()</f>
        <v>78</v>
      </c>
      <c r="SN78" s="102" t="s">
        <v>259</v>
      </c>
      <c r="SO78" s="608">
        <v>0.21</v>
      </c>
      <c r="SP78" s="669"/>
      <c r="SQ78" s="745"/>
      <c r="SR78" s="745"/>
      <c r="SS78" s="745">
        <f>SS76*-$SO$78</f>
        <v>-280684.87024830002</v>
      </c>
      <c r="ST78" s="745">
        <f t="shared" ref="ST78:SY78" si="240">ST76*-$SO$78</f>
        <v>-280684.87024830002</v>
      </c>
      <c r="SU78" s="745">
        <f t="shared" si="240"/>
        <v>-3645149.8413193501</v>
      </c>
      <c r="SV78" s="745">
        <f t="shared" si="240"/>
        <v>-3925834.7115676501</v>
      </c>
      <c r="SW78" s="745">
        <f t="shared" si="240"/>
        <v>-4299822.4558779011</v>
      </c>
      <c r="SX78" s="745">
        <f t="shared" si="240"/>
        <v>-8225657.1674455507</v>
      </c>
      <c r="SY78" s="745">
        <f t="shared" si="240"/>
        <v>-6273240.7618891485</v>
      </c>
      <c r="SZ78" s="745">
        <f>SZ76*-$SO$78</f>
        <v>-14498897.929334696</v>
      </c>
      <c r="TA78" s="669">
        <f>TA76*-$SO$78</f>
        <v>0</v>
      </c>
      <c r="TB78" s="669">
        <f>TB76*-$SO$78</f>
        <v>-14498897.929334696</v>
      </c>
      <c r="TC78" s="669">
        <f>TC76*-$SO$78</f>
        <v>0</v>
      </c>
      <c r="TD78" s="669">
        <f>TD76*-$SO$78</f>
        <v>-14498897.929334696</v>
      </c>
      <c r="TF78" s="950"/>
      <c r="TG78" s="20"/>
      <c r="TH78" s="610"/>
      <c r="TI78" s="78"/>
      <c r="TJ78" s="78"/>
      <c r="TK78" s="20"/>
      <c r="TL78" s="78"/>
      <c r="TM78" s="20"/>
      <c r="TN78" s="78"/>
      <c r="TO78" s="20"/>
      <c r="TP78" s="78"/>
      <c r="TQ78" s="20"/>
      <c r="TR78" s="78"/>
      <c r="TS78" s="20"/>
      <c r="UJ78" s="521"/>
      <c r="UK78" s="20"/>
      <c r="UL78" s="610"/>
      <c r="UM78" s="861"/>
      <c r="UN78" s="861"/>
      <c r="UO78" s="861"/>
      <c r="UP78" s="861"/>
      <c r="UQ78" s="861"/>
      <c r="UR78" s="861"/>
      <c r="US78" s="861"/>
      <c r="UT78" s="861"/>
      <c r="UU78" s="861"/>
      <c r="UV78" s="861"/>
      <c r="UW78" s="861"/>
    </row>
    <row r="79" spans="1:569" ht="15" x14ac:dyDescent="0.25">
      <c r="A79" s="22">
        <f>ROW()</f>
        <v>79</v>
      </c>
      <c r="B79" s="28" t="s">
        <v>446</v>
      </c>
      <c r="C79" s="23"/>
      <c r="D79" s="786">
        <f t="shared" ref="D79:R79" si="241">D63+D65-D72-D77</f>
        <v>173179216.00324854</v>
      </c>
      <c r="E79" s="786">
        <f t="shared" si="241"/>
        <v>95685085.450819701</v>
      </c>
      <c r="F79" s="786">
        <f t="shared" si="241"/>
        <v>268864301.45406818</v>
      </c>
      <c r="G79" s="786">
        <f t="shared" si="241"/>
        <v>-228573568.16296434</v>
      </c>
      <c r="H79" s="786">
        <f t="shared" si="241"/>
        <v>40290733.29110381</v>
      </c>
      <c r="I79" s="786">
        <f t="shared" si="241"/>
        <v>11506037.104289547</v>
      </c>
      <c r="J79" s="786">
        <f t="shared" si="241"/>
        <v>51796770.395393357</v>
      </c>
      <c r="K79" s="786">
        <f t="shared" si="241"/>
        <v>7423272.1811192557</v>
      </c>
      <c r="L79" s="786">
        <f t="shared" si="241"/>
        <v>59220042.57651262</v>
      </c>
      <c r="M79" s="786">
        <f t="shared" si="241"/>
        <v>25869686.16816882</v>
      </c>
      <c r="N79" s="786">
        <f t="shared" si="241"/>
        <v>85089728.744681448</v>
      </c>
      <c r="O79" s="763">
        <f t="shared" si="241"/>
        <v>0</v>
      </c>
      <c r="P79" s="763">
        <f t="shared" si="241"/>
        <v>85089728.744681448</v>
      </c>
      <c r="Q79" s="763">
        <f t="shared" si="241"/>
        <v>0</v>
      </c>
      <c r="R79" s="763">
        <f t="shared" si="241"/>
        <v>85089728.744681448</v>
      </c>
      <c r="T79" s="523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L79" s="1187"/>
      <c r="AM79" s="30"/>
      <c r="AN79" s="591"/>
      <c r="AO79" s="591"/>
      <c r="AP79" s="591"/>
      <c r="AQ79" s="591"/>
      <c r="AR79" s="591"/>
      <c r="AS79" s="591"/>
      <c r="AT79" s="591"/>
      <c r="AU79" s="591"/>
      <c r="AV79" s="591"/>
      <c r="AW79" s="591"/>
      <c r="AX79" s="591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IQ79" s="102"/>
      <c r="IR79" s="102"/>
      <c r="IS79" s="102"/>
      <c r="IT79" s="102"/>
      <c r="IU79" s="102"/>
      <c r="IV79" s="102"/>
      <c r="IW79" s="102"/>
      <c r="IX79" s="102"/>
      <c r="JI79" s="102"/>
      <c r="JJ79" s="102"/>
      <c r="JK79" s="102"/>
      <c r="JL79" s="102"/>
      <c r="JM79" s="102"/>
      <c r="JN79" s="102"/>
      <c r="JO79" s="102"/>
      <c r="JP79" s="102"/>
      <c r="JQ79" s="102"/>
      <c r="JR79" s="102"/>
      <c r="JS79" s="102"/>
      <c r="JT79" s="102"/>
      <c r="JU79" s="102"/>
      <c r="NN79" s="88"/>
      <c r="OH79" s="102"/>
      <c r="OI79" s="102"/>
      <c r="OJ79" s="102"/>
      <c r="OK79" s="102"/>
      <c r="OL79" s="102"/>
      <c r="OM79" s="102"/>
      <c r="ON79" s="102"/>
      <c r="OO79" s="102"/>
      <c r="OP79" s="102"/>
      <c r="OQ79" s="102"/>
      <c r="OR79" s="102"/>
      <c r="OS79" s="102"/>
      <c r="OT79" s="102"/>
      <c r="OU79" s="102"/>
      <c r="OV79" s="102"/>
      <c r="OW79" s="102"/>
      <c r="OX79" s="592"/>
      <c r="OY79" s="1206"/>
      <c r="OZ79" s="667"/>
      <c r="PA79" s="846"/>
      <c r="PB79" s="600"/>
      <c r="PC79" s="846"/>
      <c r="PD79" s="846"/>
      <c r="PE79" s="846"/>
      <c r="PF79" s="846"/>
      <c r="PG79" s="846"/>
      <c r="PH79" s="847"/>
      <c r="PI79" s="846"/>
      <c r="PJ79" s="847"/>
      <c r="PK79" s="102"/>
      <c r="PL79" s="102"/>
      <c r="PM79" s="102"/>
      <c r="PN79" s="102"/>
      <c r="PO79" s="102"/>
      <c r="PP79" s="102"/>
      <c r="PQ79" s="102"/>
      <c r="PR79" s="102"/>
      <c r="SM79" s="521">
        <f>ROW()</f>
        <v>79</v>
      </c>
      <c r="SO79" s="608"/>
      <c r="SP79" s="760"/>
      <c r="SQ79" s="36"/>
      <c r="SR79" s="36"/>
      <c r="SS79" s="36"/>
      <c r="ST79" s="36"/>
      <c r="SU79" s="36"/>
      <c r="SV79" s="36"/>
      <c r="SW79" s="36"/>
      <c r="SX79" s="36"/>
      <c r="SY79" s="36"/>
      <c r="SZ79" s="36"/>
      <c r="TA79" s="760"/>
      <c r="TB79" s="760"/>
      <c r="TC79" s="760"/>
      <c r="TD79" s="760"/>
      <c r="TF79" s="950"/>
      <c r="TG79" s="20"/>
      <c r="TH79" s="610"/>
      <c r="TI79" s="78"/>
      <c r="TJ79" s="78"/>
      <c r="TK79" s="20"/>
      <c r="TL79" s="78"/>
      <c r="TM79" s="20"/>
      <c r="TN79" s="78"/>
      <c r="TO79" s="20"/>
      <c r="TP79" s="78"/>
      <c r="TQ79" s="20"/>
      <c r="TR79" s="78"/>
      <c r="TS79" s="20"/>
      <c r="UJ79" s="521"/>
      <c r="UK79" s="20"/>
      <c r="UL79" s="610"/>
      <c r="UM79" s="633"/>
      <c r="UN79" s="633"/>
      <c r="UO79" s="633"/>
      <c r="UP79" s="633"/>
      <c r="UQ79" s="633"/>
      <c r="UR79" s="633"/>
      <c r="US79" s="633"/>
      <c r="UT79" s="633"/>
      <c r="UU79" s="633"/>
      <c r="UV79" s="633"/>
      <c r="UW79" s="633"/>
    </row>
    <row r="80" spans="1:569" ht="15.75" thickBot="1" x14ac:dyDescent="0.3">
      <c r="A80" s="22">
        <f>ROW()</f>
        <v>80</v>
      </c>
      <c r="B80" s="23"/>
      <c r="C80" s="23"/>
      <c r="D80" s="23"/>
      <c r="E80" s="730"/>
      <c r="F80" s="730"/>
      <c r="G80" s="730"/>
      <c r="H80" s="730"/>
      <c r="I80" s="730"/>
      <c r="J80" s="730"/>
      <c r="K80" s="730"/>
      <c r="L80" s="730"/>
      <c r="M80" s="730"/>
      <c r="N80" s="730"/>
      <c r="O80" s="730"/>
      <c r="P80" s="730"/>
      <c r="Q80" s="730"/>
      <c r="R80" s="730"/>
      <c r="T80" s="689"/>
      <c r="U80" s="1180"/>
      <c r="V80" s="1180"/>
      <c r="W80" s="20"/>
      <c r="X80" s="20"/>
      <c r="Y80" s="20"/>
      <c r="Z80" s="20"/>
      <c r="AA80" s="526"/>
      <c r="AB80" s="526"/>
      <c r="AC80" s="526"/>
      <c r="AD80" s="526"/>
      <c r="AE80" s="526"/>
      <c r="AF80" s="526"/>
      <c r="AL80" s="1188"/>
      <c r="AM80" s="1189"/>
      <c r="AN80" s="1189"/>
      <c r="AO80" s="1189"/>
      <c r="AP80" s="1189"/>
      <c r="AQ80" s="1189"/>
      <c r="AR80" s="1189"/>
      <c r="AS80" s="1189"/>
      <c r="AT80" s="1189"/>
      <c r="AU80" s="1189"/>
      <c r="AV80" s="1189"/>
      <c r="AW80" s="1189"/>
      <c r="AX80" s="1189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IQ80" s="102"/>
      <c r="IR80" s="102"/>
      <c r="IS80" s="102"/>
      <c r="IT80" s="102"/>
      <c r="IU80" s="102"/>
      <c r="IV80" s="102"/>
      <c r="IW80" s="102"/>
      <c r="IX80" s="102"/>
      <c r="JI80" s="102"/>
      <c r="JJ80" s="102"/>
      <c r="JK80" s="102"/>
      <c r="JL80" s="102"/>
      <c r="JM80" s="102"/>
      <c r="JN80" s="102"/>
      <c r="JO80" s="102"/>
      <c r="JP80" s="102"/>
      <c r="JQ80" s="102"/>
      <c r="JR80" s="102"/>
      <c r="JS80" s="102"/>
      <c r="JT80" s="102"/>
      <c r="JU80" s="102"/>
      <c r="NN80" s="88"/>
      <c r="OH80" s="102"/>
      <c r="OI80" s="102"/>
      <c r="OJ80" s="102"/>
      <c r="OK80" s="102"/>
      <c r="OL80" s="102"/>
      <c r="OM80" s="102"/>
      <c r="ON80" s="102"/>
      <c r="OO80" s="102"/>
      <c r="OP80" s="102"/>
      <c r="OQ80" s="102"/>
      <c r="OR80" s="102"/>
      <c r="OS80" s="102"/>
      <c r="OT80" s="102"/>
      <c r="OU80" s="102"/>
      <c r="OV80" s="102"/>
      <c r="OW80" s="102"/>
      <c r="OX80" s="20"/>
      <c r="OY80" s="20"/>
      <c r="OZ80" s="20"/>
      <c r="PA80" s="20"/>
      <c r="PB80" s="20"/>
      <c r="PC80" s="20"/>
      <c r="PD80" s="20"/>
      <c r="PE80" s="20"/>
      <c r="PF80" s="20"/>
      <c r="PG80" s="20"/>
      <c r="PH80" s="20"/>
      <c r="PI80" s="20"/>
      <c r="PJ80" s="20"/>
      <c r="PK80" s="102"/>
      <c r="PL80" s="102"/>
      <c r="PM80" s="102"/>
      <c r="PN80" s="102"/>
      <c r="PO80" s="102"/>
      <c r="PP80" s="102"/>
      <c r="PQ80" s="102"/>
      <c r="PR80" s="102"/>
      <c r="SM80" s="521">
        <f>ROW()</f>
        <v>80</v>
      </c>
      <c r="SN80" s="102" t="s">
        <v>240</v>
      </c>
      <c r="SO80" s="608"/>
      <c r="SP80" s="773"/>
      <c r="SQ80" s="1209"/>
      <c r="SR80" s="1209"/>
      <c r="SS80" s="1209">
        <f>-SS76-SS78</f>
        <v>-1055909.7499817002</v>
      </c>
      <c r="ST80" s="1209">
        <f t="shared" ref="ST80:SY80" si="242">-ST76-ST78</f>
        <v>-1055909.7499817002</v>
      </c>
      <c r="SU80" s="1209">
        <f t="shared" si="242"/>
        <v>-13712706.54591565</v>
      </c>
      <c r="SV80" s="1209">
        <f t="shared" si="242"/>
        <v>-14768616.295897352</v>
      </c>
      <c r="SW80" s="1209">
        <f t="shared" si="242"/>
        <v>-16175522.572112106</v>
      </c>
      <c r="SX80" s="1209">
        <f t="shared" si="242"/>
        <v>-30944138.868009452</v>
      </c>
      <c r="SY80" s="1209">
        <f t="shared" si="242"/>
        <v>-23599334.294725846</v>
      </c>
      <c r="SZ80" s="1209">
        <f>-SZ76-SZ78</f>
        <v>-54543473.162735283</v>
      </c>
      <c r="TA80" s="773">
        <f>-TA76-TA78</f>
        <v>0</v>
      </c>
      <c r="TB80" s="773">
        <f>-TB76-TB78</f>
        <v>-54543473.162735283</v>
      </c>
      <c r="TC80" s="773">
        <f>-TC76-TC78</f>
        <v>0</v>
      </c>
      <c r="TD80" s="773">
        <f>-TD76-TD78</f>
        <v>-54543473.162735283</v>
      </c>
      <c r="TF80" s="950"/>
      <c r="TG80" s="17"/>
      <c r="TH80" s="610"/>
      <c r="TI80" s="651"/>
      <c r="TJ80" s="651"/>
      <c r="TK80" s="17"/>
      <c r="TL80" s="651"/>
      <c r="TM80" s="17"/>
      <c r="TN80" s="651"/>
      <c r="TO80" s="17"/>
      <c r="TP80" s="651"/>
      <c r="TQ80" s="17"/>
      <c r="TR80" s="651"/>
      <c r="TS80" s="17"/>
      <c r="UJ80" s="521"/>
      <c r="UK80" s="20"/>
      <c r="UL80" s="610"/>
      <c r="UM80" s="72"/>
      <c r="UN80" s="72"/>
      <c r="UO80" s="72"/>
      <c r="UP80" s="72"/>
      <c r="UQ80" s="72"/>
      <c r="UR80" s="72"/>
      <c r="US80" s="72"/>
      <c r="UT80" s="72"/>
      <c r="UU80" s="72"/>
      <c r="UV80" s="72"/>
      <c r="UW80" s="72"/>
    </row>
    <row r="81" spans="1:569" ht="15.75" thickTop="1" x14ac:dyDescent="0.25">
      <c r="A81" s="22">
        <f>ROW()</f>
        <v>81</v>
      </c>
      <c r="B81" s="23" t="s">
        <v>283</v>
      </c>
      <c r="C81" s="798">
        <v>0.21</v>
      </c>
      <c r="D81" s="914">
        <f>D79*$C$81</f>
        <v>36367635.360682189</v>
      </c>
      <c r="E81" s="914">
        <f>E79*$C$81</f>
        <v>20093867.944672137</v>
      </c>
      <c r="F81" s="914">
        <f t="shared" ref="F81:N81" si="243">D81+E81</f>
        <v>56461503.305354327</v>
      </c>
      <c r="G81" s="914">
        <f>G79*$C$81</f>
        <v>-48000449.314222507</v>
      </c>
      <c r="H81" s="914">
        <f t="shared" si="243"/>
        <v>8461053.9911318198</v>
      </c>
      <c r="I81" s="914">
        <f>I79*$C$81</f>
        <v>2416267.7919008047</v>
      </c>
      <c r="J81" s="914">
        <f t="shared" si="243"/>
        <v>10877321.783032624</v>
      </c>
      <c r="K81" s="914">
        <f>K79*$C$81</f>
        <v>1558887.1580350436</v>
      </c>
      <c r="L81" s="914">
        <f t="shared" si="243"/>
        <v>12436208.941067668</v>
      </c>
      <c r="M81" s="914">
        <f>M79*$C$81</f>
        <v>5432634.0953154517</v>
      </c>
      <c r="N81" s="914">
        <f t="shared" si="243"/>
        <v>17868843.036383118</v>
      </c>
      <c r="O81" s="683">
        <f>O79*$C$81</f>
        <v>0</v>
      </c>
      <c r="P81" s="683">
        <f t="shared" ref="P81" si="244">N81+O81</f>
        <v>17868843.036383118</v>
      </c>
      <c r="Q81" s="683">
        <f>Q79*$C$81</f>
        <v>0</v>
      </c>
      <c r="R81" s="683">
        <f t="shared" ref="R81" si="245">P81+Q81</f>
        <v>17868843.036383118</v>
      </c>
      <c r="T81" s="580"/>
      <c r="U81" s="581"/>
      <c r="V81" s="980"/>
      <c r="W81" s="980"/>
      <c r="X81" s="21"/>
      <c r="Y81" s="20"/>
      <c r="Z81" s="21"/>
      <c r="AA81" s="20"/>
      <c r="AB81" s="21"/>
      <c r="AC81" s="20"/>
      <c r="AD81" s="21"/>
      <c r="AE81" s="20"/>
      <c r="AF81" s="21"/>
      <c r="AG81" s="102"/>
      <c r="AL81" s="1187"/>
      <c r="AM81" s="776"/>
      <c r="AN81" s="640"/>
      <c r="AO81" s="640"/>
      <c r="AP81" s="640"/>
      <c r="AQ81" s="640"/>
      <c r="AR81" s="640"/>
      <c r="AS81" s="640"/>
      <c r="AT81" s="640"/>
      <c r="AU81" s="640"/>
      <c r="AV81" s="640"/>
      <c r="AW81" s="640"/>
      <c r="AX81" s="640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IQ81" s="102"/>
      <c r="IR81" s="102"/>
      <c r="IS81" s="102"/>
      <c r="IT81" s="102"/>
      <c r="IU81" s="102"/>
      <c r="IV81" s="102"/>
      <c r="IW81" s="102"/>
      <c r="IX81" s="102"/>
      <c r="JI81" s="102"/>
      <c r="JJ81" s="102"/>
      <c r="JK81" s="102"/>
      <c r="JL81" s="102"/>
      <c r="JM81" s="102"/>
      <c r="JN81" s="102"/>
      <c r="JO81" s="102"/>
      <c r="JP81" s="102"/>
      <c r="JQ81" s="102"/>
      <c r="JR81" s="102"/>
      <c r="JS81" s="102"/>
      <c r="JT81" s="102"/>
      <c r="JU81" s="102"/>
      <c r="NN81" s="88"/>
      <c r="OH81" s="102"/>
      <c r="OI81" s="102"/>
      <c r="OJ81" s="102"/>
      <c r="OK81" s="102"/>
      <c r="OL81" s="102"/>
      <c r="OM81" s="102"/>
      <c r="ON81" s="102"/>
      <c r="OO81" s="102"/>
      <c r="OP81" s="102"/>
      <c r="OQ81" s="102"/>
      <c r="OR81" s="102"/>
      <c r="OS81" s="102"/>
      <c r="OT81" s="102"/>
      <c r="OU81" s="102"/>
      <c r="OV81" s="102"/>
      <c r="OW81" s="102"/>
      <c r="OX81" s="689"/>
      <c r="OY81" s="690"/>
      <c r="OZ81" s="78"/>
      <c r="PA81" s="78"/>
      <c r="PB81" s="20"/>
      <c r="PC81" s="20"/>
      <c r="PD81" s="20"/>
      <c r="PE81" s="20"/>
      <c r="PF81" s="20"/>
      <c r="PG81" s="20"/>
      <c r="PH81" s="20"/>
      <c r="PI81" s="20"/>
      <c r="PJ81" s="20"/>
      <c r="PK81" s="102"/>
      <c r="PL81" s="102"/>
      <c r="PM81" s="102"/>
      <c r="PN81" s="102"/>
      <c r="PO81" s="102"/>
      <c r="PP81" s="102"/>
      <c r="PQ81" s="102"/>
      <c r="PR81" s="102"/>
      <c r="SM81" s="521">
        <f>ROW()</f>
        <v>81</v>
      </c>
      <c r="SO81" s="608"/>
      <c r="SP81" s="520"/>
      <c r="SQ81" s="43"/>
      <c r="SR81" s="43"/>
      <c r="SS81" s="43"/>
      <c r="ST81" s="43"/>
      <c r="SU81" s="43"/>
      <c r="SV81" s="43"/>
      <c r="SW81" s="43"/>
      <c r="SX81" s="43"/>
      <c r="SY81" s="43"/>
      <c r="SZ81" s="43"/>
      <c r="TA81" s="520"/>
      <c r="TB81" s="520"/>
      <c r="TC81" s="520"/>
      <c r="TD81" s="520"/>
      <c r="TF81" s="950"/>
      <c r="TG81" s="477"/>
      <c r="TH81" s="610"/>
      <c r="TI81" s="651"/>
      <c r="TJ81" s="651"/>
      <c r="TK81" s="17"/>
      <c r="TL81" s="651"/>
      <c r="TM81" s="17"/>
      <c r="TN81" s="651"/>
      <c r="TO81" s="17"/>
      <c r="TP81" s="651"/>
      <c r="TQ81" s="17"/>
      <c r="TR81" s="651"/>
      <c r="TS81" s="17"/>
      <c r="UJ81" s="521"/>
      <c r="UK81" s="20"/>
      <c r="UL81" s="610"/>
      <c r="UM81" s="574"/>
      <c r="UN81" s="574"/>
      <c r="UO81" s="574"/>
      <c r="UP81" s="574"/>
      <c r="UQ81" s="574"/>
      <c r="UR81" s="574"/>
      <c r="US81" s="574"/>
      <c r="UT81" s="574"/>
      <c r="UU81" s="574"/>
      <c r="UV81" s="574"/>
      <c r="UW81" s="574"/>
    </row>
    <row r="82" spans="1:569" ht="15.75" thickBot="1" x14ac:dyDescent="0.3">
      <c r="A82" s="22">
        <f>ROW()</f>
        <v>82</v>
      </c>
      <c r="B82" s="1" t="s">
        <v>240</v>
      </c>
      <c r="D82" s="804">
        <f>D79-D81</f>
        <v>136811580.64256635</v>
      </c>
      <c r="E82" s="804">
        <f>E79-E81</f>
        <v>75591217.506147563</v>
      </c>
      <c r="F82" s="804">
        <f t="shared" ref="F82:R82" si="246">F79-F81</f>
        <v>212402798.14871386</v>
      </c>
      <c r="G82" s="804">
        <f t="shared" si="246"/>
        <v>-180573118.84874183</v>
      </c>
      <c r="H82" s="804">
        <f t="shared" si="246"/>
        <v>31829679.29997199</v>
      </c>
      <c r="I82" s="804">
        <f t="shared" si="246"/>
        <v>9089769.3123887423</v>
      </c>
      <c r="J82" s="804">
        <f t="shared" si="246"/>
        <v>40919448.612360731</v>
      </c>
      <c r="K82" s="804">
        <f t="shared" si="246"/>
        <v>5864385.0230842121</v>
      </c>
      <c r="L82" s="804">
        <f t="shared" si="246"/>
        <v>46783833.635444954</v>
      </c>
      <c r="M82" s="804">
        <f t="shared" si="246"/>
        <v>20437052.072853368</v>
      </c>
      <c r="N82" s="804">
        <f t="shared" si="246"/>
        <v>67220885.708298326</v>
      </c>
      <c r="O82" s="915">
        <f t="shared" si="246"/>
        <v>0</v>
      </c>
      <c r="P82" s="915">
        <f t="shared" si="246"/>
        <v>67220885.708298326</v>
      </c>
      <c r="Q82" s="915">
        <f t="shared" si="246"/>
        <v>0</v>
      </c>
      <c r="R82" s="915">
        <f t="shared" si="246"/>
        <v>67220885.708298326</v>
      </c>
      <c r="T82" s="679"/>
      <c r="U82" s="581"/>
      <c r="V82" s="620"/>
      <c r="W82" s="620"/>
      <c r="X82" s="42"/>
      <c r="Y82" s="20"/>
      <c r="Z82" s="42"/>
      <c r="AA82" s="20"/>
      <c r="AB82" s="42"/>
      <c r="AC82" s="20"/>
      <c r="AD82" s="42"/>
      <c r="AE82" s="20"/>
      <c r="AF82" s="42"/>
      <c r="AG82" s="102"/>
      <c r="AL82" s="776"/>
      <c r="AM82" s="776"/>
      <c r="AN82" s="776"/>
      <c r="AO82" s="776"/>
      <c r="AP82" s="776"/>
      <c r="AQ82" s="776"/>
      <c r="AR82" s="776"/>
      <c r="AS82" s="776"/>
      <c r="AT82" s="776"/>
      <c r="AU82" s="776"/>
      <c r="AV82" s="776"/>
      <c r="AW82" s="776"/>
      <c r="AX82" s="776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IQ82" s="102"/>
      <c r="IR82" s="102"/>
      <c r="IS82" s="102"/>
      <c r="IT82" s="102"/>
      <c r="IU82" s="102"/>
      <c r="IV82" s="102"/>
      <c r="IW82" s="102"/>
      <c r="IX82" s="102"/>
      <c r="JI82" s="102"/>
      <c r="JJ82" s="102"/>
      <c r="JK82" s="102"/>
      <c r="JL82" s="102"/>
      <c r="JM82" s="102"/>
      <c r="JN82" s="102"/>
      <c r="JO82" s="102"/>
      <c r="JP82" s="102"/>
      <c r="JQ82" s="102"/>
      <c r="JR82" s="102"/>
      <c r="JS82" s="102"/>
      <c r="JT82" s="102"/>
      <c r="JU82" s="102"/>
      <c r="OH82" s="102"/>
      <c r="OI82" s="102"/>
      <c r="OJ82" s="102"/>
      <c r="OK82" s="102"/>
      <c r="OL82" s="102"/>
      <c r="OM82" s="102"/>
      <c r="ON82" s="102"/>
      <c r="OO82" s="102"/>
      <c r="OP82" s="102"/>
      <c r="OQ82" s="102"/>
      <c r="OR82" s="102"/>
      <c r="OS82" s="102"/>
      <c r="OT82" s="102"/>
      <c r="OU82" s="102"/>
      <c r="OV82" s="102"/>
      <c r="OW82" s="102"/>
      <c r="OX82" s="1207"/>
      <c r="OY82" s="711"/>
      <c r="OZ82" s="78"/>
      <c r="PA82" s="78"/>
      <c r="PB82" s="20"/>
      <c r="PC82" s="20"/>
      <c r="PD82" s="20"/>
      <c r="PE82" s="20"/>
      <c r="PF82" s="20"/>
      <c r="PG82" s="20"/>
      <c r="PH82" s="20"/>
      <c r="PI82" s="20"/>
      <c r="PJ82" s="20"/>
      <c r="PK82" s="102"/>
      <c r="PL82" s="102"/>
      <c r="PM82" s="102"/>
      <c r="PN82" s="102"/>
      <c r="PO82" s="102"/>
      <c r="PP82" s="102"/>
      <c r="PQ82" s="102"/>
      <c r="PR82" s="102"/>
      <c r="SM82" s="521">
        <f>ROW()</f>
        <v>82</v>
      </c>
      <c r="SN82" s="102" t="s">
        <v>361</v>
      </c>
      <c r="SO82" s="608"/>
      <c r="SP82" s="570"/>
      <c r="SQ82" s="98"/>
      <c r="SR82" s="98"/>
      <c r="SS82" s="98">
        <v>135541938.04094994</v>
      </c>
      <c r="ST82" s="98">
        <f>SS82</f>
        <v>135541938.04094994</v>
      </c>
      <c r="SU82" s="98">
        <v>189917492.65936494</v>
      </c>
      <c r="SV82" s="98">
        <f>SU82+ST82</f>
        <v>325459430.70031488</v>
      </c>
      <c r="SW82" s="98">
        <v>55142914.736180186</v>
      </c>
      <c r="SX82" s="98">
        <f>SW82+SV82</f>
        <v>380602345.43649507</v>
      </c>
      <c r="SY82" s="98">
        <v>296849170.94433999</v>
      </c>
      <c r="SZ82" s="98">
        <f>SY82+SX82</f>
        <v>677451516.38083506</v>
      </c>
      <c r="TA82" s="570"/>
      <c r="TB82" s="570"/>
      <c r="TC82" s="570"/>
      <c r="TD82" s="570"/>
      <c r="TF82" s="950"/>
      <c r="TG82" s="555"/>
      <c r="TH82" s="610"/>
      <c r="TI82" s="51"/>
      <c r="TJ82" s="51"/>
      <c r="TK82" s="51"/>
      <c r="TL82" s="51"/>
      <c r="TM82" s="51"/>
      <c r="TN82" s="51"/>
      <c r="TO82" s="51"/>
      <c r="TP82" s="51"/>
      <c r="TQ82" s="51"/>
      <c r="TR82" s="51"/>
      <c r="TS82" s="51"/>
      <c r="UJ82" s="521"/>
      <c r="UK82" s="20"/>
      <c r="UL82" s="610"/>
      <c r="UM82" s="72"/>
      <c r="UN82" s="72"/>
      <c r="UO82" s="72"/>
      <c r="UP82" s="72"/>
      <c r="UQ82" s="72"/>
      <c r="UR82" s="72"/>
      <c r="US82" s="72"/>
      <c r="UT82" s="72"/>
      <c r="UU82" s="72"/>
      <c r="UV82" s="72"/>
      <c r="UW82" s="72"/>
    </row>
    <row r="83" spans="1:569" ht="15.75" thickTop="1" x14ac:dyDescent="0.25">
      <c r="A83" s="102"/>
      <c r="R83" s="102"/>
      <c r="T83" s="580"/>
      <c r="U83" s="581"/>
      <c r="V83" s="620"/>
      <c r="W83" s="620"/>
      <c r="X83" s="42"/>
      <c r="Y83" s="20"/>
      <c r="Z83" s="42"/>
      <c r="AA83" s="20"/>
      <c r="AB83" s="42"/>
      <c r="AC83" s="20"/>
      <c r="AD83" s="42"/>
      <c r="AE83" s="20"/>
      <c r="AF83" s="42"/>
      <c r="AG83" s="102"/>
      <c r="AL83" s="1187"/>
      <c r="AM83" s="776"/>
      <c r="AN83" s="21"/>
      <c r="AO83" s="21"/>
      <c r="AP83" s="526"/>
      <c r="AQ83" s="21"/>
      <c r="AR83" s="526"/>
      <c r="AS83" s="526"/>
      <c r="AT83" s="526"/>
      <c r="AU83" s="526"/>
      <c r="AV83" s="526"/>
      <c r="AW83" s="526"/>
      <c r="AX83" s="526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IQ83" s="102"/>
      <c r="IR83" s="102"/>
      <c r="IS83" s="102"/>
      <c r="IT83" s="102"/>
      <c r="IU83" s="102"/>
      <c r="IV83" s="102"/>
      <c r="IW83" s="102"/>
      <c r="IX83" s="102"/>
      <c r="JI83" s="102"/>
      <c r="JJ83" s="102"/>
      <c r="JK83" s="102"/>
      <c r="JL83" s="102"/>
      <c r="JM83" s="102"/>
      <c r="JN83" s="102"/>
      <c r="JO83" s="102"/>
      <c r="JP83" s="102"/>
      <c r="JQ83" s="102"/>
      <c r="JR83" s="102"/>
      <c r="JS83" s="102"/>
      <c r="JT83" s="102"/>
      <c r="JU83" s="102"/>
      <c r="OH83" s="102"/>
      <c r="OI83" s="102"/>
      <c r="OJ83" s="102"/>
      <c r="OK83" s="102"/>
      <c r="OL83" s="102"/>
      <c r="OM83" s="102"/>
      <c r="ON83" s="102"/>
      <c r="OO83" s="102"/>
      <c r="OP83" s="102"/>
      <c r="OQ83" s="102"/>
      <c r="OR83" s="102"/>
      <c r="OS83" s="102"/>
      <c r="OT83" s="102"/>
      <c r="OU83" s="102"/>
      <c r="OV83" s="102"/>
      <c r="OW83" s="102"/>
      <c r="OX83" s="1207"/>
      <c r="OY83" s="711"/>
      <c r="OZ83" s="78"/>
      <c r="PA83" s="78"/>
      <c r="PB83" s="20"/>
      <c r="PC83" s="20"/>
      <c r="PD83" s="20"/>
      <c r="PE83" s="20"/>
      <c r="PF83" s="20"/>
      <c r="PG83" s="20"/>
      <c r="PH83" s="20"/>
      <c r="PI83" s="20"/>
      <c r="PJ83" s="20"/>
      <c r="PK83" s="102"/>
      <c r="PL83" s="102"/>
      <c r="PM83" s="102"/>
      <c r="PN83" s="102"/>
      <c r="PO83" s="102"/>
      <c r="PP83" s="102"/>
      <c r="PQ83" s="102"/>
      <c r="PR83" s="102"/>
      <c r="SM83" s="521">
        <f>ROW()</f>
        <v>83</v>
      </c>
      <c r="SN83" s="102" t="s">
        <v>369</v>
      </c>
      <c r="SO83" s="608"/>
      <c r="SP83" s="606"/>
      <c r="SQ83" s="39"/>
      <c r="SR83" s="39"/>
      <c r="SS83" s="39">
        <v>-1336594.6202300002</v>
      </c>
      <c r="ST83" s="39">
        <f>SS83</f>
        <v>-1336594.6202300002</v>
      </c>
      <c r="SU83" s="39">
        <v>-18694451.007465005</v>
      </c>
      <c r="SV83" s="39">
        <f>SU83+ST83</f>
        <v>-20031045.627695005</v>
      </c>
      <c r="SW83" s="39">
        <v>-18427924.049109984</v>
      </c>
      <c r="SX83" s="39">
        <f>SW83+SV83</f>
        <v>-38458969.67680499</v>
      </c>
      <c r="SY83" s="39">
        <v>-54381685.275924981</v>
      </c>
      <c r="SZ83" s="39">
        <f>SY83+SX83</f>
        <v>-92840654.95272997</v>
      </c>
      <c r="TA83" s="606"/>
      <c r="TB83" s="606"/>
      <c r="TC83" s="606"/>
      <c r="TD83" s="606"/>
      <c r="TF83" s="950"/>
      <c r="TG83" s="555"/>
      <c r="TH83" s="610"/>
      <c r="TI83" s="78"/>
      <c r="TJ83" s="78"/>
      <c r="TK83" s="78"/>
      <c r="TL83" s="78"/>
      <c r="TM83" s="78"/>
      <c r="TN83" s="78"/>
      <c r="TO83" s="78"/>
      <c r="TP83" s="78"/>
      <c r="TQ83" s="78"/>
      <c r="TR83" s="78"/>
      <c r="TS83" s="78"/>
      <c r="UJ83" s="521"/>
      <c r="UK83" s="20"/>
      <c r="UL83" s="610"/>
      <c r="UM83" s="574"/>
      <c r="UN83" s="574"/>
      <c r="UO83" s="574"/>
      <c r="UP83" s="574"/>
      <c r="UQ83" s="574"/>
      <c r="UR83" s="574"/>
      <c r="US83" s="574"/>
      <c r="UT83" s="574"/>
      <c r="UU83" s="574"/>
      <c r="UV83" s="574"/>
      <c r="UW83" s="574"/>
    </row>
    <row r="84" spans="1:569" ht="15" x14ac:dyDescent="0.25">
      <c r="A84" s="102"/>
      <c r="R84" s="102"/>
      <c r="T84" s="580"/>
      <c r="U84" s="581"/>
      <c r="V84" s="620"/>
      <c r="W84" s="620"/>
      <c r="X84" s="42"/>
      <c r="Y84" s="20"/>
      <c r="Z84" s="42"/>
      <c r="AA84" s="20"/>
      <c r="AB84" s="42"/>
      <c r="AC84" s="20"/>
      <c r="AD84" s="42"/>
      <c r="AE84" s="20"/>
      <c r="AF84" s="42"/>
      <c r="AG84" s="102"/>
      <c r="AL84" s="776"/>
      <c r="AM84" s="776"/>
      <c r="AN84" s="776"/>
      <c r="AO84" s="776"/>
      <c r="AP84" s="776"/>
      <c r="AQ84" s="776"/>
      <c r="AR84" s="776"/>
      <c r="AS84" s="776"/>
      <c r="AT84" s="776"/>
      <c r="AU84" s="776"/>
      <c r="AV84" s="776"/>
      <c r="AW84" s="776"/>
      <c r="AX84" s="776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IQ84" s="102"/>
      <c r="IR84" s="102"/>
      <c r="IS84" s="102"/>
      <c r="IT84" s="102"/>
      <c r="IU84" s="102"/>
      <c r="IV84" s="102"/>
      <c r="IW84" s="102"/>
      <c r="IX84" s="102"/>
      <c r="JI84" s="102"/>
      <c r="JJ84" s="102"/>
      <c r="JK84" s="102"/>
      <c r="JL84" s="102"/>
      <c r="JM84" s="102"/>
      <c r="JN84" s="102"/>
      <c r="JO84" s="102"/>
      <c r="JP84" s="102"/>
      <c r="JQ84" s="102"/>
      <c r="JR84" s="102"/>
      <c r="JS84" s="102"/>
      <c r="JT84" s="102"/>
      <c r="JU84" s="102"/>
      <c r="OH84" s="102"/>
      <c r="OI84" s="102"/>
      <c r="OJ84" s="102"/>
      <c r="OK84" s="102"/>
      <c r="OL84" s="102"/>
      <c r="OM84" s="102"/>
      <c r="ON84" s="102"/>
      <c r="OO84" s="102"/>
      <c r="OP84" s="102"/>
      <c r="OQ84" s="102"/>
      <c r="OR84" s="102"/>
      <c r="OS84" s="102"/>
      <c r="OT84" s="102"/>
      <c r="OU84" s="102"/>
      <c r="OV84" s="102"/>
      <c r="OW84" s="102"/>
      <c r="OX84" s="1207"/>
      <c r="OY84" s="711"/>
      <c r="OZ84" s="78"/>
      <c r="PA84" s="78"/>
      <c r="PB84" s="20"/>
      <c r="PC84" s="20"/>
      <c r="PD84" s="20"/>
      <c r="PE84" s="20"/>
      <c r="PF84" s="20"/>
      <c r="PG84" s="20"/>
      <c r="PH84" s="20"/>
      <c r="PI84" s="20"/>
      <c r="PJ84" s="20"/>
      <c r="PK84" s="102"/>
      <c r="PL84" s="102"/>
      <c r="PM84" s="102"/>
      <c r="PN84" s="102"/>
      <c r="PO84" s="102"/>
      <c r="PP84" s="102"/>
      <c r="PQ84" s="102"/>
      <c r="PR84" s="102"/>
      <c r="SM84" s="521">
        <f>ROW()</f>
        <v>84</v>
      </c>
      <c r="SN84" s="102" t="s">
        <v>375</v>
      </c>
      <c r="SO84" s="608"/>
      <c r="SP84" s="669"/>
      <c r="SQ84" s="745"/>
      <c r="SR84" s="745"/>
      <c r="SS84" s="745">
        <v>-340318.71143000014</v>
      </c>
      <c r="ST84" s="745">
        <f>SS84</f>
        <v>-340318.71143000014</v>
      </c>
      <c r="SU84" s="745">
        <v>-3819939.5670499993</v>
      </c>
      <c r="SV84" s="745">
        <f>SU84+ST84</f>
        <v>-4160258.2784799994</v>
      </c>
      <c r="SW84" s="745">
        <v>-4552201.7010599989</v>
      </c>
      <c r="SX84" s="745">
        <f>SW84+SV84</f>
        <v>-8712459.9795399979</v>
      </c>
      <c r="SY84" s="745">
        <v>-11702564.161220007</v>
      </c>
      <c r="SZ84" s="745">
        <f>SY84+SX84</f>
        <v>-20415024.140760005</v>
      </c>
      <c r="TA84" s="669"/>
      <c r="TB84" s="669"/>
      <c r="TC84" s="669"/>
      <c r="TD84" s="669"/>
      <c r="TF84" s="950"/>
      <c r="TG84" s="555"/>
      <c r="TH84" s="610"/>
      <c r="TI84" s="646"/>
      <c r="TJ84" s="646"/>
      <c r="TK84" s="78"/>
      <c r="TL84" s="78"/>
      <c r="TM84" s="78"/>
      <c r="TN84" s="78"/>
      <c r="TO84" s="78"/>
      <c r="TP84" s="78"/>
      <c r="TQ84" s="78"/>
      <c r="TR84" s="78"/>
      <c r="TS84" s="78"/>
      <c r="UJ84" s="521"/>
      <c r="UK84" s="20"/>
      <c r="UL84" s="610"/>
      <c r="UM84" s="633"/>
      <c r="UN84" s="633"/>
      <c r="UO84" s="633"/>
      <c r="UP84" s="633"/>
      <c r="UQ84" s="633"/>
      <c r="UR84" s="633"/>
      <c r="US84" s="633"/>
      <c r="UT84" s="633"/>
      <c r="UU84" s="633"/>
      <c r="UV84" s="633"/>
      <c r="UW84" s="633"/>
    </row>
    <row r="85" spans="1:569" ht="15.75" thickBot="1" x14ac:dyDescent="0.3">
      <c r="A85" s="102"/>
      <c r="B85" s="1" t="s">
        <v>447</v>
      </c>
      <c r="R85" s="102"/>
      <c r="T85" s="580"/>
      <c r="U85" s="690"/>
      <c r="V85" s="620"/>
      <c r="W85" s="620"/>
      <c r="X85" s="42"/>
      <c r="Y85" s="20"/>
      <c r="Z85" s="42"/>
      <c r="AA85" s="20"/>
      <c r="AB85" s="42"/>
      <c r="AC85" s="20"/>
      <c r="AD85" s="42"/>
      <c r="AE85" s="20"/>
      <c r="AF85" s="42"/>
      <c r="AG85" s="102"/>
      <c r="AL85" s="842"/>
      <c r="AM85" s="1191"/>
      <c r="AN85" s="619"/>
      <c r="AO85" s="619"/>
      <c r="AP85" s="591"/>
      <c r="AQ85" s="619"/>
      <c r="AR85" s="591"/>
      <c r="AS85" s="619"/>
      <c r="AT85" s="619"/>
      <c r="AU85" s="619"/>
      <c r="AV85" s="619"/>
      <c r="AW85" s="619"/>
      <c r="AX85" s="619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IQ85" s="102"/>
      <c r="IR85" s="102"/>
      <c r="IS85" s="102"/>
      <c r="IT85" s="102"/>
      <c r="IU85" s="102"/>
      <c r="IV85" s="102"/>
      <c r="IW85" s="102"/>
      <c r="IX85" s="102"/>
      <c r="JI85" s="102"/>
      <c r="JJ85" s="102"/>
      <c r="JK85" s="102"/>
      <c r="JL85" s="102"/>
      <c r="JM85" s="102"/>
      <c r="JN85" s="102"/>
      <c r="JO85" s="102"/>
      <c r="JP85" s="102"/>
      <c r="JQ85" s="102"/>
      <c r="JR85" s="102"/>
      <c r="JS85" s="102"/>
      <c r="JT85" s="102"/>
      <c r="JU85" s="102"/>
      <c r="OH85" s="102"/>
      <c r="OI85" s="102"/>
      <c r="OJ85" s="102"/>
      <c r="OK85" s="102"/>
      <c r="OL85" s="102"/>
      <c r="OM85" s="102"/>
      <c r="ON85" s="102"/>
      <c r="OO85" s="102"/>
      <c r="OP85" s="102"/>
      <c r="OQ85" s="102"/>
      <c r="OR85" s="102"/>
      <c r="OS85" s="102"/>
      <c r="OT85" s="102"/>
      <c r="OU85" s="102"/>
      <c r="OV85" s="102"/>
      <c r="OW85" s="102"/>
      <c r="OX85" s="690"/>
      <c r="OY85" s="749"/>
      <c r="OZ85" s="78"/>
      <c r="PA85" s="78"/>
      <c r="PB85" s="20"/>
      <c r="PC85" s="20"/>
      <c r="PD85" s="20"/>
      <c r="PE85" s="20"/>
      <c r="PF85" s="20"/>
      <c r="PG85" s="20"/>
      <c r="PH85" s="20"/>
      <c r="PI85" s="20"/>
      <c r="PJ85" s="20"/>
      <c r="PK85" s="102"/>
      <c r="PL85" s="102"/>
      <c r="PM85" s="102"/>
      <c r="PN85" s="102"/>
      <c r="PO85" s="102"/>
      <c r="PP85" s="102"/>
      <c r="PQ85" s="102"/>
      <c r="PR85" s="102"/>
      <c r="SM85" s="521">
        <f>ROW()</f>
        <v>85</v>
      </c>
      <c r="SN85" s="102" t="s">
        <v>382</v>
      </c>
      <c r="SO85" s="608"/>
      <c r="SP85" s="819"/>
      <c r="SQ85" s="821"/>
      <c r="SR85" s="821"/>
      <c r="SS85" s="821">
        <f>SUM(SS82:SS84)</f>
        <v>133865024.70928994</v>
      </c>
      <c r="ST85" s="821">
        <f t="shared" ref="ST85:TD85" si="247">SUM(ST82:ST84)</f>
        <v>133865024.70928994</v>
      </c>
      <c r="SU85" s="821">
        <f t="shared" si="247"/>
        <v>167403102.08484992</v>
      </c>
      <c r="SV85" s="821">
        <f t="shared" si="247"/>
        <v>301268126.79413986</v>
      </c>
      <c r="SW85" s="821">
        <f t="shared" si="247"/>
        <v>32162788.986010209</v>
      </c>
      <c r="SX85" s="821">
        <f t="shared" si="247"/>
        <v>333430915.78015006</v>
      </c>
      <c r="SY85" s="821">
        <f t="shared" si="247"/>
        <v>230764921.507195</v>
      </c>
      <c r="SZ85" s="821">
        <f t="shared" si="247"/>
        <v>564195837.28734517</v>
      </c>
      <c r="TA85" s="819">
        <f t="shared" si="247"/>
        <v>0</v>
      </c>
      <c r="TB85" s="819">
        <f t="shared" si="247"/>
        <v>0</v>
      </c>
      <c r="TC85" s="819">
        <f t="shared" si="247"/>
        <v>0</v>
      </c>
      <c r="TD85" s="819">
        <f t="shared" si="247"/>
        <v>0</v>
      </c>
      <c r="TF85" s="950"/>
      <c r="TG85" s="555"/>
      <c r="TH85" s="610"/>
      <c r="TI85" s="635"/>
      <c r="TJ85" s="635"/>
      <c r="TK85" s="635"/>
      <c r="TL85" s="635"/>
      <c r="TM85" s="635"/>
      <c r="TN85" s="635"/>
      <c r="TO85" s="635"/>
      <c r="TP85" s="635"/>
      <c r="TQ85" s="635"/>
      <c r="TR85" s="635"/>
      <c r="TS85" s="635"/>
      <c r="UJ85" s="521"/>
      <c r="UK85" s="20"/>
      <c r="UL85" s="610"/>
      <c r="UM85" s="633"/>
      <c r="UN85" s="633"/>
      <c r="UO85" s="633"/>
      <c r="UP85" s="633"/>
      <c r="UQ85" s="633"/>
      <c r="UR85" s="633"/>
      <c r="US85" s="633"/>
      <c r="UT85" s="633"/>
      <c r="UU85" s="633"/>
      <c r="UV85" s="633"/>
      <c r="UW85" s="633"/>
    </row>
    <row r="86" spans="1:569" ht="15.75" thickTop="1" x14ac:dyDescent="0.25">
      <c r="A86" s="102"/>
      <c r="B86" s="1" t="s">
        <v>448</v>
      </c>
      <c r="R86" s="102"/>
      <c r="T86" s="41"/>
      <c r="U86" s="581"/>
      <c r="V86" s="620"/>
      <c r="W86" s="620"/>
      <c r="X86" s="42"/>
      <c r="Y86" s="20"/>
      <c r="Z86" s="42"/>
      <c r="AA86" s="20"/>
      <c r="AB86" s="42"/>
      <c r="AC86" s="20"/>
      <c r="AD86" s="42"/>
      <c r="AE86" s="20"/>
      <c r="AF86" s="42"/>
      <c r="AG86" s="102"/>
      <c r="AL86" s="842"/>
      <c r="AM86" s="1191"/>
      <c r="AN86" s="619"/>
      <c r="AO86" s="619"/>
      <c r="AP86" s="591"/>
      <c r="AQ86" s="619"/>
      <c r="AR86" s="591"/>
      <c r="AS86" s="619"/>
      <c r="AT86" s="619"/>
      <c r="AU86" s="619"/>
      <c r="AV86" s="619"/>
      <c r="AW86" s="619"/>
      <c r="AX86" s="619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IQ86" s="102"/>
      <c r="IR86" s="102"/>
      <c r="IS86" s="102"/>
      <c r="IT86" s="102"/>
      <c r="IU86" s="102"/>
      <c r="IV86" s="102"/>
      <c r="IW86" s="102"/>
      <c r="IX86" s="102"/>
      <c r="JI86" s="102"/>
      <c r="JJ86" s="102"/>
      <c r="JK86" s="102"/>
      <c r="JL86" s="102"/>
      <c r="JM86" s="102"/>
      <c r="JN86" s="102"/>
      <c r="JO86" s="102"/>
      <c r="JP86" s="102"/>
      <c r="JQ86" s="102"/>
      <c r="JR86" s="102"/>
      <c r="JS86" s="102"/>
      <c r="JT86" s="102"/>
      <c r="JU86" s="102"/>
      <c r="OH86" s="102"/>
      <c r="OI86" s="102"/>
      <c r="OJ86" s="102"/>
      <c r="OK86" s="102"/>
      <c r="OL86" s="102"/>
      <c r="OM86" s="102"/>
      <c r="ON86" s="102"/>
      <c r="OO86" s="102"/>
      <c r="OP86" s="102"/>
      <c r="OQ86" s="102"/>
      <c r="OR86" s="102"/>
      <c r="OS86" s="102"/>
      <c r="OT86" s="102"/>
      <c r="OU86" s="102"/>
      <c r="OV86" s="102"/>
      <c r="OW86" s="102"/>
      <c r="OX86" s="20"/>
      <c r="OY86" s="20"/>
      <c r="OZ86" s="20"/>
      <c r="PA86" s="20"/>
      <c r="PB86" s="20"/>
      <c r="PC86" s="20"/>
      <c r="PD86" s="20"/>
      <c r="PE86" s="20"/>
      <c r="PF86" s="20"/>
      <c r="PG86" s="20"/>
      <c r="PH86" s="20"/>
      <c r="PI86" s="20"/>
      <c r="PJ86" s="20"/>
      <c r="PK86" s="102"/>
      <c r="PL86" s="102"/>
      <c r="PM86" s="102"/>
      <c r="PN86" s="102"/>
      <c r="PO86" s="102"/>
      <c r="PP86" s="102"/>
      <c r="PQ86" s="102"/>
      <c r="PR86" s="102"/>
      <c r="SM86" s="521">
        <f>ROW()</f>
        <v>86</v>
      </c>
      <c r="SO86" s="608"/>
      <c r="SP86" s="520"/>
      <c r="SQ86" s="43"/>
      <c r="SR86" s="43"/>
      <c r="SS86" s="43"/>
      <c r="ST86" s="43"/>
      <c r="SU86" s="43"/>
      <c r="SV86" s="43"/>
      <c r="SW86" s="43"/>
      <c r="SX86" s="43"/>
      <c r="SY86" s="43"/>
      <c r="SZ86" s="43"/>
      <c r="TA86" s="520"/>
      <c r="TB86" s="520"/>
      <c r="TC86" s="520"/>
      <c r="TD86" s="520"/>
      <c r="TF86" s="950"/>
      <c r="TG86" s="20"/>
      <c r="TH86" s="610"/>
      <c r="TI86" s="633"/>
      <c r="TJ86" s="633"/>
      <c r="TK86" s="633"/>
      <c r="TL86" s="633"/>
      <c r="TM86" s="633"/>
      <c r="TN86" s="633"/>
      <c r="TO86" s="633"/>
      <c r="TP86" s="633"/>
      <c r="TQ86" s="633"/>
      <c r="TR86" s="633"/>
      <c r="TS86" s="633"/>
      <c r="UJ86" s="521"/>
      <c r="UK86" s="20"/>
      <c r="UL86" s="610"/>
      <c r="UM86" s="574"/>
      <c r="UN86" s="574"/>
      <c r="UO86" s="574"/>
      <c r="UP86" s="574"/>
      <c r="UQ86" s="574"/>
      <c r="UR86" s="574"/>
      <c r="US86" s="574"/>
      <c r="UT86" s="574"/>
      <c r="UU86" s="574"/>
      <c r="UV86" s="574"/>
      <c r="UW86" s="574"/>
    </row>
    <row r="87" spans="1:569" ht="15" x14ac:dyDescent="0.25">
      <c r="A87" s="102"/>
      <c r="R87" s="102"/>
      <c r="T87" s="41"/>
      <c r="U87" s="581"/>
      <c r="V87" s="620"/>
      <c r="W87" s="620"/>
      <c r="X87" s="42"/>
      <c r="Y87" s="20"/>
      <c r="Z87" s="42"/>
      <c r="AA87" s="20"/>
      <c r="AB87" s="42"/>
      <c r="AC87" s="20"/>
      <c r="AD87" s="42"/>
      <c r="AE87" s="20"/>
      <c r="AF87" s="42"/>
      <c r="AG87" s="102"/>
      <c r="AL87" s="842"/>
      <c r="AM87" s="1191"/>
      <c r="AN87" s="619"/>
      <c r="AO87" s="619"/>
      <c r="AP87" s="591"/>
      <c r="AQ87" s="619"/>
      <c r="AR87" s="591"/>
      <c r="AS87" s="619"/>
      <c r="AT87" s="619"/>
      <c r="AU87" s="619"/>
      <c r="AV87" s="619"/>
      <c r="AW87" s="619"/>
      <c r="AX87" s="619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IQ87" s="102"/>
      <c r="IR87" s="102"/>
      <c r="IS87" s="102"/>
      <c r="IT87" s="102"/>
      <c r="IU87" s="102"/>
      <c r="IV87" s="102"/>
      <c r="IW87" s="102"/>
      <c r="IX87" s="102"/>
      <c r="JI87" s="102"/>
      <c r="JJ87" s="102"/>
      <c r="JK87" s="102"/>
      <c r="JL87" s="102"/>
      <c r="JM87" s="102"/>
      <c r="JN87" s="102"/>
      <c r="JO87" s="102"/>
      <c r="JP87" s="102"/>
      <c r="JQ87" s="102"/>
      <c r="JR87" s="102"/>
      <c r="JS87" s="102"/>
      <c r="JT87" s="102"/>
      <c r="JU87" s="102"/>
      <c r="OH87" s="102"/>
      <c r="OI87" s="102"/>
      <c r="OJ87" s="102"/>
      <c r="OK87" s="102"/>
      <c r="OL87" s="102"/>
      <c r="OM87" s="102"/>
      <c r="ON87" s="102"/>
      <c r="OO87" s="102"/>
      <c r="OP87" s="102"/>
      <c r="OQ87" s="102"/>
      <c r="OR87" s="102"/>
      <c r="OS87" s="102"/>
      <c r="OT87" s="102"/>
      <c r="OU87" s="102"/>
      <c r="OV87" s="102"/>
      <c r="OW87" s="102"/>
      <c r="OX87" s="1054"/>
      <c r="OY87" s="20"/>
      <c r="OZ87" s="20"/>
      <c r="PA87" s="20"/>
      <c r="PB87" s="20"/>
      <c r="PC87" s="20"/>
      <c r="PD87" s="20"/>
      <c r="PE87" s="20"/>
      <c r="PF87" s="20"/>
      <c r="PG87" s="20"/>
      <c r="PH87" s="20"/>
      <c r="PI87" s="20"/>
      <c r="PJ87" s="20"/>
      <c r="PK87" s="102"/>
      <c r="PL87" s="102"/>
      <c r="PM87" s="102"/>
      <c r="PN87" s="102"/>
      <c r="PO87" s="102"/>
      <c r="PP87" s="102"/>
      <c r="PQ87" s="102"/>
      <c r="PR87" s="102"/>
      <c r="SM87" s="521">
        <f>ROW()</f>
        <v>87</v>
      </c>
      <c r="SN87" s="828" t="s">
        <v>449</v>
      </c>
      <c r="SO87" s="608"/>
      <c r="SP87" s="520"/>
      <c r="SQ87" s="43"/>
      <c r="SR87" s="43"/>
      <c r="SS87" s="43"/>
      <c r="ST87" s="43"/>
      <c r="SU87" s="43"/>
      <c r="SV87" s="43"/>
      <c r="SW87" s="43"/>
      <c r="SX87" s="43"/>
      <c r="SY87" s="43"/>
      <c r="SZ87" s="43"/>
      <c r="TA87" s="520"/>
      <c r="TB87" s="520"/>
      <c r="TC87" s="520"/>
      <c r="TD87" s="520"/>
      <c r="TF87" s="950"/>
      <c r="TG87" s="20"/>
      <c r="TH87" s="610"/>
      <c r="TI87" s="633"/>
      <c r="TJ87" s="633"/>
      <c r="TK87" s="633"/>
      <c r="TL87" s="633"/>
      <c r="TM87" s="633"/>
      <c r="TN87" s="633"/>
      <c r="TO87" s="633"/>
      <c r="TP87" s="633"/>
      <c r="TQ87" s="633"/>
      <c r="TR87" s="633"/>
      <c r="TS87" s="633"/>
      <c r="UJ87" s="521"/>
      <c r="UK87" s="20"/>
      <c r="UL87" s="610"/>
      <c r="UM87" s="72"/>
      <c r="UN87" s="72"/>
      <c r="UO87" s="72"/>
      <c r="UP87" s="72"/>
      <c r="UQ87" s="72"/>
      <c r="UR87" s="72"/>
      <c r="US87" s="72"/>
      <c r="UT87" s="72"/>
      <c r="UU87" s="72"/>
      <c r="UV87" s="72"/>
      <c r="UW87" s="72"/>
    </row>
    <row r="88" spans="1:569" ht="15" x14ac:dyDescent="0.25">
      <c r="A88" s="102"/>
      <c r="B88" s="1" t="s">
        <v>450</v>
      </c>
      <c r="R88" s="102"/>
      <c r="T88" s="41"/>
      <c r="U88" s="581"/>
      <c r="V88" s="620"/>
      <c r="W88" s="620"/>
      <c r="X88" s="42"/>
      <c r="Y88" s="20"/>
      <c r="Z88" s="42"/>
      <c r="AA88" s="20"/>
      <c r="AB88" s="42"/>
      <c r="AC88" s="20"/>
      <c r="AD88" s="42"/>
      <c r="AE88" s="20"/>
      <c r="AF88" s="42"/>
      <c r="AG88" s="102"/>
      <c r="AL88" s="881"/>
      <c r="AM88" s="1191"/>
      <c r="AN88" s="619"/>
      <c r="AO88" s="619"/>
      <c r="AP88" s="619"/>
      <c r="AQ88" s="619"/>
      <c r="AR88" s="619"/>
      <c r="AS88" s="619"/>
      <c r="AT88" s="619"/>
      <c r="AU88" s="619"/>
      <c r="AV88" s="619"/>
      <c r="AW88" s="619"/>
      <c r="AX88" s="619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IQ88" s="102"/>
      <c r="IR88" s="102"/>
      <c r="IS88" s="102"/>
      <c r="IT88" s="102"/>
      <c r="IU88" s="102"/>
      <c r="IV88" s="102"/>
      <c r="IW88" s="102"/>
      <c r="IX88" s="102"/>
      <c r="JI88" s="102"/>
      <c r="JJ88" s="102"/>
      <c r="JK88" s="102"/>
      <c r="JL88" s="102"/>
      <c r="JM88" s="102"/>
      <c r="JN88" s="102"/>
      <c r="JO88" s="102"/>
      <c r="JP88" s="102"/>
      <c r="JQ88" s="102"/>
      <c r="JR88" s="102"/>
      <c r="JS88" s="102"/>
      <c r="JT88" s="102"/>
      <c r="JU88" s="102"/>
      <c r="OH88" s="102"/>
      <c r="OI88" s="102"/>
      <c r="OJ88" s="102"/>
      <c r="OK88" s="102"/>
      <c r="OL88" s="102"/>
      <c r="OM88" s="102"/>
      <c r="ON88" s="102"/>
      <c r="OO88" s="102"/>
      <c r="OP88" s="102"/>
      <c r="OQ88" s="102"/>
      <c r="OR88" s="102"/>
      <c r="OS88" s="102"/>
      <c r="OT88" s="102"/>
      <c r="OU88" s="102"/>
      <c r="OV88" s="102"/>
      <c r="OW88" s="102"/>
      <c r="OX88" s="592"/>
      <c r="OY88" s="592"/>
      <c r="OZ88" s="63"/>
      <c r="PA88" s="846"/>
      <c r="PB88" s="63"/>
      <c r="PC88" s="846"/>
      <c r="PD88" s="846"/>
      <c r="PE88" s="846"/>
      <c r="PF88" s="846"/>
      <c r="PG88" s="846"/>
      <c r="PH88" s="847"/>
      <c r="PI88" s="846"/>
      <c r="PJ88" s="847"/>
      <c r="PK88" s="102"/>
      <c r="PL88" s="102"/>
      <c r="PM88" s="102"/>
      <c r="PN88" s="102"/>
      <c r="PO88" s="102"/>
      <c r="PP88" s="102"/>
      <c r="PQ88" s="102"/>
      <c r="PR88" s="102"/>
      <c r="SM88" s="521">
        <f>ROW()</f>
        <v>88</v>
      </c>
      <c r="SN88" s="102" t="s">
        <v>201</v>
      </c>
      <c r="SO88" s="608"/>
      <c r="SP88" s="571"/>
      <c r="SQ88" s="576"/>
      <c r="SR88" s="576"/>
      <c r="SS88" s="98">
        <f>SS70+SS52+SS34+SS16</f>
        <v>5194302.16</v>
      </c>
      <c r="ST88" s="98">
        <f>SS88</f>
        <v>5194302.16</v>
      </c>
      <c r="SU88" s="98">
        <f>SU70+SU52+SU34+SU16</f>
        <v>22959093.499999996</v>
      </c>
      <c r="SV88" s="98">
        <f>SU88+ST88</f>
        <v>28153395.659999996</v>
      </c>
      <c r="SW88" s="98">
        <f>SW70+SW52+SW34+SW16</f>
        <v>27568041.350000001</v>
      </c>
      <c r="SX88" s="98">
        <f>SW88+SV88</f>
        <v>55721437.009999998</v>
      </c>
      <c r="SY88" s="98">
        <f>SY70+SY52+SY34+SY16</f>
        <v>39851431.430000007</v>
      </c>
      <c r="SZ88" s="98">
        <f>SY88+SX88</f>
        <v>95572868.439999998</v>
      </c>
      <c r="TA88" s="570">
        <f>TA70+TA52+TA34+TA16</f>
        <v>0</v>
      </c>
      <c r="TB88" s="570">
        <f>TA88+SZ88</f>
        <v>95572868.439999998</v>
      </c>
      <c r="TC88" s="570">
        <f>TC70+TC52+TC34+TC16</f>
        <v>0</v>
      </c>
      <c r="TD88" s="570">
        <f>TC88+TB88</f>
        <v>95572868.439999998</v>
      </c>
      <c r="TF88" s="950"/>
      <c r="TG88" s="20"/>
      <c r="TH88" s="610"/>
      <c r="TI88" s="574"/>
      <c r="TJ88" s="574"/>
      <c r="TK88" s="574"/>
      <c r="TL88" s="574"/>
      <c r="TM88" s="574"/>
      <c r="TN88" s="574"/>
      <c r="TO88" s="574"/>
      <c r="TP88" s="574"/>
      <c r="TQ88" s="574"/>
      <c r="TR88" s="574"/>
      <c r="TS88" s="574"/>
      <c r="UJ88" s="521"/>
      <c r="UK88" s="523"/>
      <c r="UL88" s="610"/>
      <c r="UM88" s="72"/>
      <c r="UN88" s="72"/>
      <c r="UO88" s="72"/>
      <c r="UP88" s="72"/>
      <c r="UQ88" s="72"/>
      <c r="UR88" s="72"/>
      <c r="US88" s="72"/>
      <c r="UT88" s="72"/>
      <c r="UU88" s="72"/>
      <c r="UV88" s="72"/>
      <c r="UW88" s="72"/>
    </row>
    <row r="89" spans="1:569" ht="15" x14ac:dyDescent="0.25">
      <c r="A89" s="65" t="s">
        <v>30</v>
      </c>
      <c r="R89" s="102"/>
      <c r="T89" s="41"/>
      <c r="U89" s="1181"/>
      <c r="V89" s="620"/>
      <c r="W89" s="620"/>
      <c r="X89" s="42"/>
      <c r="Y89" s="20"/>
      <c r="Z89" s="42"/>
      <c r="AA89" s="20"/>
      <c r="AB89" s="42"/>
      <c r="AC89" s="20"/>
      <c r="AD89" s="42"/>
      <c r="AE89" s="20"/>
      <c r="AF89" s="42"/>
      <c r="AG89" s="102"/>
      <c r="AL89" s="881"/>
      <c r="AM89" s="1191"/>
      <c r="AN89" s="619"/>
      <c r="AO89" s="619"/>
      <c r="AP89" s="619"/>
      <c r="AQ89" s="619"/>
      <c r="AR89" s="619"/>
      <c r="AS89" s="619"/>
      <c r="AT89" s="619"/>
      <c r="AU89" s="619"/>
      <c r="AV89" s="619"/>
      <c r="AW89" s="619"/>
      <c r="AX89" s="61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IQ89" s="102"/>
      <c r="IR89" s="102"/>
      <c r="IS89" s="102"/>
      <c r="IT89" s="102"/>
      <c r="IU89" s="102"/>
      <c r="IV89" s="102"/>
      <c r="IW89" s="102"/>
      <c r="IX89" s="102"/>
      <c r="JI89" s="102"/>
      <c r="JJ89" s="102"/>
      <c r="JK89" s="102"/>
      <c r="JL89" s="102"/>
      <c r="JM89" s="102"/>
      <c r="JN89" s="102"/>
      <c r="JO89" s="102"/>
      <c r="JP89" s="102"/>
      <c r="JQ89" s="102"/>
      <c r="JR89" s="102"/>
      <c r="JS89" s="102"/>
      <c r="JT89" s="102"/>
      <c r="JU89" s="102"/>
      <c r="OH89" s="102"/>
      <c r="OI89" s="102"/>
      <c r="OJ89" s="102"/>
      <c r="OK89" s="102"/>
      <c r="OL89" s="102"/>
      <c r="OM89" s="102"/>
      <c r="ON89" s="102"/>
      <c r="OO89" s="102"/>
      <c r="OP89" s="102"/>
      <c r="OQ89" s="102"/>
      <c r="OR89" s="102"/>
      <c r="OS89" s="102"/>
      <c r="OT89" s="102"/>
      <c r="OU89" s="102"/>
      <c r="OV89" s="102"/>
      <c r="OW89" s="102"/>
      <c r="OX89" s="881"/>
      <c r="OY89" s="881"/>
      <c r="OZ89" s="667"/>
      <c r="PA89" s="667"/>
      <c r="PB89" s="667"/>
      <c r="PC89" s="667"/>
      <c r="PD89" s="667"/>
      <c r="PE89" s="667"/>
      <c r="PF89" s="667"/>
      <c r="PG89" s="667"/>
      <c r="PH89" s="667"/>
      <c r="PI89" s="667"/>
      <c r="PJ89" s="667"/>
      <c r="PK89" s="102"/>
      <c r="PL89" s="102"/>
      <c r="PM89" s="102"/>
      <c r="PN89" s="102"/>
      <c r="PO89" s="102"/>
      <c r="PP89" s="102"/>
      <c r="PQ89" s="102"/>
      <c r="PR89" s="102"/>
      <c r="SM89" s="521">
        <f>ROW()</f>
        <v>89</v>
      </c>
      <c r="SN89" s="102" t="s">
        <v>222</v>
      </c>
      <c r="SO89" s="608"/>
      <c r="SP89" s="607"/>
      <c r="SQ89" s="74"/>
      <c r="SR89" s="74"/>
      <c r="SS89" s="39">
        <f>SS71+SS53+SS35+SS17</f>
        <v>119191.54478</v>
      </c>
      <c r="ST89" s="39">
        <f>SS89</f>
        <v>119191.54478</v>
      </c>
      <c r="SU89" s="39">
        <f>SU71+SU53+SU35+SU17</f>
        <v>2750883.8222250007</v>
      </c>
      <c r="SV89" s="39">
        <f>SU89+ST89</f>
        <v>2870075.3670050008</v>
      </c>
      <c r="SW89" s="39">
        <f>SW71+SW53+SW35+SW17</f>
        <v>3257654.8731650002</v>
      </c>
      <c r="SX89" s="39">
        <f>SW89+SV89</f>
        <v>6127730.2401700011</v>
      </c>
      <c r="SY89" s="39">
        <f t="shared" ref="SY89:TA91" si="248">SY71+SY53+SY35+SY17</f>
        <v>2919465.8874149988</v>
      </c>
      <c r="SZ89" s="39">
        <f t="shared" ref="SZ89:TD91" si="249">SY89+SX89</f>
        <v>9047196.1275849994</v>
      </c>
      <c r="TA89" s="606">
        <f t="shared" si="248"/>
        <v>0</v>
      </c>
      <c r="TB89" s="606">
        <f t="shared" si="249"/>
        <v>9047196.1275849994</v>
      </c>
      <c r="TC89" s="606">
        <f>TC71+TC53+TC35+TC17</f>
        <v>0</v>
      </c>
      <c r="TD89" s="606">
        <f t="shared" si="249"/>
        <v>9047196.1275849994</v>
      </c>
      <c r="TF89" s="950"/>
      <c r="TG89" s="20"/>
      <c r="TH89" s="610"/>
      <c r="TI89" s="72"/>
      <c r="TJ89" s="72"/>
      <c r="TK89" s="72"/>
      <c r="TL89" s="72"/>
      <c r="TM89" s="72"/>
      <c r="TN89" s="72"/>
      <c r="TO89" s="72"/>
      <c r="TP89" s="72"/>
      <c r="TQ89" s="72"/>
      <c r="TR89" s="72"/>
      <c r="TS89" s="72"/>
      <c r="UJ89" s="521"/>
      <c r="UK89" s="20"/>
      <c r="UL89" s="610"/>
      <c r="UM89" s="573"/>
      <c r="UN89" s="573"/>
      <c r="UO89" s="573"/>
      <c r="UP89" s="574"/>
      <c r="UQ89" s="574"/>
      <c r="UR89" s="574"/>
      <c r="US89" s="574"/>
      <c r="UT89" s="574"/>
      <c r="UU89" s="574"/>
      <c r="UV89" s="574"/>
      <c r="UW89" s="574"/>
    </row>
    <row r="90" spans="1:569" ht="15" x14ac:dyDescent="0.25">
      <c r="A90" s="102"/>
      <c r="B90" s="88"/>
      <c r="R90" s="102"/>
      <c r="T90" s="41"/>
      <c r="U90" s="1181"/>
      <c r="V90" s="64"/>
      <c r="W90" s="64"/>
      <c r="X90" s="42"/>
      <c r="Y90" s="20"/>
      <c r="Z90" s="42"/>
      <c r="AA90" s="20"/>
      <c r="AB90" s="42"/>
      <c r="AC90" s="20"/>
      <c r="AD90" s="42"/>
      <c r="AE90" s="20"/>
      <c r="AF90" s="42"/>
      <c r="AG90" s="102"/>
      <c r="AL90" s="842"/>
      <c r="AM90" s="776"/>
      <c r="AN90" s="619"/>
      <c r="AO90" s="619"/>
      <c r="AP90" s="619"/>
      <c r="AQ90" s="619"/>
      <c r="AR90" s="619"/>
      <c r="AS90" s="619"/>
      <c r="AT90" s="619"/>
      <c r="AU90" s="619"/>
      <c r="AV90" s="619"/>
      <c r="AW90" s="619"/>
      <c r="AX90" s="619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IQ90" s="102"/>
      <c r="IR90" s="102"/>
      <c r="IS90" s="102"/>
      <c r="IT90" s="102"/>
      <c r="IU90" s="102"/>
      <c r="IV90" s="102"/>
      <c r="IW90" s="102"/>
      <c r="IX90" s="102"/>
      <c r="JI90" s="102"/>
      <c r="JJ90" s="102"/>
      <c r="JK90" s="102"/>
      <c r="JL90" s="102"/>
      <c r="JM90" s="102"/>
      <c r="JN90" s="102"/>
      <c r="JO90" s="102"/>
      <c r="JP90" s="102"/>
      <c r="JQ90" s="102"/>
      <c r="JR90" s="102"/>
      <c r="JS90" s="102"/>
      <c r="JT90" s="102"/>
      <c r="JU90" s="102"/>
      <c r="OH90" s="102"/>
      <c r="OI90" s="102"/>
      <c r="OJ90" s="102"/>
      <c r="OK90" s="102"/>
      <c r="OL90" s="102"/>
      <c r="OM90" s="102"/>
      <c r="ON90" s="102"/>
      <c r="OO90" s="102"/>
      <c r="OP90" s="102"/>
      <c r="OQ90" s="102"/>
      <c r="OR90" s="102"/>
      <c r="OS90" s="102"/>
      <c r="OT90" s="102"/>
      <c r="OU90" s="102"/>
      <c r="OV90" s="102"/>
      <c r="OW90" s="102"/>
      <c r="OX90" s="881"/>
      <c r="OY90" s="881"/>
      <c r="OZ90" s="63"/>
      <c r="PA90" s="63"/>
      <c r="PB90" s="63"/>
      <c r="PC90" s="846"/>
      <c r="PD90" s="846"/>
      <c r="PE90" s="846"/>
      <c r="PF90" s="846"/>
      <c r="PG90" s="847"/>
      <c r="PH90" s="847"/>
      <c r="PI90" s="847"/>
      <c r="PJ90" s="847"/>
      <c r="PK90" s="102"/>
      <c r="PL90" s="102"/>
      <c r="PM90" s="102"/>
      <c r="PN90" s="102"/>
      <c r="PO90" s="102"/>
      <c r="PP90" s="102"/>
      <c r="PQ90" s="102"/>
      <c r="PR90" s="102"/>
      <c r="SM90" s="521">
        <f>ROW()</f>
        <v>90</v>
      </c>
      <c r="SN90" s="102" t="s">
        <v>244</v>
      </c>
      <c r="SO90" s="608"/>
      <c r="SP90" s="607"/>
      <c r="SQ90" s="74"/>
      <c r="SR90" s="74"/>
      <c r="SS90" s="39">
        <f>SS72+SS54+SS36+SS18</f>
        <v>389335.38000000006</v>
      </c>
      <c r="ST90" s="39">
        <f>SS90</f>
        <v>389335.38000000006</v>
      </c>
      <c r="SU90" s="39">
        <f>SU72+SU54+SU36+SU18</f>
        <v>8266401.0300000012</v>
      </c>
      <c r="SV90" s="39">
        <f>SU90+ST90</f>
        <v>8655736.410000002</v>
      </c>
      <c r="SW90" s="39">
        <f>SW72+SW54+SW36+SW18</f>
        <v>6979672.2699999996</v>
      </c>
      <c r="SX90" s="39">
        <f>SW90+SV90</f>
        <v>15635408.680000002</v>
      </c>
      <c r="SY90" s="39">
        <f t="shared" si="248"/>
        <v>11877147.799999999</v>
      </c>
      <c r="SZ90" s="39">
        <f t="shared" si="249"/>
        <v>27512556.48</v>
      </c>
      <c r="TA90" s="606">
        <f t="shared" si="248"/>
        <v>0</v>
      </c>
      <c r="TB90" s="606">
        <f t="shared" si="249"/>
        <v>27512556.48</v>
      </c>
      <c r="TC90" s="606">
        <f>TC72+TC54+TC36+TC18</f>
        <v>0</v>
      </c>
      <c r="TD90" s="606">
        <f t="shared" si="249"/>
        <v>27512556.48</v>
      </c>
      <c r="TF90" s="950"/>
      <c r="TG90" s="523"/>
      <c r="TH90" s="610"/>
      <c r="TI90" s="72"/>
      <c r="TJ90" s="72"/>
      <c r="TK90" s="72"/>
      <c r="TL90" s="72"/>
      <c r="TM90" s="72"/>
      <c r="TN90" s="72"/>
      <c r="TO90" s="72"/>
      <c r="TP90" s="72"/>
      <c r="TQ90" s="72"/>
      <c r="TR90" s="72"/>
      <c r="TS90" s="72"/>
      <c r="UJ90" s="521"/>
      <c r="UK90" s="20"/>
      <c r="UL90" s="610"/>
      <c r="UM90" s="42"/>
      <c r="UN90" s="42"/>
      <c r="UO90" s="42"/>
      <c r="UP90" s="633"/>
      <c r="UQ90" s="633"/>
      <c r="UR90" s="633"/>
      <c r="US90" s="633"/>
      <c r="UT90" s="633"/>
      <c r="UU90" s="633"/>
      <c r="UV90" s="633"/>
      <c r="UW90" s="633"/>
    </row>
    <row r="91" spans="1:569" ht="15" x14ac:dyDescent="0.25">
      <c r="A91" s="102"/>
      <c r="B91" s="88"/>
      <c r="R91" s="102"/>
      <c r="T91" s="41"/>
      <c r="U91" s="1182"/>
      <c r="V91" s="620"/>
      <c r="W91" s="620"/>
      <c r="X91" s="42"/>
      <c r="Y91" s="20"/>
      <c r="Z91" s="42"/>
      <c r="AA91" s="20"/>
      <c r="AB91" s="42"/>
      <c r="AC91" s="20"/>
      <c r="AD91" s="42"/>
      <c r="AE91" s="20"/>
      <c r="AF91" s="42"/>
      <c r="AG91" s="102"/>
      <c r="AL91" s="842"/>
      <c r="AM91" s="667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IQ91" s="102"/>
      <c r="IR91" s="102"/>
      <c r="IS91" s="102"/>
      <c r="IT91" s="102"/>
      <c r="IU91" s="102"/>
      <c r="IV91" s="102"/>
      <c r="IW91" s="102"/>
      <c r="IX91" s="102"/>
      <c r="JI91" s="102"/>
      <c r="JJ91" s="102"/>
      <c r="JK91" s="102"/>
      <c r="JL91" s="102"/>
      <c r="JM91" s="102"/>
      <c r="JN91" s="102"/>
      <c r="JO91" s="102"/>
      <c r="JP91" s="102"/>
      <c r="JQ91" s="102"/>
      <c r="JR91" s="102"/>
      <c r="JS91" s="102"/>
      <c r="JT91" s="102"/>
      <c r="JU91" s="102"/>
      <c r="OH91" s="102"/>
      <c r="OI91" s="102"/>
      <c r="OJ91" s="102"/>
      <c r="OK91" s="102"/>
      <c r="OL91" s="102"/>
      <c r="OM91" s="102"/>
      <c r="ON91" s="102"/>
      <c r="OO91" s="102"/>
      <c r="OP91" s="102"/>
      <c r="OQ91" s="102"/>
      <c r="OR91" s="102"/>
      <c r="OS91" s="102"/>
      <c r="OT91" s="102"/>
      <c r="OU91" s="102"/>
      <c r="OV91" s="102"/>
      <c r="OW91" s="102"/>
      <c r="OX91" s="20"/>
      <c r="OY91" s="20"/>
      <c r="OZ91" s="667"/>
      <c r="PA91" s="667"/>
      <c r="PB91" s="667"/>
      <c r="PC91" s="667"/>
      <c r="PD91" s="667"/>
      <c r="PE91" s="667"/>
      <c r="PF91" s="667"/>
      <c r="PG91" s="667"/>
      <c r="PH91" s="667"/>
      <c r="PI91" s="667"/>
      <c r="PJ91" s="667"/>
      <c r="PK91" s="102"/>
      <c r="PL91" s="102"/>
      <c r="PM91" s="102"/>
      <c r="PN91" s="102"/>
      <c r="PO91" s="102"/>
      <c r="PP91" s="102"/>
      <c r="PQ91" s="102"/>
      <c r="PR91" s="102"/>
      <c r="SM91" s="521">
        <f>ROW()</f>
        <v>91</v>
      </c>
      <c r="SN91" s="102" t="s">
        <v>260</v>
      </c>
      <c r="SO91" s="608"/>
      <c r="SP91" s="671"/>
      <c r="SQ91" s="739"/>
      <c r="SR91" s="739"/>
      <c r="SS91" s="745">
        <f>SS73+SS55+SS37+SS19</f>
        <v>715930.00864000001</v>
      </c>
      <c r="ST91" s="745">
        <f>SS91</f>
        <v>715930.00864000001</v>
      </c>
      <c r="SU91" s="745">
        <f>SU73+SU55+SU37+SU19</f>
        <v>11349745.492855001</v>
      </c>
      <c r="SV91" s="745">
        <f>SU91+ST91</f>
        <v>12065675.501495002</v>
      </c>
      <c r="SW91" s="745">
        <f>SW73+SW55+SW37+SW19</f>
        <v>11850076.695765</v>
      </c>
      <c r="SX91" s="745">
        <f>SW91+SV91</f>
        <v>23915752.19726</v>
      </c>
      <c r="SY91" s="745">
        <f t="shared" si="248"/>
        <v>16104733.840579998</v>
      </c>
      <c r="SZ91" s="745">
        <f t="shared" si="249"/>
        <v>40020486.037839994</v>
      </c>
      <c r="TA91" s="669">
        <f t="shared" si="248"/>
        <v>0</v>
      </c>
      <c r="TB91" s="669">
        <f t="shared" si="249"/>
        <v>40020486.037839994</v>
      </c>
      <c r="TC91" s="669">
        <f>TC73+TC55+TC37+TC19</f>
        <v>0</v>
      </c>
      <c r="TD91" s="669">
        <f t="shared" si="249"/>
        <v>40020486.037839994</v>
      </c>
      <c r="TF91" s="950"/>
      <c r="TG91" s="20"/>
      <c r="TH91" s="610"/>
      <c r="TI91" s="573"/>
      <c r="TJ91" s="573"/>
      <c r="TK91" s="573"/>
      <c r="TL91" s="574"/>
      <c r="TM91" s="574"/>
      <c r="TN91" s="574"/>
      <c r="TO91" s="574"/>
      <c r="TP91" s="574"/>
      <c r="TQ91" s="574"/>
      <c r="TR91" s="574"/>
      <c r="TS91" s="574"/>
      <c r="UJ91" s="521"/>
      <c r="UK91" s="20"/>
      <c r="UL91" s="610"/>
      <c r="UM91" s="42"/>
      <c r="UN91" s="42"/>
      <c r="UO91" s="42"/>
      <c r="UP91" s="633"/>
      <c r="UQ91" s="633"/>
      <c r="UR91" s="633"/>
      <c r="US91" s="633"/>
      <c r="UT91" s="633"/>
      <c r="UU91" s="633"/>
      <c r="UV91" s="633"/>
      <c r="UW91" s="633"/>
    </row>
    <row r="92" spans="1:569" ht="15" x14ac:dyDescent="0.25">
      <c r="A92" s="523"/>
      <c r="B92" s="917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R92" s="102"/>
      <c r="T92" s="679"/>
      <c r="U92" s="690"/>
      <c r="V92" s="620"/>
      <c r="W92" s="620"/>
      <c r="X92" s="42"/>
      <c r="Y92" s="20"/>
      <c r="Z92" s="42"/>
      <c r="AA92" s="20"/>
      <c r="AB92" s="42"/>
      <c r="AC92" s="20"/>
      <c r="AD92" s="42"/>
      <c r="AE92" s="20"/>
      <c r="AF92" s="42"/>
      <c r="AG92" s="102"/>
      <c r="AL92" s="842"/>
      <c r="AM92" s="1191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IQ92" s="102"/>
      <c r="IR92" s="102"/>
      <c r="IS92" s="102"/>
      <c r="IT92" s="102"/>
      <c r="IU92" s="102"/>
      <c r="IV92" s="102"/>
      <c r="IW92" s="102"/>
      <c r="IX92" s="102"/>
      <c r="JI92" s="102"/>
      <c r="JJ92" s="102"/>
      <c r="JK92" s="102"/>
      <c r="JL92" s="102"/>
      <c r="JM92" s="102"/>
      <c r="JN92" s="102"/>
      <c r="JO92" s="102"/>
      <c r="JP92" s="102"/>
      <c r="JQ92" s="102"/>
      <c r="JR92" s="102"/>
      <c r="JS92" s="102"/>
      <c r="JT92" s="102"/>
      <c r="JU92" s="102"/>
      <c r="OH92" s="102"/>
      <c r="OI92" s="102"/>
      <c r="OJ92" s="102"/>
      <c r="OK92" s="102"/>
      <c r="OL92" s="102"/>
      <c r="OM92" s="102"/>
      <c r="ON92" s="102"/>
      <c r="OO92" s="102"/>
      <c r="OP92" s="102"/>
      <c r="OQ92" s="102"/>
      <c r="OR92" s="102"/>
      <c r="OS92" s="102"/>
      <c r="OT92" s="102"/>
      <c r="OU92" s="102"/>
      <c r="OV92" s="102"/>
      <c r="OW92" s="102"/>
      <c r="OX92" s="20"/>
      <c r="OY92" s="20"/>
      <c r="OZ92" s="63"/>
      <c r="PA92" s="63"/>
      <c r="PB92" s="63"/>
      <c r="PC92" s="846"/>
      <c r="PD92" s="846"/>
      <c r="PE92" s="846"/>
      <c r="PF92" s="846"/>
      <c r="PG92" s="847"/>
      <c r="PH92" s="847"/>
      <c r="PI92" s="847"/>
      <c r="PJ92" s="847"/>
      <c r="PK92" s="102"/>
      <c r="PL92" s="102"/>
      <c r="PM92" s="102"/>
      <c r="PN92" s="102"/>
      <c r="PO92" s="102"/>
      <c r="PP92" s="102"/>
      <c r="PQ92" s="102"/>
      <c r="PR92" s="102"/>
      <c r="SM92" s="521">
        <f>ROW()</f>
        <v>92</v>
      </c>
      <c r="SN92" s="102" t="s">
        <v>280</v>
      </c>
      <c r="SO92" s="608"/>
      <c r="SP92" s="606"/>
      <c r="SQ92" s="606"/>
      <c r="SR92" s="606"/>
      <c r="SS92" s="606">
        <f t="shared" ref="SS92:SZ92" si="250">SUM(SS88:SS91)</f>
        <v>6418759.0934199998</v>
      </c>
      <c r="ST92" s="606">
        <f t="shared" si="250"/>
        <v>6418759.0934199998</v>
      </c>
      <c r="SU92" s="606">
        <f t="shared" si="250"/>
        <v>45326123.845080003</v>
      </c>
      <c r="SV92" s="606">
        <f t="shared" si="250"/>
        <v>51744882.938500002</v>
      </c>
      <c r="SW92" s="606">
        <f t="shared" si="250"/>
        <v>49655445.188930005</v>
      </c>
      <c r="SX92" s="606">
        <f t="shared" si="250"/>
        <v>101400328.12742999</v>
      </c>
      <c r="SY92" s="606">
        <f t="shared" si="250"/>
        <v>70752778.957994998</v>
      </c>
      <c r="SZ92" s="606">
        <f t="shared" si="250"/>
        <v>172153107.08542499</v>
      </c>
      <c r="TA92" s="606">
        <f>SUM(TA88:TA91)</f>
        <v>0</v>
      </c>
      <c r="TB92" s="606">
        <f>SUM(TB88:TB91)</f>
        <v>172153107.08542499</v>
      </c>
      <c r="TC92" s="606">
        <f>SUM(TC88:TC91)</f>
        <v>0</v>
      </c>
      <c r="TD92" s="606">
        <f>SUM(TD88:TD91)</f>
        <v>172153107.08542499</v>
      </c>
      <c r="TF92" s="950"/>
      <c r="TG92" s="20"/>
      <c r="TH92" s="610"/>
      <c r="TI92" s="42"/>
      <c r="TJ92" s="42"/>
      <c r="TK92" s="42"/>
      <c r="TL92" s="633"/>
      <c r="TM92" s="633"/>
      <c r="TN92" s="633"/>
      <c r="TO92" s="633"/>
      <c r="TP92" s="633"/>
      <c r="TQ92" s="633"/>
      <c r="TR92" s="633"/>
      <c r="TS92" s="633"/>
      <c r="UJ92" s="521"/>
      <c r="UK92" s="20"/>
      <c r="UL92" s="610"/>
      <c r="UM92" s="42"/>
      <c r="UN92" s="42"/>
      <c r="UO92" s="42"/>
      <c r="UP92" s="633"/>
      <c r="UQ92" s="633"/>
      <c r="UR92" s="633"/>
      <c r="US92" s="633"/>
      <c r="UT92" s="633"/>
      <c r="UU92" s="633"/>
      <c r="UV92" s="633"/>
      <c r="UW92" s="633"/>
    </row>
    <row r="93" spans="1:569" ht="15" x14ac:dyDescent="0.25">
      <c r="A93" s="30"/>
      <c r="B93" s="1152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R93" s="102"/>
      <c r="T93" s="679"/>
      <c r="U93" s="20"/>
      <c r="V93" s="620"/>
      <c r="W93" s="620"/>
      <c r="X93" s="42"/>
      <c r="Y93" s="20"/>
      <c r="Z93" s="42"/>
      <c r="AA93" s="20"/>
      <c r="AB93" s="42"/>
      <c r="AC93" s="20"/>
      <c r="AD93" s="42"/>
      <c r="AE93" s="20"/>
      <c r="AF93" s="42"/>
      <c r="AG93" s="102"/>
      <c r="AL93" s="842"/>
      <c r="AM93" s="20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IQ93" s="102"/>
      <c r="IR93" s="102"/>
      <c r="IS93" s="102"/>
      <c r="IT93" s="102"/>
      <c r="IU93" s="102"/>
      <c r="IV93" s="102"/>
      <c r="IW93" s="102"/>
      <c r="IX93" s="102"/>
      <c r="JI93" s="102"/>
      <c r="JJ93" s="102"/>
      <c r="JK93" s="102"/>
      <c r="JL93" s="102"/>
      <c r="JM93" s="102"/>
      <c r="JN93" s="102"/>
      <c r="JO93" s="102"/>
      <c r="JP93" s="102"/>
      <c r="JQ93" s="102"/>
      <c r="JR93" s="102"/>
      <c r="JS93" s="102"/>
      <c r="JT93" s="102"/>
      <c r="JU93" s="102"/>
      <c r="OH93" s="102"/>
      <c r="OI93" s="102"/>
      <c r="OJ93" s="102"/>
      <c r="OK93" s="102"/>
      <c r="OL93" s="102"/>
      <c r="OM93" s="102"/>
      <c r="ON93" s="102"/>
      <c r="OO93" s="102"/>
      <c r="OP93" s="102"/>
      <c r="OQ93" s="102"/>
      <c r="OR93" s="102"/>
      <c r="OS93" s="102"/>
      <c r="OT93" s="102"/>
      <c r="OU93" s="102"/>
      <c r="OV93" s="102"/>
      <c r="OW93" s="102"/>
      <c r="OX93" s="20"/>
      <c r="OY93" s="610"/>
      <c r="OZ93" s="700"/>
      <c r="PA93" s="700"/>
      <c r="PB93" s="700"/>
      <c r="PC93" s="700"/>
      <c r="PD93" s="700"/>
      <c r="PE93" s="700"/>
      <c r="PF93" s="700"/>
      <c r="PG93" s="700"/>
      <c r="PH93" s="700"/>
      <c r="PI93" s="700"/>
      <c r="PJ93" s="700"/>
      <c r="PK93" s="102"/>
      <c r="PL93" s="102"/>
      <c r="PM93" s="102"/>
      <c r="PN93" s="102"/>
      <c r="PO93" s="102"/>
      <c r="PP93" s="102"/>
      <c r="PQ93" s="102"/>
      <c r="PR93" s="102"/>
      <c r="SM93" s="521">
        <f>ROW()</f>
        <v>93</v>
      </c>
      <c r="SO93" s="608"/>
      <c r="SP93" s="606"/>
      <c r="SQ93" s="606"/>
      <c r="SR93" s="606"/>
      <c r="SS93" s="606"/>
      <c r="ST93" s="606"/>
      <c r="SU93" s="606"/>
      <c r="SV93" s="606"/>
      <c r="SW93" s="606"/>
      <c r="SX93" s="606"/>
      <c r="SY93" s="606"/>
      <c r="SZ93" s="606"/>
      <c r="TA93" s="606"/>
      <c r="TB93" s="606"/>
      <c r="TC93" s="606"/>
      <c r="TD93" s="606"/>
      <c r="TF93" s="950"/>
      <c r="TG93" s="20"/>
      <c r="TH93" s="610"/>
      <c r="TI93" s="42"/>
      <c r="TJ93" s="42"/>
      <c r="TK93" s="42"/>
      <c r="TL93" s="633"/>
      <c r="TM93" s="633"/>
      <c r="TN93" s="633"/>
      <c r="TO93" s="633"/>
      <c r="TP93" s="633"/>
      <c r="TQ93" s="633"/>
      <c r="TR93" s="633"/>
      <c r="TS93" s="633"/>
      <c r="UJ93" s="521"/>
      <c r="UK93" s="20"/>
      <c r="UL93" s="610"/>
      <c r="UM93" s="633"/>
      <c r="UN93" s="633"/>
      <c r="UO93" s="633"/>
      <c r="UP93" s="633"/>
      <c r="UQ93" s="633"/>
      <c r="UR93" s="633"/>
      <c r="US93" s="633"/>
      <c r="UT93" s="633"/>
      <c r="UU93" s="633"/>
      <c r="UV93" s="633"/>
      <c r="UW93" s="633"/>
    </row>
    <row r="94" spans="1:569" ht="15" x14ac:dyDescent="0.25">
      <c r="A94" s="30"/>
      <c r="B94" s="1153"/>
      <c r="C94" s="547"/>
      <c r="D94" s="1154"/>
      <c r="E94" s="1154"/>
      <c r="F94" s="1154"/>
      <c r="G94" s="526"/>
      <c r="H94" s="1155"/>
      <c r="I94" s="526"/>
      <c r="J94" s="1156"/>
      <c r="K94" s="526"/>
      <c r="L94" s="1156"/>
      <c r="M94" s="526"/>
      <c r="N94" s="1156"/>
      <c r="R94" s="102"/>
      <c r="T94" s="842"/>
      <c r="U94" s="20"/>
      <c r="V94" s="620"/>
      <c r="W94" s="620"/>
      <c r="X94" s="42"/>
      <c r="Y94" s="42"/>
      <c r="Z94" s="42"/>
      <c r="AA94" s="20"/>
      <c r="AB94" s="42"/>
      <c r="AC94" s="20"/>
      <c r="AD94" s="42"/>
      <c r="AE94" s="20"/>
      <c r="AF94" s="42"/>
      <c r="AG94" s="102"/>
      <c r="AL94" s="20"/>
      <c r="AM94" s="20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IQ94" s="102"/>
      <c r="IR94" s="102"/>
      <c r="IS94" s="102"/>
      <c r="IT94" s="102"/>
      <c r="IU94" s="102"/>
      <c r="IV94" s="102"/>
      <c r="IW94" s="102"/>
      <c r="IX94" s="102"/>
      <c r="JI94" s="102"/>
      <c r="JJ94" s="102"/>
      <c r="JK94" s="102"/>
      <c r="JL94" s="102"/>
      <c r="JM94" s="102"/>
      <c r="JN94" s="102"/>
      <c r="JO94" s="102"/>
      <c r="JP94" s="102"/>
      <c r="JQ94" s="102"/>
      <c r="JR94" s="102"/>
      <c r="JS94" s="102"/>
      <c r="JT94" s="102"/>
      <c r="JU94" s="102"/>
      <c r="OH94" s="102"/>
      <c r="OI94" s="102"/>
      <c r="OJ94" s="102"/>
      <c r="OK94" s="102"/>
      <c r="OL94" s="102"/>
      <c r="OM94" s="102"/>
      <c r="ON94" s="102"/>
      <c r="OO94" s="102"/>
      <c r="OP94" s="102"/>
      <c r="OQ94" s="102"/>
      <c r="OR94" s="102"/>
      <c r="OS94" s="102"/>
      <c r="OT94" s="102"/>
      <c r="OU94" s="102"/>
      <c r="OV94" s="102"/>
      <c r="OW94" s="102"/>
      <c r="OX94" s="20"/>
      <c r="OY94" s="20"/>
      <c r="OZ94" s="667"/>
      <c r="PA94" s="667"/>
      <c r="PB94" s="667"/>
      <c r="PC94" s="667"/>
      <c r="PD94" s="667"/>
      <c r="PE94" s="667"/>
      <c r="PF94" s="667"/>
      <c r="PG94" s="667"/>
      <c r="PH94" s="667"/>
      <c r="PI94" s="667"/>
      <c r="PJ94" s="667"/>
      <c r="PK94" s="102"/>
      <c r="PL94" s="102"/>
      <c r="PM94" s="102"/>
      <c r="PN94" s="102"/>
      <c r="PO94" s="102"/>
      <c r="PP94" s="102"/>
      <c r="PQ94" s="102"/>
      <c r="PR94" s="102"/>
      <c r="SM94" s="521">
        <f>ROW()</f>
        <v>94</v>
      </c>
      <c r="SN94" s="102" t="s">
        <v>258</v>
      </c>
      <c r="SO94" s="608"/>
      <c r="SP94" s="606"/>
      <c r="SQ94" s="606"/>
      <c r="SR94" s="606"/>
      <c r="SS94" s="606">
        <f t="shared" ref="SS94:SY94" si="251">SS92</f>
        <v>6418759.0934199998</v>
      </c>
      <c r="ST94" s="606">
        <f t="shared" si="251"/>
        <v>6418759.0934199998</v>
      </c>
      <c r="SU94" s="606">
        <f t="shared" si="251"/>
        <v>45326123.845080003</v>
      </c>
      <c r="SV94" s="606">
        <f t="shared" si="251"/>
        <v>51744882.938500002</v>
      </c>
      <c r="SW94" s="606">
        <f t="shared" si="251"/>
        <v>49655445.188930005</v>
      </c>
      <c r="SX94" s="606">
        <f t="shared" si="251"/>
        <v>101400328.12742999</v>
      </c>
      <c r="SY94" s="606">
        <f t="shared" si="251"/>
        <v>70752778.957994998</v>
      </c>
      <c r="SZ94" s="606">
        <f>SZ92</f>
        <v>172153107.08542499</v>
      </c>
      <c r="TA94" s="606">
        <f>TA92</f>
        <v>0</v>
      </c>
      <c r="TB94" s="606">
        <f>TB92</f>
        <v>172153107.08542499</v>
      </c>
      <c r="TC94" s="606">
        <f>TC92</f>
        <v>0</v>
      </c>
      <c r="TD94" s="606">
        <f>TD92</f>
        <v>172153107.08542499</v>
      </c>
      <c r="TF94" s="950"/>
      <c r="TG94" s="20"/>
      <c r="TH94" s="610"/>
      <c r="TI94" s="42"/>
      <c r="TJ94" s="42"/>
      <c r="TK94" s="42"/>
      <c r="TL94" s="633"/>
      <c r="TM94" s="633"/>
      <c r="TN94" s="633"/>
      <c r="TO94" s="633"/>
      <c r="TP94" s="633"/>
      <c r="TQ94" s="633"/>
      <c r="TR94" s="633"/>
      <c r="TS94" s="633"/>
      <c r="UJ94" s="521"/>
      <c r="UK94" s="20"/>
      <c r="UL94" s="610"/>
      <c r="UM94" s="633"/>
      <c r="UN94" s="633"/>
      <c r="UO94" s="633"/>
      <c r="UP94" s="633"/>
      <c r="UQ94" s="633"/>
      <c r="UR94" s="633"/>
      <c r="US94" s="633"/>
      <c r="UT94" s="633"/>
      <c r="UU94" s="633"/>
      <c r="UV94" s="633"/>
      <c r="UW94" s="633"/>
    </row>
    <row r="95" spans="1:569" ht="15" x14ac:dyDescent="0.25">
      <c r="A95" s="30"/>
      <c r="B95" s="1153"/>
      <c r="C95" s="547"/>
      <c r="D95" s="1154"/>
      <c r="E95" s="1154"/>
      <c r="F95" s="1157"/>
      <c r="G95" s="579"/>
      <c r="H95" s="1157"/>
      <c r="I95" s="1157"/>
      <c r="J95" s="1157"/>
      <c r="K95" s="1157"/>
      <c r="L95" s="1157"/>
      <c r="M95" s="1157"/>
      <c r="N95" s="1157"/>
      <c r="R95" s="102"/>
      <c r="T95" s="679"/>
      <c r="U95" s="20"/>
      <c r="V95" s="813"/>
      <c r="W95" s="620"/>
      <c r="X95" s="42"/>
      <c r="Y95" s="42"/>
      <c r="Z95" s="42"/>
      <c r="AA95" s="20"/>
      <c r="AB95" s="42"/>
      <c r="AC95" s="20"/>
      <c r="AD95" s="42"/>
      <c r="AE95" s="20"/>
      <c r="AF95" s="42"/>
      <c r="AG95" s="102"/>
      <c r="AL95" s="20"/>
      <c r="AM95" s="20"/>
      <c r="AN95" s="20"/>
      <c r="AO95" s="21"/>
      <c r="AP95" s="78"/>
      <c r="AQ95" s="21"/>
      <c r="AR95" s="20"/>
      <c r="AS95" s="21"/>
      <c r="AT95" s="21"/>
      <c r="AU95" s="21"/>
      <c r="AV95" s="21"/>
      <c r="AW95" s="21"/>
      <c r="AX95" s="21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IQ95" s="102"/>
      <c r="IR95" s="102"/>
      <c r="IS95" s="102"/>
      <c r="IT95" s="102"/>
      <c r="IU95" s="102"/>
      <c r="IV95" s="102"/>
      <c r="IW95" s="102"/>
      <c r="IX95" s="102"/>
      <c r="JI95" s="102"/>
      <c r="JJ95" s="102"/>
      <c r="JK95" s="102"/>
      <c r="JL95" s="102"/>
      <c r="JM95" s="102"/>
      <c r="JN95" s="102"/>
      <c r="JO95" s="102"/>
      <c r="JP95" s="102"/>
      <c r="JQ95" s="102"/>
      <c r="JR95" s="102"/>
      <c r="JS95" s="102"/>
      <c r="JT95" s="102"/>
      <c r="JU95" s="102"/>
      <c r="OH95" s="102"/>
      <c r="OI95" s="102"/>
      <c r="OJ95" s="102"/>
      <c r="OK95" s="102"/>
      <c r="OL95" s="102"/>
      <c r="OM95" s="102"/>
      <c r="ON95" s="102"/>
      <c r="OO95" s="102"/>
      <c r="OP95" s="102"/>
      <c r="OQ95" s="102"/>
      <c r="OR95" s="102"/>
      <c r="OS95" s="102"/>
      <c r="OT95" s="102"/>
      <c r="OU95" s="102"/>
      <c r="OV95" s="102"/>
      <c r="OW95" s="102"/>
      <c r="OX95" s="523"/>
      <c r="OY95" s="20"/>
      <c r="OZ95" s="20"/>
      <c r="PA95" s="20"/>
      <c r="PB95" s="20"/>
      <c r="PC95" s="20"/>
      <c r="PD95" s="20"/>
      <c r="PE95" s="20"/>
      <c r="PF95" s="20"/>
      <c r="PG95" s="20"/>
      <c r="PH95" s="20"/>
      <c r="PI95" s="20"/>
      <c r="PJ95" s="20"/>
      <c r="PK95" s="102"/>
      <c r="PL95" s="102"/>
      <c r="PM95" s="102"/>
      <c r="PN95" s="102"/>
      <c r="PO95" s="102"/>
      <c r="PP95" s="102"/>
      <c r="PQ95" s="102"/>
      <c r="PR95" s="102"/>
      <c r="SM95" s="521">
        <f>ROW()</f>
        <v>95</v>
      </c>
      <c r="SO95" s="608"/>
      <c r="SP95" s="568"/>
      <c r="SQ95" s="568"/>
      <c r="SR95" s="568"/>
      <c r="SS95" s="568"/>
      <c r="ST95" s="568"/>
      <c r="SU95" s="568"/>
      <c r="SV95" s="568"/>
      <c r="SW95" s="568"/>
      <c r="SX95" s="568"/>
      <c r="SY95" s="568"/>
      <c r="SZ95" s="568"/>
      <c r="TA95" s="568"/>
      <c r="TB95" s="568"/>
      <c r="TC95" s="568"/>
      <c r="TD95" s="568"/>
      <c r="TF95" s="950"/>
      <c r="TG95" s="20"/>
      <c r="TH95" s="610"/>
      <c r="TI95" s="633"/>
      <c r="TJ95" s="633"/>
      <c r="TK95" s="633"/>
      <c r="TL95" s="633"/>
      <c r="TM95" s="633"/>
      <c r="TN95" s="633"/>
      <c r="TO95" s="633"/>
      <c r="TP95" s="633"/>
      <c r="TQ95" s="633"/>
      <c r="TR95" s="633"/>
      <c r="TS95" s="633"/>
      <c r="UJ95" s="521"/>
      <c r="UK95" s="20"/>
      <c r="UL95" s="610"/>
      <c r="UM95" s="633"/>
      <c r="UN95" s="633"/>
      <c r="UO95" s="633"/>
      <c r="UP95" s="633"/>
      <c r="UQ95" s="633"/>
      <c r="UR95" s="633"/>
      <c r="US95" s="633"/>
      <c r="UT95" s="633"/>
      <c r="UU95" s="633"/>
      <c r="UV95" s="633"/>
      <c r="UW95" s="633"/>
    </row>
    <row r="96" spans="1:569" ht="15" x14ac:dyDescent="0.25">
      <c r="A96" s="30"/>
      <c r="B96" s="1158"/>
      <c r="C96" s="547"/>
      <c r="D96" s="1159"/>
      <c r="E96" s="1159"/>
      <c r="F96" s="1159"/>
      <c r="G96" s="619"/>
      <c r="H96" s="1159"/>
      <c r="I96" s="1159"/>
      <c r="J96" s="1159"/>
      <c r="K96" s="547"/>
      <c r="L96" s="1159"/>
      <c r="M96" s="547"/>
      <c r="N96" s="1159"/>
      <c r="O96" s="102"/>
      <c r="P96" s="102"/>
      <c r="Q96" s="102"/>
      <c r="R96" s="102"/>
      <c r="T96" s="679"/>
      <c r="U96" s="20"/>
      <c r="V96" s="620"/>
      <c r="W96" s="20"/>
      <c r="X96" s="42"/>
      <c r="Y96" s="42"/>
      <c r="Z96" s="20"/>
      <c r="AA96" s="20"/>
      <c r="AB96" s="20"/>
      <c r="AC96" s="20"/>
      <c r="AD96" s="20"/>
      <c r="AE96" s="20"/>
      <c r="AF96" s="20"/>
      <c r="AG96" s="102"/>
      <c r="AL96" s="20"/>
      <c r="AM96" s="20"/>
      <c r="AN96" s="20"/>
      <c r="AO96" s="78"/>
      <c r="AP96" s="78"/>
      <c r="AQ96" s="78"/>
      <c r="AR96" s="20"/>
      <c r="AS96" s="78"/>
      <c r="AT96" s="78"/>
      <c r="AU96" s="78"/>
      <c r="AV96" s="78"/>
      <c r="AW96" s="78"/>
      <c r="AX96" s="78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IQ96" s="102"/>
      <c r="IR96" s="102"/>
      <c r="IS96" s="102"/>
      <c r="IT96" s="102"/>
      <c r="IU96" s="102"/>
      <c r="IV96" s="102"/>
      <c r="IW96" s="102"/>
      <c r="IX96" s="102"/>
      <c r="JI96" s="102"/>
      <c r="JJ96" s="102"/>
      <c r="JK96" s="102"/>
      <c r="JL96" s="102"/>
      <c r="JM96" s="102"/>
      <c r="JN96" s="102"/>
      <c r="JO96" s="102"/>
      <c r="JP96" s="102"/>
      <c r="JQ96" s="102"/>
      <c r="JR96" s="102"/>
      <c r="JS96" s="102"/>
      <c r="JT96" s="102"/>
      <c r="JU96" s="102"/>
      <c r="OH96" s="102"/>
      <c r="OI96" s="102"/>
      <c r="OJ96" s="102"/>
      <c r="OK96" s="102"/>
      <c r="OL96" s="102"/>
      <c r="OM96" s="102"/>
      <c r="ON96" s="102"/>
      <c r="OO96" s="102"/>
      <c r="OP96" s="102"/>
      <c r="OQ96" s="102"/>
      <c r="OR96" s="102"/>
      <c r="OS96" s="102"/>
      <c r="OT96" s="102"/>
      <c r="OU96" s="102"/>
      <c r="OV96" s="102"/>
      <c r="OW96" s="102"/>
      <c r="OX96" s="1054"/>
      <c r="OY96" s="1054"/>
      <c r="OZ96" s="1201"/>
      <c r="PA96" s="561"/>
      <c r="PB96" s="561"/>
      <c r="PC96" s="561"/>
      <c r="PD96" s="561"/>
      <c r="PE96" s="1193"/>
      <c r="PF96" s="1193"/>
      <c r="PG96" s="1193"/>
      <c r="PH96" s="1193"/>
      <c r="PI96" s="1193"/>
      <c r="PJ96" s="1193"/>
      <c r="PK96" s="102"/>
      <c r="PL96" s="102"/>
      <c r="PM96" s="102"/>
      <c r="PN96" s="102"/>
      <c r="PO96" s="102"/>
      <c r="PP96" s="102"/>
      <c r="PQ96" s="102"/>
      <c r="PR96" s="102"/>
      <c r="SM96" s="521">
        <f>ROW()</f>
        <v>96</v>
      </c>
      <c r="SN96" s="102" t="s">
        <v>259</v>
      </c>
      <c r="SO96" s="608">
        <v>0.21</v>
      </c>
      <c r="SP96" s="669"/>
      <c r="SQ96" s="669"/>
      <c r="SR96" s="669"/>
      <c r="SS96" s="669">
        <f>SS94*-$SO$96</f>
        <v>-1347939.4096181998</v>
      </c>
      <c r="ST96" s="669">
        <f t="shared" ref="ST96:SY96" si="252">ST94*-$SO$96</f>
        <v>-1347939.4096181998</v>
      </c>
      <c r="SU96" s="669">
        <f t="shared" si="252"/>
        <v>-9518486.0074668005</v>
      </c>
      <c r="SV96" s="669">
        <f t="shared" si="252"/>
        <v>-10866425.417084999</v>
      </c>
      <c r="SW96" s="669">
        <f t="shared" si="252"/>
        <v>-10427643.4896753</v>
      </c>
      <c r="SX96" s="669">
        <f t="shared" si="252"/>
        <v>-21294068.906760298</v>
      </c>
      <c r="SY96" s="669">
        <f t="shared" si="252"/>
        <v>-14858083.581178948</v>
      </c>
      <c r="SZ96" s="669">
        <f>SZ94*-$SO$96</f>
        <v>-36152152.487939246</v>
      </c>
      <c r="TA96" s="669">
        <f>TA94*-$SO$96</f>
        <v>0</v>
      </c>
      <c r="TB96" s="669">
        <f>TB94*-$SO$96</f>
        <v>-36152152.487939246</v>
      </c>
      <c r="TC96" s="669">
        <f>TC94*-$SO$96</f>
        <v>0</v>
      </c>
      <c r="TD96" s="669">
        <f>TD94*-$SO$96</f>
        <v>-36152152.487939246</v>
      </c>
      <c r="TF96" s="950"/>
      <c r="TG96" s="20"/>
      <c r="TH96" s="610"/>
      <c r="TI96" s="633"/>
      <c r="TJ96" s="633"/>
      <c r="TK96" s="633"/>
      <c r="TL96" s="633"/>
      <c r="TM96" s="633"/>
      <c r="TN96" s="633"/>
      <c r="TO96" s="633"/>
      <c r="TP96" s="633"/>
      <c r="TQ96" s="633"/>
      <c r="TR96" s="633"/>
      <c r="TS96" s="633"/>
      <c r="UJ96" s="521"/>
      <c r="UK96" s="20"/>
      <c r="UL96" s="610"/>
      <c r="UM96" s="861"/>
      <c r="UN96" s="861"/>
      <c r="UO96" s="861"/>
      <c r="UP96" s="861"/>
      <c r="UQ96" s="861"/>
      <c r="UR96" s="861"/>
      <c r="US96" s="861"/>
      <c r="UT96" s="861"/>
      <c r="UU96" s="861"/>
      <c r="UV96" s="861"/>
      <c r="UW96" s="861"/>
    </row>
    <row r="97" spans="1:569" ht="15" x14ac:dyDescent="0.25">
      <c r="A97" s="30"/>
      <c r="B97" s="1153"/>
      <c r="C97" s="20"/>
      <c r="D97" s="1159"/>
      <c r="E97" s="1159"/>
      <c r="F97" s="1159"/>
      <c r="G97" s="1159"/>
      <c r="H97" s="1159"/>
      <c r="I97" s="1159"/>
      <c r="J97" s="1159"/>
      <c r="K97" s="1159"/>
      <c r="L97" s="1159"/>
      <c r="M97" s="1159"/>
      <c r="N97" s="1159"/>
      <c r="O97" s="102"/>
      <c r="P97" s="102"/>
      <c r="Q97" s="102"/>
      <c r="R97" s="102"/>
      <c r="T97" s="679"/>
      <c r="U97" s="20"/>
      <c r="V97" s="620"/>
      <c r="W97" s="620"/>
      <c r="X97" s="42"/>
      <c r="Y97" s="20"/>
      <c r="Z97" s="42"/>
      <c r="AA97" s="20"/>
      <c r="AB97" s="42"/>
      <c r="AC97" s="20"/>
      <c r="AD97" s="42"/>
      <c r="AE97" s="20"/>
      <c r="AF97" s="42"/>
      <c r="AG97" s="102"/>
      <c r="AL97" s="20"/>
      <c r="AM97" s="20"/>
      <c r="AN97" s="20"/>
      <c r="AO97" s="21"/>
      <c r="AP97" s="78"/>
      <c r="AQ97" s="21"/>
      <c r="AR97" s="20"/>
      <c r="AS97" s="21"/>
      <c r="AT97" s="21"/>
      <c r="AU97" s="21"/>
      <c r="AV97" s="21"/>
      <c r="AW97" s="21"/>
      <c r="AX97" s="21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IQ97" s="102"/>
      <c r="IR97" s="102"/>
      <c r="IS97" s="102"/>
      <c r="IT97" s="102"/>
      <c r="IU97" s="102"/>
      <c r="IV97" s="102"/>
      <c r="IW97" s="102"/>
      <c r="IX97" s="102"/>
      <c r="JI97" s="102"/>
      <c r="JJ97" s="102"/>
      <c r="JK97" s="102"/>
      <c r="JL97" s="102"/>
      <c r="JM97" s="102"/>
      <c r="JN97" s="102"/>
      <c r="JO97" s="102"/>
      <c r="JP97" s="102"/>
      <c r="JQ97" s="102"/>
      <c r="JR97" s="102"/>
      <c r="JS97" s="102"/>
      <c r="JT97" s="102"/>
      <c r="JU97" s="102"/>
      <c r="OH97" s="102"/>
      <c r="OI97" s="102"/>
      <c r="OJ97" s="102"/>
      <c r="OK97" s="102"/>
      <c r="OL97" s="102"/>
      <c r="OM97" s="102"/>
      <c r="ON97" s="102"/>
      <c r="OO97" s="102"/>
      <c r="OP97" s="102"/>
      <c r="OQ97" s="102"/>
      <c r="OR97" s="102"/>
      <c r="OS97" s="102"/>
      <c r="OT97" s="102"/>
      <c r="OU97" s="102"/>
      <c r="OV97" s="102"/>
      <c r="OW97" s="102"/>
      <c r="OX97" s="1054"/>
      <c r="OY97" s="1054"/>
      <c r="OZ97" s="1202"/>
      <c r="PA97" s="561"/>
      <c r="PB97" s="561"/>
      <c r="PC97" s="561"/>
      <c r="PD97" s="561"/>
      <c r="PE97" s="78"/>
      <c r="PF97" s="78"/>
      <c r="PG97" s="78"/>
      <c r="PH97" s="78"/>
      <c r="PI97" s="78"/>
      <c r="PJ97" s="78"/>
      <c r="PK97" s="102"/>
      <c r="PL97" s="102"/>
      <c r="PM97" s="102"/>
      <c r="PN97" s="102"/>
      <c r="PO97" s="102"/>
      <c r="PP97" s="102"/>
      <c r="PQ97" s="102"/>
      <c r="PR97" s="102"/>
      <c r="SM97" s="521">
        <f>ROW()</f>
        <v>97</v>
      </c>
      <c r="SO97" s="608"/>
      <c r="SP97" s="760"/>
      <c r="SQ97" s="760"/>
      <c r="SR97" s="760"/>
      <c r="SS97" s="760"/>
      <c r="ST97" s="760"/>
      <c r="SU97" s="760"/>
      <c r="SV97" s="760"/>
      <c r="SW97" s="760"/>
      <c r="SX97" s="760"/>
      <c r="SY97" s="760"/>
      <c r="SZ97" s="760"/>
      <c r="TA97" s="760"/>
      <c r="TB97" s="760"/>
      <c r="TC97" s="760"/>
      <c r="TD97" s="760"/>
      <c r="TF97" s="950"/>
      <c r="TG97" s="20"/>
      <c r="TH97" s="610"/>
      <c r="TI97" s="633"/>
      <c r="TJ97" s="633"/>
      <c r="TK97" s="633"/>
      <c r="TL97" s="633"/>
      <c r="TM97" s="633"/>
      <c r="TN97" s="633"/>
      <c r="TO97" s="633"/>
      <c r="TP97" s="633"/>
      <c r="TQ97" s="633"/>
      <c r="TR97" s="633"/>
      <c r="TS97" s="633"/>
      <c r="UJ97" s="521"/>
      <c r="UK97" s="20"/>
      <c r="UL97" s="610"/>
      <c r="UM97" s="633"/>
      <c r="UN97" s="633"/>
      <c r="UO97" s="633"/>
      <c r="UP97" s="633"/>
      <c r="UQ97" s="633"/>
      <c r="UR97" s="633"/>
      <c r="US97" s="633"/>
      <c r="UT97" s="633"/>
      <c r="UU97" s="633"/>
      <c r="UV97" s="633"/>
      <c r="UW97" s="633"/>
    </row>
    <row r="98" spans="1:569" ht="15.75" thickBot="1" x14ac:dyDescent="0.3">
      <c r="A98" s="30"/>
      <c r="B98" s="1158"/>
      <c r="C98" s="547"/>
      <c r="D98" s="1159"/>
      <c r="E98" s="1159"/>
      <c r="F98" s="1159"/>
      <c r="G98" s="619"/>
      <c r="H98" s="1159"/>
      <c r="I98" s="1160"/>
      <c r="J98" s="1159"/>
      <c r="K98" s="1160"/>
      <c r="L98" s="1159"/>
      <c r="M98" s="1160"/>
      <c r="N98" s="1159"/>
      <c r="O98" s="102"/>
      <c r="P98" s="102"/>
      <c r="Q98" s="102"/>
      <c r="R98" s="102"/>
      <c r="T98" s="1183"/>
      <c r="U98" s="690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102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IQ98" s="102"/>
      <c r="IR98" s="102"/>
      <c r="IS98" s="102"/>
      <c r="IT98" s="102"/>
      <c r="IU98" s="102"/>
      <c r="IV98" s="102"/>
      <c r="IW98" s="102"/>
      <c r="IX98" s="102"/>
      <c r="JI98" s="102"/>
      <c r="JJ98" s="102"/>
      <c r="JK98" s="102"/>
      <c r="JL98" s="102"/>
      <c r="JM98" s="102"/>
      <c r="JN98" s="102"/>
      <c r="JO98" s="102"/>
      <c r="JP98" s="102"/>
      <c r="JQ98" s="102"/>
      <c r="JR98" s="102"/>
      <c r="JS98" s="102"/>
      <c r="JT98" s="102"/>
      <c r="JU98" s="102"/>
      <c r="OH98" s="102"/>
      <c r="OI98" s="102"/>
      <c r="OJ98" s="102"/>
      <c r="OK98" s="102"/>
      <c r="OL98" s="102"/>
      <c r="OM98" s="102"/>
      <c r="ON98" s="102"/>
      <c r="OO98" s="102"/>
      <c r="OP98" s="102"/>
      <c r="OQ98" s="102"/>
      <c r="OR98" s="102"/>
      <c r="OS98" s="102"/>
      <c r="OT98" s="102"/>
      <c r="OU98" s="102"/>
      <c r="OV98" s="102"/>
      <c r="OW98" s="102"/>
      <c r="OX98" s="1203"/>
      <c r="OY98" s="1203"/>
      <c r="OZ98" s="624"/>
      <c r="PA98" s="624"/>
      <c r="PB98" s="624"/>
      <c r="PC98" s="624"/>
      <c r="PD98" s="600"/>
      <c r="PE98" s="624"/>
      <c r="PF98" s="646"/>
      <c r="PG98" s="624"/>
      <c r="PH98" s="647"/>
      <c r="PI98" s="624"/>
      <c r="PJ98" s="647"/>
      <c r="PK98" s="102"/>
      <c r="PL98" s="102"/>
      <c r="PM98" s="102"/>
      <c r="PN98" s="102"/>
      <c r="PO98" s="102"/>
      <c r="PP98" s="102"/>
      <c r="PQ98" s="102"/>
      <c r="PR98" s="102"/>
      <c r="SM98" s="521">
        <f>ROW()</f>
        <v>98</v>
      </c>
      <c r="SN98" s="102" t="s">
        <v>240</v>
      </c>
      <c r="SO98" s="608"/>
      <c r="SP98" s="773"/>
      <c r="SQ98" s="773"/>
      <c r="SR98" s="773"/>
      <c r="SS98" s="773">
        <f>-SS94-SS96</f>
        <v>-5070819.6838018</v>
      </c>
      <c r="ST98" s="773">
        <f t="shared" ref="ST98:SY98" si="253">-ST94-ST96</f>
        <v>-5070819.6838018</v>
      </c>
      <c r="SU98" s="773">
        <f t="shared" si="253"/>
        <v>-35807637.837613203</v>
      </c>
      <c r="SV98" s="773">
        <f t="shared" si="253"/>
        <v>-40878457.521415003</v>
      </c>
      <c r="SW98" s="773">
        <f t="shared" si="253"/>
        <v>-39227801.699254707</v>
      </c>
      <c r="SX98" s="773">
        <f t="shared" si="253"/>
        <v>-80106259.220669687</v>
      </c>
      <c r="SY98" s="773">
        <f t="shared" si="253"/>
        <v>-55894695.376816049</v>
      </c>
      <c r="SZ98" s="773">
        <f>-SZ94-SZ96</f>
        <v>-136000954.59748575</v>
      </c>
      <c r="TA98" s="773">
        <f>-TA94-TA96</f>
        <v>0</v>
      </c>
      <c r="TB98" s="773">
        <f>-TB94-TB96</f>
        <v>-136000954.59748575</v>
      </c>
      <c r="TC98" s="773">
        <f>-TC94-TC96</f>
        <v>0</v>
      </c>
      <c r="TD98" s="773">
        <f>-TD94-TD96</f>
        <v>-136000954.59748575</v>
      </c>
      <c r="TF98" s="950"/>
      <c r="TG98" s="20"/>
      <c r="TH98" s="610"/>
      <c r="TI98" s="861"/>
      <c r="TJ98" s="861"/>
      <c r="TK98" s="861"/>
      <c r="TL98" s="861"/>
      <c r="TM98" s="861"/>
      <c r="TN98" s="861"/>
      <c r="TO98" s="861"/>
      <c r="TP98" s="861"/>
      <c r="TQ98" s="861"/>
      <c r="TR98" s="861"/>
      <c r="TS98" s="861"/>
      <c r="UJ98" s="521"/>
      <c r="UK98" s="20"/>
      <c r="UL98" s="610"/>
      <c r="UM98" s="72"/>
      <c r="UN98" s="72"/>
      <c r="UO98" s="72"/>
      <c r="UP98" s="72"/>
      <c r="UQ98" s="72"/>
      <c r="UR98" s="72"/>
      <c r="US98" s="72"/>
      <c r="UT98" s="72"/>
      <c r="UU98" s="72"/>
      <c r="UV98" s="72"/>
      <c r="UW98" s="72"/>
    </row>
    <row r="99" spans="1:569" ht="15.75" thickTop="1" x14ac:dyDescent="0.25">
      <c r="A99" s="30"/>
      <c r="B99" s="1158"/>
      <c r="C99" s="547"/>
      <c r="D99" s="1159"/>
      <c r="E99" s="1159"/>
      <c r="F99" s="1159"/>
      <c r="G99" s="640"/>
      <c r="H99" s="1159"/>
      <c r="I99" s="1159"/>
      <c r="J99" s="1159"/>
      <c r="K99" s="1159"/>
      <c r="L99" s="1159"/>
      <c r="M99" s="1159"/>
      <c r="N99" s="1159"/>
      <c r="O99" s="102"/>
      <c r="P99" s="102"/>
      <c r="Q99" s="102"/>
      <c r="R99" s="102"/>
      <c r="T99" s="41"/>
      <c r="U99" s="41"/>
      <c r="V99" s="561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102"/>
      <c r="AL99" s="20"/>
      <c r="AM99" s="20"/>
      <c r="AN99" s="1179"/>
      <c r="AO99" s="21"/>
      <c r="AP99" s="20"/>
      <c r="AQ99" s="20"/>
      <c r="AR99" s="20"/>
      <c r="AS99" s="20"/>
      <c r="AT99" s="20"/>
      <c r="AU99" s="20"/>
      <c r="AV99" s="20"/>
      <c r="AW99" s="20"/>
      <c r="AX99" s="20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IQ99" s="102"/>
      <c r="IR99" s="102"/>
      <c r="IS99" s="102"/>
      <c r="IT99" s="102"/>
      <c r="IU99" s="102"/>
      <c r="IV99" s="102"/>
      <c r="IW99" s="102"/>
      <c r="IX99" s="102"/>
      <c r="JI99" s="102"/>
      <c r="JJ99" s="102"/>
      <c r="JK99" s="102"/>
      <c r="JL99" s="102"/>
      <c r="JM99" s="102"/>
      <c r="JN99" s="102"/>
      <c r="JO99" s="102"/>
      <c r="JP99" s="102"/>
      <c r="JQ99" s="102"/>
      <c r="JR99" s="102"/>
      <c r="JS99" s="102"/>
      <c r="JT99" s="102"/>
      <c r="JU99" s="102"/>
      <c r="OH99" s="102"/>
      <c r="OI99" s="102"/>
      <c r="OJ99" s="102"/>
      <c r="OK99" s="102"/>
      <c r="OL99" s="102"/>
      <c r="OM99" s="102"/>
      <c r="ON99" s="102"/>
      <c r="OO99" s="102"/>
      <c r="OP99" s="102"/>
      <c r="OQ99" s="102"/>
      <c r="OR99" s="102"/>
      <c r="OS99" s="102"/>
      <c r="OT99" s="102"/>
      <c r="OU99" s="102"/>
      <c r="OV99" s="102"/>
      <c r="OW99" s="102"/>
      <c r="OX99" s="1203"/>
      <c r="OY99" s="1203"/>
      <c r="OZ99" s="63"/>
      <c r="PA99" s="63"/>
      <c r="PB99" s="63"/>
      <c r="PC99" s="63"/>
      <c r="PD99" s="600"/>
      <c r="PE99" s="63"/>
      <c r="PF99" s="646"/>
      <c r="PG99" s="63"/>
      <c r="PH99" s="667"/>
      <c r="PI99" s="63"/>
      <c r="PJ99" s="667"/>
      <c r="PK99" s="102"/>
      <c r="PL99" s="102"/>
      <c r="PM99" s="102"/>
      <c r="PN99" s="102"/>
      <c r="PO99" s="102"/>
      <c r="PP99" s="102"/>
      <c r="PQ99" s="102"/>
      <c r="PR99" s="102"/>
      <c r="SM99" s="521">
        <f>ROW()</f>
        <v>99</v>
      </c>
      <c r="SP99" s="520"/>
      <c r="SQ99" s="520"/>
      <c r="SR99" s="520"/>
      <c r="SS99" s="520"/>
      <c r="ST99" s="520"/>
      <c r="SU99" s="520"/>
      <c r="SV99" s="520"/>
      <c r="SW99" s="520"/>
      <c r="SX99" s="520"/>
      <c r="SY99" s="520"/>
      <c r="SZ99" s="520"/>
      <c r="TA99" s="520"/>
      <c r="TB99" s="520"/>
      <c r="TC99" s="520"/>
      <c r="TD99" s="520"/>
      <c r="TF99" s="950"/>
      <c r="TG99" s="20"/>
      <c r="TH99" s="610"/>
      <c r="TI99" s="633"/>
      <c r="TJ99" s="633"/>
      <c r="TK99" s="633"/>
      <c r="TL99" s="633"/>
      <c r="TM99" s="633"/>
      <c r="TN99" s="633"/>
      <c r="TO99" s="633"/>
      <c r="TP99" s="633"/>
      <c r="TQ99" s="633"/>
      <c r="TR99" s="633"/>
      <c r="TS99" s="633"/>
      <c r="UJ99" s="521"/>
      <c r="UK99" s="20"/>
      <c r="UL99" s="610"/>
      <c r="UM99" s="574"/>
      <c r="UN99" s="574"/>
      <c r="UO99" s="574"/>
      <c r="UP99" s="574"/>
      <c r="UQ99" s="574"/>
      <c r="UR99" s="574"/>
      <c r="US99" s="574"/>
      <c r="UT99" s="574"/>
      <c r="UU99" s="574"/>
      <c r="UV99" s="574"/>
      <c r="UW99" s="574"/>
    </row>
    <row r="100" spans="1:569" ht="15" x14ac:dyDescent="0.25">
      <c r="A100" s="30"/>
      <c r="B100" s="1158"/>
      <c r="C100" s="547"/>
      <c r="D100" s="1159"/>
      <c r="E100" s="1159"/>
      <c r="F100" s="1159"/>
      <c r="G100" s="640"/>
      <c r="H100" s="1159"/>
      <c r="I100" s="1159"/>
      <c r="J100" s="1159"/>
      <c r="K100" s="1159"/>
      <c r="L100" s="1159"/>
      <c r="M100" s="1159"/>
      <c r="N100" s="1159"/>
      <c r="O100" s="102"/>
      <c r="P100" s="102"/>
      <c r="Q100" s="102"/>
      <c r="R100" s="102"/>
      <c r="T100" s="689"/>
      <c r="U100" s="690"/>
      <c r="V100" s="1184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102"/>
      <c r="AL100" s="20"/>
      <c r="AM100" s="20"/>
      <c r="AN100" s="1179"/>
      <c r="AO100" s="21"/>
      <c r="AP100" s="20"/>
      <c r="AQ100" s="20"/>
      <c r="AR100" s="20"/>
      <c r="AS100" s="20"/>
      <c r="AT100" s="20"/>
      <c r="AU100" s="20"/>
      <c r="AV100" s="20"/>
      <c r="AW100" s="20"/>
      <c r="AX100" s="2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IQ100" s="102"/>
      <c r="IR100" s="102"/>
      <c r="IS100" s="102"/>
      <c r="IT100" s="102"/>
      <c r="IU100" s="102"/>
      <c r="IV100" s="102"/>
      <c r="IW100" s="102"/>
      <c r="IX100" s="102"/>
      <c r="JI100" s="102"/>
      <c r="JJ100" s="102"/>
      <c r="JK100" s="102"/>
      <c r="JL100" s="102"/>
      <c r="JM100" s="102"/>
      <c r="JN100" s="102"/>
      <c r="JO100" s="102"/>
      <c r="JP100" s="102"/>
      <c r="JQ100" s="102"/>
      <c r="JR100" s="102"/>
      <c r="JS100" s="102"/>
      <c r="JT100" s="102"/>
      <c r="JU100" s="102"/>
      <c r="OS100" s="102"/>
      <c r="OT100" s="102"/>
      <c r="OU100" s="102"/>
      <c r="OV100" s="102"/>
      <c r="OW100" s="102"/>
      <c r="OX100" s="1203"/>
      <c r="OY100" s="1203"/>
      <c r="OZ100" s="63"/>
      <c r="PA100" s="63"/>
      <c r="PB100" s="63"/>
      <c r="PC100" s="600"/>
      <c r="PD100" s="600"/>
      <c r="PE100" s="600"/>
      <c r="PF100" s="646"/>
      <c r="PG100" s="600"/>
      <c r="PH100" s="42"/>
      <c r="PI100" s="600"/>
      <c r="PJ100" s="42"/>
      <c r="PK100" s="102"/>
      <c r="PL100" s="102"/>
      <c r="PM100" s="102"/>
      <c r="PN100" s="102"/>
      <c r="PO100" s="102"/>
      <c r="PP100" s="102"/>
      <c r="PQ100" s="102"/>
      <c r="PR100" s="102"/>
      <c r="SM100" s="521">
        <f>ROW()</f>
        <v>100</v>
      </c>
      <c r="SN100" s="102" t="s">
        <v>361</v>
      </c>
      <c r="SP100" s="570"/>
      <c r="SQ100" s="570"/>
      <c r="SR100" s="570"/>
      <c r="SS100" s="570">
        <f>ST100</f>
        <v>627132310.68917489</v>
      </c>
      <c r="ST100" s="570">
        <f>ST82+ST64+ST46+ST28</f>
        <v>627132310.68917489</v>
      </c>
      <c r="SU100" s="570">
        <f>SV100-ST100</f>
        <v>909691079.41522002</v>
      </c>
      <c r="SV100" s="570">
        <f>SV82+SV64+SV46+SV28</f>
        <v>1536823390.1043949</v>
      </c>
      <c r="SW100" s="570">
        <f>SX100-SV100</f>
        <v>312755917.68774509</v>
      </c>
      <c r="SX100" s="570">
        <f>SX82+SX64+SX46+SX28</f>
        <v>1849579307.79214</v>
      </c>
      <c r="SY100" s="570">
        <f>SZ100-SX100</f>
        <v>1359779513.1294003</v>
      </c>
      <c r="SZ100" s="570">
        <f>SZ82+SZ64+SZ46+SZ28</f>
        <v>3209358820.9215403</v>
      </c>
      <c r="TA100" s="570"/>
      <c r="TB100" s="570">
        <f>TB82+TB64+TB46+TB28</f>
        <v>0</v>
      </c>
      <c r="TC100" s="570">
        <f>TD100-TB100</f>
        <v>0</v>
      </c>
      <c r="TD100" s="570">
        <f>TD82+TD64+TD46+TD28</f>
        <v>0</v>
      </c>
      <c r="TF100" s="950"/>
      <c r="TG100" s="20"/>
      <c r="TH100" s="610"/>
      <c r="TI100" s="72"/>
      <c r="TJ100" s="72"/>
      <c r="TK100" s="72"/>
      <c r="TL100" s="72"/>
      <c r="TM100" s="72"/>
      <c r="TN100" s="72"/>
      <c r="TO100" s="72"/>
      <c r="TP100" s="72"/>
      <c r="TQ100" s="72"/>
      <c r="TR100" s="72"/>
      <c r="TS100" s="72"/>
      <c r="UJ100" s="521"/>
      <c r="UK100" s="20"/>
      <c r="UL100" s="20"/>
      <c r="UM100" s="72"/>
      <c r="UN100" s="72"/>
      <c r="UO100" s="72"/>
      <c r="UP100" s="72"/>
      <c r="UQ100" s="72"/>
      <c r="UR100" s="72"/>
      <c r="US100" s="72"/>
      <c r="UT100" s="72"/>
      <c r="UU100" s="72"/>
      <c r="UV100" s="72"/>
      <c r="UW100" s="72"/>
    </row>
    <row r="101" spans="1:569" ht="15" x14ac:dyDescent="0.25">
      <c r="A101" s="30"/>
      <c r="B101" s="1158"/>
      <c r="C101" s="547"/>
      <c r="D101" s="1159"/>
      <c r="E101" s="1159"/>
      <c r="F101" s="1159"/>
      <c r="G101" s="640"/>
      <c r="H101" s="1159"/>
      <c r="I101" s="1159"/>
      <c r="J101" s="1159"/>
      <c r="K101" s="1159"/>
      <c r="L101" s="1159"/>
      <c r="M101" s="1159"/>
      <c r="N101" s="1159"/>
      <c r="O101" s="102"/>
      <c r="P101" s="102"/>
      <c r="Q101" s="102"/>
      <c r="R101" s="102"/>
      <c r="T101" s="679"/>
      <c r="U101" s="711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102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IQ101" s="102"/>
      <c r="IR101" s="102"/>
      <c r="IS101" s="102"/>
      <c r="IT101" s="102"/>
      <c r="IU101" s="102"/>
      <c r="IV101" s="102"/>
      <c r="IW101" s="102"/>
      <c r="IX101" s="102"/>
      <c r="JI101" s="102"/>
      <c r="JJ101" s="102"/>
      <c r="JK101" s="102"/>
      <c r="JL101" s="102"/>
      <c r="JM101" s="102"/>
      <c r="JN101" s="102"/>
      <c r="JO101" s="102"/>
      <c r="JP101" s="102"/>
      <c r="JQ101" s="102"/>
      <c r="JR101" s="102"/>
      <c r="JS101" s="102"/>
      <c r="JT101" s="102"/>
      <c r="JU101" s="102"/>
      <c r="OS101" s="102"/>
      <c r="OT101" s="102"/>
      <c r="OU101" s="102"/>
      <c r="OV101" s="102"/>
      <c r="OW101" s="102"/>
      <c r="OX101" s="4"/>
      <c r="OY101" s="1203"/>
      <c r="OZ101" s="1162"/>
      <c r="PA101" s="1162"/>
      <c r="PB101" s="1204"/>
      <c r="PC101" s="1204"/>
      <c r="PD101" s="1204"/>
      <c r="PE101" s="1204"/>
      <c r="PF101" s="1204"/>
      <c r="PG101" s="1204"/>
      <c r="PH101" s="1162"/>
      <c r="PI101" s="1204"/>
      <c r="PJ101" s="1162"/>
      <c r="PK101" s="102"/>
      <c r="PL101" s="102"/>
      <c r="PM101" s="102"/>
      <c r="PN101" s="102"/>
      <c r="PO101" s="102"/>
      <c r="PP101" s="102"/>
      <c r="PQ101" s="102"/>
      <c r="PR101" s="102"/>
      <c r="SM101" s="521">
        <f>ROW()</f>
        <v>101</v>
      </c>
      <c r="SN101" s="102" t="s">
        <v>369</v>
      </c>
      <c r="SP101" s="606"/>
      <c r="SQ101" s="606"/>
      <c r="SR101" s="606"/>
      <c r="SS101" s="606">
        <f t="shared" ref="SS101:SZ101" si="254">SS83+SS65+SS47+SS29</f>
        <v>-6418759.0934200007</v>
      </c>
      <c r="ST101" s="606">
        <f t="shared" si="254"/>
        <v>-6418759.0934200007</v>
      </c>
      <c r="SU101" s="606">
        <f t="shared" si="254"/>
        <v>-51744882.938500002</v>
      </c>
      <c r="SV101" s="606">
        <f t="shared" si="254"/>
        <v>-58163642.031920001</v>
      </c>
      <c r="SW101" s="606">
        <f t="shared" si="254"/>
        <v>-47691745.454409987</v>
      </c>
      <c r="SX101" s="606">
        <f t="shared" si="254"/>
        <v>-105855387.48632999</v>
      </c>
      <c r="SY101" s="606">
        <f t="shared" si="254"/>
        <v>-136909418.22371995</v>
      </c>
      <c r="SZ101" s="606">
        <f t="shared" si="254"/>
        <v>-242764805.71004996</v>
      </c>
      <c r="TA101" s="606"/>
      <c r="TB101" s="606">
        <f>TB83+TB65+TB47+TB29</f>
        <v>0</v>
      </c>
      <c r="TC101" s="606">
        <f>TC83+TC65+TC47+TC29</f>
        <v>0</v>
      </c>
      <c r="TD101" s="606">
        <f>TD83+TD65+TD47+TD29</f>
        <v>0</v>
      </c>
      <c r="TF101" s="950"/>
      <c r="TG101" s="20"/>
      <c r="TH101" s="610"/>
      <c r="TI101" s="574"/>
      <c r="TJ101" s="574"/>
      <c r="TK101" s="574"/>
      <c r="TL101" s="574"/>
      <c r="TM101" s="574"/>
      <c r="TN101" s="574"/>
      <c r="TO101" s="574"/>
      <c r="TP101" s="574"/>
      <c r="TQ101" s="574"/>
      <c r="TR101" s="574"/>
      <c r="TS101" s="574"/>
      <c r="UJ101" s="521"/>
      <c r="UK101" s="20"/>
      <c r="UL101" s="20"/>
      <c r="UM101" s="574"/>
      <c r="UN101" s="574"/>
      <c r="UO101" s="574"/>
      <c r="UP101" s="574"/>
      <c r="UQ101" s="574"/>
      <c r="UR101" s="574"/>
      <c r="US101" s="574"/>
      <c r="UT101" s="574"/>
      <c r="UU101" s="574"/>
      <c r="UV101" s="574"/>
      <c r="UW101" s="574"/>
    </row>
    <row r="102" spans="1:569" ht="15" x14ac:dyDescent="0.25">
      <c r="A102" s="30"/>
      <c r="B102" s="1158"/>
      <c r="C102" s="547"/>
      <c r="D102" s="1159"/>
      <c r="E102" s="1159"/>
      <c r="F102" s="1159"/>
      <c r="G102" s="640"/>
      <c r="H102" s="1159"/>
      <c r="I102" s="1159"/>
      <c r="J102" s="1159"/>
      <c r="K102" s="1159"/>
      <c r="L102" s="1159"/>
      <c r="M102" s="1159"/>
      <c r="N102" s="1159"/>
      <c r="O102" s="102"/>
      <c r="P102" s="102"/>
      <c r="Q102" s="102"/>
      <c r="R102" s="102"/>
      <c r="T102" s="679"/>
      <c r="U102" s="711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102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IQ102" s="102"/>
      <c r="IR102" s="102"/>
      <c r="IS102" s="102"/>
      <c r="IT102" s="102"/>
      <c r="IU102" s="102"/>
      <c r="IV102" s="102"/>
      <c r="IW102" s="102"/>
      <c r="IX102" s="102"/>
      <c r="JI102" s="102"/>
      <c r="JJ102" s="102"/>
      <c r="JK102" s="102"/>
      <c r="JL102" s="102"/>
      <c r="JM102" s="102"/>
      <c r="JN102" s="102"/>
      <c r="JO102" s="102"/>
      <c r="JP102" s="102"/>
      <c r="JQ102" s="102"/>
      <c r="JR102" s="102"/>
      <c r="JS102" s="102"/>
      <c r="JT102" s="102"/>
      <c r="JU102" s="102"/>
      <c r="OS102" s="102"/>
      <c r="OT102" s="102"/>
      <c r="OU102" s="102"/>
      <c r="OV102" s="102"/>
      <c r="OW102" s="102"/>
      <c r="OX102" s="1054"/>
      <c r="OY102" s="1203"/>
      <c r="OZ102" s="63"/>
      <c r="PA102" s="63"/>
      <c r="PB102" s="63"/>
      <c r="PC102" s="600"/>
      <c r="PD102" s="600"/>
      <c r="PE102" s="600"/>
      <c r="PF102" s="646"/>
      <c r="PG102" s="600"/>
      <c r="PH102" s="42"/>
      <c r="PI102" s="600"/>
      <c r="PJ102" s="42"/>
      <c r="PK102" s="102"/>
      <c r="PL102" s="102"/>
      <c r="PM102" s="102"/>
      <c r="PN102" s="102"/>
      <c r="PO102" s="102"/>
      <c r="PP102" s="102"/>
      <c r="PQ102" s="102"/>
      <c r="PR102" s="102"/>
      <c r="SM102" s="521">
        <f>ROW()</f>
        <v>102</v>
      </c>
      <c r="SN102" s="102" t="s">
        <v>375</v>
      </c>
      <c r="SP102" s="669"/>
      <c r="SQ102" s="669"/>
      <c r="SR102" s="669"/>
      <c r="SS102" s="669">
        <f>ST102</f>
        <v>948192.91678500082</v>
      </c>
      <c r="ST102" s="669">
        <f>ST84+ST66+ST48+ST30</f>
        <v>948192.91678500082</v>
      </c>
      <c r="SU102" s="669">
        <f>SV102-ST102</f>
        <v>-5469102.9373599989</v>
      </c>
      <c r="SV102" s="669">
        <f>SV84+SV66+SV48+SV30</f>
        <v>-4520910.0205749981</v>
      </c>
      <c r="SW102" s="669">
        <f>SX102-SV102</f>
        <v>-10876831.230944995</v>
      </c>
      <c r="SX102" s="669">
        <f>SX84+SX66+SX48+SX30</f>
        <v>-15397741.251519993</v>
      </c>
      <c r="SY102" s="669">
        <f>SZ102-SX102</f>
        <v>-28321900.775970012</v>
      </c>
      <c r="SZ102" s="669">
        <f>SZ84+SZ66+SZ48+SZ30</f>
        <v>-43719642.027490005</v>
      </c>
      <c r="TA102" s="669"/>
      <c r="TB102" s="669">
        <f>TB84+TB66+TB48+TB30</f>
        <v>0</v>
      </c>
      <c r="TC102" s="669">
        <f>TD102-TB102</f>
        <v>0</v>
      </c>
      <c r="TD102" s="669">
        <f>TD84+TD66+TD48+TD30</f>
        <v>0</v>
      </c>
      <c r="TF102" s="950"/>
      <c r="TG102" s="20"/>
      <c r="TH102" s="20"/>
      <c r="TI102" s="72"/>
      <c r="TJ102" s="72"/>
      <c r="TK102" s="72"/>
      <c r="TL102" s="72"/>
      <c r="TM102" s="72"/>
      <c r="TN102" s="72"/>
      <c r="TO102" s="72"/>
      <c r="TP102" s="72"/>
      <c r="TQ102" s="72"/>
      <c r="TR102" s="72"/>
      <c r="TS102" s="72"/>
      <c r="UJ102" s="521"/>
      <c r="UK102" s="20"/>
      <c r="UL102" s="20"/>
      <c r="UM102" s="633"/>
      <c r="UN102" s="633"/>
      <c r="UO102" s="633"/>
      <c r="UP102" s="633"/>
      <c r="UQ102" s="633"/>
      <c r="UR102" s="633"/>
      <c r="US102" s="633"/>
      <c r="UT102" s="633"/>
      <c r="UU102" s="633"/>
      <c r="UV102" s="633"/>
      <c r="UW102" s="633"/>
    </row>
    <row r="103" spans="1:569" ht="15.75" thickBot="1" x14ac:dyDescent="0.3">
      <c r="A103" s="30"/>
      <c r="B103" s="1158"/>
      <c r="C103" s="547"/>
      <c r="D103" s="1159"/>
      <c r="E103" s="1159"/>
      <c r="F103" s="1159"/>
      <c r="G103" s="640"/>
      <c r="H103" s="1159"/>
      <c r="I103" s="1159"/>
      <c r="J103" s="1159"/>
      <c r="K103" s="1159"/>
      <c r="L103" s="1159"/>
      <c r="M103" s="1159"/>
      <c r="N103" s="1159"/>
      <c r="O103" s="102"/>
      <c r="P103" s="102"/>
      <c r="Q103" s="102"/>
      <c r="R103" s="102"/>
      <c r="T103" s="679"/>
      <c r="U103" s="711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102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IQ103" s="102"/>
      <c r="IR103" s="102"/>
      <c r="IS103" s="102"/>
      <c r="IT103" s="102"/>
      <c r="IU103" s="102"/>
      <c r="IV103" s="102"/>
      <c r="IW103" s="102"/>
      <c r="IX103" s="102"/>
      <c r="JI103" s="102"/>
      <c r="JJ103" s="102"/>
      <c r="JK103" s="102"/>
      <c r="JL103" s="102"/>
      <c r="JM103" s="102"/>
      <c r="JN103" s="102"/>
      <c r="JO103" s="102"/>
      <c r="JP103" s="102"/>
      <c r="JQ103" s="102"/>
      <c r="JR103" s="102"/>
      <c r="JS103" s="102"/>
      <c r="JT103" s="102"/>
      <c r="JU103" s="102"/>
      <c r="OS103" s="102"/>
      <c r="OT103" s="102"/>
      <c r="OU103" s="102"/>
      <c r="OV103" s="102"/>
      <c r="OW103" s="102"/>
      <c r="OX103" s="1054"/>
      <c r="OY103" s="1203"/>
      <c r="OZ103" s="20"/>
      <c r="PA103" s="20"/>
      <c r="PB103" s="20"/>
      <c r="PC103" s="600"/>
      <c r="PD103" s="600"/>
      <c r="PE103" s="600"/>
      <c r="PF103" s="600"/>
      <c r="PG103" s="600"/>
      <c r="PH103" s="667"/>
      <c r="PI103" s="600"/>
      <c r="PJ103" s="667"/>
      <c r="PK103" s="102"/>
      <c r="PL103" s="102"/>
      <c r="PM103" s="102"/>
      <c r="PN103" s="102"/>
      <c r="PO103" s="102"/>
      <c r="PP103" s="102"/>
      <c r="PQ103" s="102"/>
      <c r="PR103" s="102"/>
      <c r="SM103" s="521">
        <f>ROW()</f>
        <v>103</v>
      </c>
      <c r="SN103" s="102" t="s">
        <v>382</v>
      </c>
      <c r="SP103" s="819"/>
      <c r="SQ103" s="819"/>
      <c r="SR103" s="819"/>
      <c r="SS103" s="819">
        <f>SUM(SS100:SS102)</f>
        <v>621661744.51253986</v>
      </c>
      <c r="ST103" s="819">
        <f t="shared" ref="ST103:SZ103" si="255">SUM(ST100:ST102)</f>
        <v>621661744.51253986</v>
      </c>
      <c r="SU103" s="819">
        <f t="shared" si="255"/>
        <v>852477093.53935993</v>
      </c>
      <c r="SV103" s="819">
        <f t="shared" si="255"/>
        <v>1474138838.0518999</v>
      </c>
      <c r="SW103" s="819">
        <f t="shared" si="255"/>
        <v>254187341.00239012</v>
      </c>
      <c r="SX103" s="819">
        <f t="shared" si="255"/>
        <v>1728326179.0542901</v>
      </c>
      <c r="SY103" s="819">
        <f t="shared" si="255"/>
        <v>1194548194.1297102</v>
      </c>
      <c r="SZ103" s="819">
        <f t="shared" si="255"/>
        <v>2922874373.184</v>
      </c>
      <c r="TA103" s="819">
        <f>SUM(TA100:TA102)</f>
        <v>0</v>
      </c>
      <c r="TB103" s="819">
        <f>SUM(TB100:TB102)</f>
        <v>0</v>
      </c>
      <c r="TC103" s="819">
        <f>SUM(TC100:TC102)</f>
        <v>0</v>
      </c>
      <c r="TD103" s="819">
        <f>SUM(TD100:TD102)</f>
        <v>0</v>
      </c>
      <c r="TF103" s="950"/>
      <c r="TG103" s="20"/>
      <c r="TH103" s="20"/>
      <c r="TI103" s="574"/>
      <c r="TJ103" s="574"/>
      <c r="TK103" s="574"/>
      <c r="TL103" s="574"/>
      <c r="TM103" s="574"/>
      <c r="TN103" s="574"/>
      <c r="TO103" s="574"/>
      <c r="TP103" s="574"/>
      <c r="TQ103" s="574"/>
      <c r="TR103" s="574"/>
      <c r="TS103" s="574"/>
      <c r="UJ103" s="521"/>
      <c r="UK103" s="20"/>
      <c r="UL103" s="20"/>
      <c r="UM103" s="633"/>
      <c r="UN103" s="633"/>
      <c r="UO103" s="633"/>
      <c r="UP103" s="633"/>
      <c r="UQ103" s="633"/>
      <c r="UR103" s="633"/>
      <c r="US103" s="633"/>
      <c r="UT103" s="633"/>
      <c r="UU103" s="633"/>
      <c r="UV103" s="633"/>
      <c r="UW103" s="633"/>
    </row>
    <row r="104" spans="1:569" ht="15.75" thickTop="1" x14ac:dyDescent="0.25">
      <c r="A104" s="30"/>
      <c r="B104" s="1158"/>
      <c r="C104" s="547"/>
      <c r="D104" s="1159"/>
      <c r="E104" s="1159"/>
      <c r="F104" s="1159"/>
      <c r="G104" s="640"/>
      <c r="H104" s="1159"/>
      <c r="I104" s="1159"/>
      <c r="J104" s="1159"/>
      <c r="K104" s="1159"/>
      <c r="L104" s="1159"/>
      <c r="M104" s="1159"/>
      <c r="N104" s="1159"/>
      <c r="O104" s="102"/>
      <c r="P104" s="102"/>
      <c r="Q104" s="102"/>
      <c r="R104" s="102"/>
      <c r="T104" s="690"/>
      <c r="U104" s="749"/>
      <c r="V104" s="581"/>
      <c r="W104" s="581"/>
      <c r="X104" s="581"/>
      <c r="Y104" s="581"/>
      <c r="Z104" s="581"/>
      <c r="AA104" s="581"/>
      <c r="AB104" s="581"/>
      <c r="AC104" s="581"/>
      <c r="AD104" s="581"/>
      <c r="AE104" s="581"/>
      <c r="AF104" s="581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IQ104" s="102"/>
      <c r="IR104" s="102"/>
      <c r="IS104" s="102"/>
      <c r="IT104" s="102"/>
      <c r="IU104" s="102"/>
      <c r="IV104" s="102"/>
      <c r="IW104" s="102"/>
      <c r="IX104" s="102"/>
      <c r="JI104" s="102"/>
      <c r="JJ104" s="102"/>
      <c r="JK104" s="102"/>
      <c r="JL104" s="102"/>
      <c r="JM104" s="102"/>
      <c r="JN104" s="102"/>
      <c r="JO104" s="102"/>
      <c r="JP104" s="102"/>
      <c r="JQ104" s="102"/>
      <c r="JR104" s="102"/>
      <c r="JS104" s="102"/>
      <c r="JT104" s="102"/>
      <c r="JU104" s="102"/>
      <c r="OS104" s="102"/>
      <c r="OT104" s="102"/>
      <c r="OU104" s="102"/>
      <c r="OV104" s="102"/>
      <c r="OW104" s="102"/>
      <c r="OX104" s="1203"/>
      <c r="OY104" s="1203"/>
      <c r="OZ104" s="63"/>
      <c r="PA104" s="624"/>
      <c r="PB104" s="63"/>
      <c r="PC104" s="63"/>
      <c r="PD104" s="600"/>
      <c r="PE104" s="63"/>
      <c r="PF104" s="600"/>
      <c r="PG104" s="63"/>
      <c r="PH104" s="647"/>
      <c r="PI104" s="63"/>
      <c r="PJ104" s="647"/>
      <c r="PK104" s="102"/>
      <c r="PL104" s="102"/>
      <c r="PM104" s="102"/>
      <c r="PN104" s="102"/>
      <c r="PO104" s="102"/>
      <c r="PP104" s="102"/>
      <c r="PQ104" s="102"/>
      <c r="PR104" s="102"/>
      <c r="SM104" s="521">
        <f>ROW()</f>
        <v>104</v>
      </c>
      <c r="TF104" s="950"/>
      <c r="TG104" s="20"/>
      <c r="TH104" s="20"/>
      <c r="TI104" s="633"/>
      <c r="TJ104" s="633"/>
      <c r="TK104" s="633"/>
      <c r="TL104" s="633"/>
      <c r="TM104" s="633"/>
      <c r="TN104" s="633"/>
      <c r="TO104" s="633"/>
      <c r="TP104" s="633"/>
      <c r="TQ104" s="633"/>
      <c r="TR104" s="633"/>
      <c r="TS104" s="633"/>
      <c r="UJ104" s="521"/>
      <c r="UK104" s="20"/>
      <c r="UL104" s="20"/>
      <c r="UM104" s="574"/>
      <c r="UN104" s="574"/>
      <c r="UO104" s="574"/>
      <c r="UP104" s="574"/>
      <c r="UQ104" s="574"/>
      <c r="UR104" s="574"/>
      <c r="US104" s="574"/>
      <c r="UT104" s="574"/>
      <c r="UU104" s="574"/>
      <c r="UV104" s="574"/>
      <c r="UW104" s="574"/>
    </row>
    <row r="105" spans="1:569" ht="15" x14ac:dyDescent="0.25">
      <c r="A105" s="30"/>
      <c r="B105" s="1158"/>
      <c r="C105" s="547"/>
      <c r="D105" s="1159"/>
      <c r="E105" s="1159"/>
      <c r="F105" s="1159"/>
      <c r="G105" s="640"/>
      <c r="H105" s="1159"/>
      <c r="I105" s="1159"/>
      <c r="J105" s="1159"/>
      <c r="K105" s="1159"/>
      <c r="L105" s="1159"/>
      <c r="M105" s="1159"/>
      <c r="N105" s="1159"/>
      <c r="O105" s="102"/>
      <c r="P105" s="102"/>
      <c r="Q105" s="102"/>
      <c r="R105" s="102"/>
      <c r="T105" s="690"/>
      <c r="U105" s="581"/>
      <c r="V105" s="1184"/>
      <c r="W105" s="646"/>
      <c r="X105" s="20"/>
      <c r="Y105" s="20"/>
      <c r="Z105" s="20"/>
      <c r="AA105" s="20"/>
      <c r="AB105" s="20"/>
      <c r="AC105" s="20"/>
      <c r="AD105" s="20"/>
      <c r="AE105" s="20"/>
      <c r="AF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IQ105" s="102"/>
      <c r="IR105" s="102"/>
      <c r="IS105" s="102"/>
      <c r="IT105" s="102"/>
      <c r="IU105" s="102"/>
      <c r="IV105" s="102"/>
      <c r="IW105" s="102"/>
      <c r="IX105" s="102"/>
      <c r="JI105" s="102"/>
      <c r="JJ105" s="102"/>
      <c r="JK105" s="102"/>
      <c r="JL105" s="102"/>
      <c r="JM105" s="102"/>
      <c r="JN105" s="102"/>
      <c r="JO105" s="102"/>
      <c r="JP105" s="102"/>
      <c r="JQ105" s="102"/>
      <c r="JR105" s="102"/>
      <c r="JS105" s="102"/>
      <c r="JT105" s="102"/>
      <c r="JU105" s="102"/>
      <c r="OW105" s="102"/>
      <c r="OX105" s="1203"/>
      <c r="OY105" s="1203"/>
      <c r="OZ105" s="63"/>
      <c r="PA105" s="63"/>
      <c r="PB105" s="63"/>
      <c r="PC105" s="63"/>
      <c r="PD105" s="600"/>
      <c r="PE105" s="63"/>
      <c r="PF105" s="600"/>
      <c r="PG105" s="63"/>
      <c r="PH105" s="667"/>
      <c r="PI105" s="63"/>
      <c r="PJ105" s="667"/>
      <c r="PK105" s="102"/>
      <c r="PL105" s="102"/>
      <c r="PM105" s="102"/>
      <c r="PN105" s="102"/>
      <c r="PO105" s="102"/>
      <c r="PP105" s="102"/>
      <c r="PQ105" s="102"/>
      <c r="PR105" s="102"/>
      <c r="SM105" s="521">
        <f>ROW()</f>
        <v>105</v>
      </c>
      <c r="TF105" s="950"/>
      <c r="TG105" s="20"/>
      <c r="TH105" s="20"/>
      <c r="TI105" s="633"/>
      <c r="TJ105" s="633"/>
      <c r="TK105" s="633"/>
      <c r="TL105" s="633"/>
      <c r="TM105" s="633"/>
      <c r="TN105" s="633"/>
      <c r="TO105" s="633"/>
      <c r="TP105" s="633"/>
      <c r="TQ105" s="633"/>
      <c r="TR105" s="633"/>
      <c r="TS105" s="633"/>
      <c r="UJ105" s="521"/>
      <c r="UK105" s="20"/>
      <c r="UL105" s="20"/>
      <c r="UM105" s="20"/>
      <c r="UN105" s="20"/>
      <c r="UO105" s="20"/>
      <c r="UP105" s="20"/>
      <c r="UQ105" s="20"/>
      <c r="UR105" s="20"/>
      <c r="US105" s="20"/>
      <c r="UT105" s="20"/>
      <c r="UU105" s="20"/>
      <c r="UV105" s="20"/>
      <c r="UW105" s="20"/>
    </row>
    <row r="106" spans="1:569" ht="15" x14ac:dyDescent="0.25">
      <c r="A106" s="30"/>
      <c r="B106" s="1152"/>
      <c r="C106" s="547"/>
      <c r="D106" s="1159"/>
      <c r="E106" s="1159"/>
      <c r="F106" s="1159"/>
      <c r="G106" s="640"/>
      <c r="H106" s="1159"/>
      <c r="I106" s="1159"/>
      <c r="J106" s="1159"/>
      <c r="K106" s="1159"/>
      <c r="L106" s="1159"/>
      <c r="M106" s="1159"/>
      <c r="N106" s="1159"/>
      <c r="O106" s="102"/>
      <c r="P106" s="102"/>
      <c r="Q106" s="102"/>
      <c r="R106" s="102"/>
      <c r="T106" s="1185"/>
      <c r="U106" s="20"/>
      <c r="V106" s="573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IQ106" s="102"/>
      <c r="IR106" s="102"/>
      <c r="IS106" s="102"/>
      <c r="IT106" s="102"/>
      <c r="IU106" s="102"/>
      <c r="IV106" s="102"/>
      <c r="IW106" s="102"/>
      <c r="IX106" s="102"/>
      <c r="JI106" s="102"/>
      <c r="JJ106" s="102"/>
      <c r="JK106" s="102"/>
      <c r="JL106" s="102"/>
      <c r="JM106" s="102"/>
      <c r="JN106" s="102"/>
      <c r="JO106" s="102"/>
      <c r="JP106" s="102"/>
      <c r="JQ106" s="102"/>
      <c r="JR106" s="102"/>
      <c r="JS106" s="102"/>
      <c r="JT106" s="102"/>
      <c r="JU106" s="102"/>
      <c r="OW106" s="102"/>
      <c r="OX106" s="1203"/>
      <c r="OY106" s="1203"/>
      <c r="OZ106" s="63"/>
      <c r="PA106" s="63"/>
      <c r="PB106" s="63"/>
      <c r="PC106" s="600"/>
      <c r="PD106" s="600"/>
      <c r="PE106" s="600"/>
      <c r="PF106" s="600"/>
      <c r="PG106" s="600"/>
      <c r="PH106" s="667"/>
      <c r="PI106" s="600"/>
      <c r="PJ106" s="667"/>
      <c r="PK106" s="102"/>
      <c r="PL106" s="102"/>
      <c r="PM106" s="102"/>
      <c r="PN106" s="102"/>
      <c r="PO106" s="102"/>
      <c r="PP106" s="102"/>
      <c r="PQ106" s="102"/>
      <c r="PR106" s="102"/>
      <c r="SM106" s="521">
        <f>ROW()</f>
        <v>106</v>
      </c>
      <c r="SN106" s="88"/>
      <c r="TF106" s="950"/>
      <c r="TG106" s="20"/>
      <c r="TH106" s="20"/>
      <c r="TI106" s="574"/>
      <c r="TJ106" s="574"/>
      <c r="TK106" s="574"/>
      <c r="TL106" s="574"/>
      <c r="TM106" s="574"/>
      <c r="TN106" s="574"/>
      <c r="TO106" s="574"/>
      <c r="TP106" s="574"/>
      <c r="TQ106" s="574"/>
      <c r="TR106" s="574"/>
      <c r="TS106" s="574"/>
      <c r="UJ106" s="521"/>
      <c r="UK106" s="20"/>
      <c r="UL106" s="20"/>
      <c r="UM106" s="20"/>
      <c r="UN106" s="20"/>
      <c r="UO106" s="20"/>
      <c r="UP106" s="20"/>
      <c r="UQ106" s="20"/>
      <c r="UR106" s="20"/>
      <c r="US106" s="20"/>
      <c r="UT106" s="20"/>
      <c r="UU106" s="20"/>
      <c r="UV106" s="20"/>
      <c r="UW106" s="20"/>
    </row>
    <row r="107" spans="1:569" ht="15" x14ac:dyDescent="0.25">
      <c r="A107" s="30"/>
      <c r="B107" s="1161"/>
      <c r="C107" s="547"/>
      <c r="D107" s="1159"/>
      <c r="E107" s="1159"/>
      <c r="F107" s="1159"/>
      <c r="G107" s="640"/>
      <c r="H107" s="1159"/>
      <c r="I107" s="1159"/>
      <c r="J107" s="1159"/>
      <c r="K107" s="1159"/>
      <c r="L107" s="1159"/>
      <c r="M107" s="1159"/>
      <c r="N107" s="1159"/>
      <c r="O107" s="102"/>
      <c r="P107" s="102"/>
      <c r="Q107" s="102"/>
      <c r="R107" s="102"/>
      <c r="T107" s="580"/>
      <c r="U107" s="1181"/>
      <c r="V107" s="667"/>
      <c r="W107" s="620"/>
      <c r="X107" s="42"/>
      <c r="Y107" s="42"/>
      <c r="Z107" s="42"/>
      <c r="AA107" s="42"/>
      <c r="AB107" s="42"/>
      <c r="AC107" s="42"/>
      <c r="AD107" s="42"/>
      <c r="AE107" s="42"/>
      <c r="AF107" s="42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IQ107" s="102"/>
      <c r="IR107" s="102"/>
      <c r="IS107" s="102"/>
      <c r="IT107" s="102"/>
      <c r="IU107" s="102"/>
      <c r="IV107" s="102"/>
      <c r="IW107" s="102"/>
      <c r="IX107" s="102"/>
      <c r="JI107" s="102"/>
      <c r="JJ107" s="102"/>
      <c r="JK107" s="102"/>
      <c r="JL107" s="102"/>
      <c r="JM107" s="102"/>
      <c r="JN107" s="102"/>
      <c r="JO107" s="102"/>
      <c r="JP107" s="102"/>
      <c r="JQ107" s="102"/>
      <c r="JR107" s="102"/>
      <c r="JS107" s="102"/>
      <c r="JT107" s="102"/>
      <c r="JU107" s="102"/>
      <c r="OW107" s="102"/>
      <c r="OX107" s="4"/>
      <c r="OY107" s="1203"/>
      <c r="OZ107" s="667"/>
      <c r="PA107" s="667"/>
      <c r="PB107" s="667"/>
      <c r="PC107" s="667"/>
      <c r="PD107" s="600"/>
      <c r="PE107" s="600"/>
      <c r="PF107" s="600"/>
      <c r="PG107" s="600"/>
      <c r="PH107" s="667"/>
      <c r="PI107" s="600"/>
      <c r="PJ107" s="667"/>
      <c r="PK107" s="102"/>
      <c r="PL107" s="102"/>
      <c r="PM107" s="102"/>
      <c r="PN107" s="102"/>
      <c r="PO107" s="102"/>
      <c r="PP107" s="102"/>
      <c r="PQ107" s="102"/>
      <c r="PR107" s="102"/>
      <c r="TF107" s="1"/>
      <c r="TG107" s="20"/>
      <c r="TH107" s="20"/>
      <c r="TI107" s="20"/>
      <c r="TJ107" s="20"/>
      <c r="TK107" s="20"/>
      <c r="TL107" s="20"/>
      <c r="TM107" s="20"/>
      <c r="TN107" s="20"/>
      <c r="TO107" s="20"/>
      <c r="TP107" s="20"/>
      <c r="TQ107" s="20"/>
      <c r="TR107" s="20"/>
      <c r="TS107" s="20"/>
      <c r="UK107" s="917"/>
      <c r="UL107" s="20"/>
      <c r="UM107" s="20"/>
      <c r="UN107" s="20"/>
      <c r="UO107" s="20"/>
      <c r="UP107" s="20"/>
      <c r="UQ107" s="20"/>
      <c r="UR107" s="20"/>
      <c r="US107" s="20"/>
      <c r="UT107" s="20"/>
      <c r="UU107" s="20"/>
      <c r="UV107" s="20"/>
      <c r="UW107" s="20"/>
    </row>
    <row r="108" spans="1:569" ht="15" x14ac:dyDescent="0.25">
      <c r="A108" s="30"/>
      <c r="B108" s="1153"/>
      <c r="C108" s="547"/>
      <c r="D108" s="1159"/>
      <c r="E108" s="1159"/>
      <c r="F108" s="1159"/>
      <c r="G108" s="640"/>
      <c r="H108" s="1159"/>
      <c r="I108" s="1159"/>
      <c r="J108" s="1159"/>
      <c r="K108" s="1159"/>
      <c r="L108" s="1159"/>
      <c r="M108" s="1159"/>
      <c r="N108" s="1159"/>
      <c r="O108" s="102"/>
      <c r="P108" s="102"/>
      <c r="Q108" s="102"/>
      <c r="R108" s="102"/>
      <c r="T108" s="679"/>
      <c r="U108" s="1181"/>
      <c r="V108" s="667"/>
      <c r="W108" s="620"/>
      <c r="X108" s="42"/>
      <c r="Y108" s="42"/>
      <c r="Z108" s="42"/>
      <c r="AA108" s="42"/>
      <c r="AB108" s="42"/>
      <c r="AC108" s="42"/>
      <c r="AD108" s="42"/>
      <c r="AE108" s="42"/>
      <c r="AF108" s="42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IQ108" s="102"/>
      <c r="IR108" s="102"/>
      <c r="IS108" s="102"/>
      <c r="IT108" s="102"/>
      <c r="IU108" s="102"/>
      <c r="IV108" s="102"/>
      <c r="IW108" s="102"/>
      <c r="IX108" s="102"/>
      <c r="JI108" s="102"/>
      <c r="JJ108" s="102"/>
      <c r="JK108" s="102"/>
      <c r="JL108" s="102"/>
      <c r="JM108" s="102"/>
      <c r="JN108" s="102"/>
      <c r="JO108" s="102"/>
      <c r="JP108" s="102"/>
      <c r="JQ108" s="102"/>
      <c r="JR108" s="102"/>
      <c r="JS108" s="102"/>
      <c r="JT108" s="102"/>
      <c r="JU108" s="102"/>
      <c r="OW108" s="102"/>
      <c r="OX108" s="4"/>
      <c r="OY108" s="4"/>
      <c r="OZ108" s="20"/>
      <c r="PA108" s="20"/>
      <c r="PB108" s="20"/>
      <c r="PC108" s="600"/>
      <c r="PD108" s="600"/>
      <c r="PE108" s="600"/>
      <c r="PF108" s="600"/>
      <c r="PG108" s="600"/>
      <c r="PH108" s="667"/>
      <c r="PI108" s="600"/>
      <c r="PJ108" s="667"/>
      <c r="PK108" s="102"/>
      <c r="PL108" s="102"/>
      <c r="PM108" s="102"/>
      <c r="PN108" s="102"/>
      <c r="PO108" s="102"/>
      <c r="PP108" s="102"/>
      <c r="PQ108" s="102"/>
      <c r="PR108" s="102"/>
      <c r="TF108" s="1"/>
      <c r="TG108" s="20"/>
      <c r="TH108" s="20"/>
      <c r="TI108" s="20"/>
      <c r="TJ108" s="20"/>
      <c r="TK108" s="20"/>
      <c r="TL108" s="20"/>
      <c r="TM108" s="20"/>
      <c r="TN108" s="20"/>
      <c r="TO108" s="20"/>
      <c r="TP108" s="20"/>
      <c r="TQ108" s="20"/>
      <c r="TR108" s="20"/>
      <c r="TS108" s="20"/>
    </row>
    <row r="109" spans="1:569" ht="15" x14ac:dyDescent="0.25">
      <c r="A109" s="30"/>
      <c r="B109" s="1153"/>
      <c r="C109" s="547"/>
      <c r="D109" s="1159"/>
      <c r="E109" s="1159"/>
      <c r="F109" s="1159"/>
      <c r="G109" s="640"/>
      <c r="H109" s="1159"/>
      <c r="I109" s="1159"/>
      <c r="J109" s="1159"/>
      <c r="K109" s="1159"/>
      <c r="L109" s="1159"/>
      <c r="M109" s="1159"/>
      <c r="N109" s="1159"/>
      <c r="O109" s="102"/>
      <c r="P109" s="102"/>
      <c r="Q109" s="102"/>
      <c r="R109" s="102"/>
      <c r="T109" s="580"/>
      <c r="U109" s="1181"/>
      <c r="V109" s="667"/>
      <c r="W109" s="620"/>
      <c r="X109" s="42"/>
      <c r="Y109" s="42"/>
      <c r="Z109" s="42"/>
      <c r="AA109" s="42"/>
      <c r="AB109" s="42"/>
      <c r="AC109" s="42"/>
      <c r="AD109" s="42"/>
      <c r="AE109" s="42"/>
      <c r="AF109" s="42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IQ109" s="102"/>
      <c r="IR109" s="102"/>
      <c r="IS109" s="102"/>
      <c r="IT109" s="102"/>
      <c r="IU109" s="102"/>
      <c r="IV109" s="102"/>
      <c r="IW109" s="102"/>
      <c r="IX109" s="102"/>
      <c r="JI109" s="102"/>
      <c r="JJ109" s="102"/>
      <c r="JK109" s="102"/>
      <c r="JL109" s="102"/>
      <c r="JM109" s="102"/>
      <c r="JN109" s="102"/>
      <c r="JO109" s="102"/>
      <c r="JP109" s="102"/>
      <c r="JQ109" s="102"/>
      <c r="JR109" s="102"/>
      <c r="JS109" s="102"/>
      <c r="JT109" s="102"/>
      <c r="JU109" s="102"/>
      <c r="OW109" s="102"/>
      <c r="OX109" s="1054"/>
      <c r="OY109" s="1205"/>
      <c r="OZ109" s="20"/>
      <c r="PA109" s="20"/>
      <c r="PB109" s="20"/>
      <c r="PC109" s="600"/>
      <c r="PD109" s="600"/>
      <c r="PE109" s="600"/>
      <c r="PF109" s="600"/>
      <c r="PG109" s="600"/>
      <c r="PH109" s="667"/>
      <c r="PI109" s="600"/>
      <c r="PJ109" s="667"/>
      <c r="PK109" s="102"/>
      <c r="PL109" s="102"/>
      <c r="PM109" s="102"/>
      <c r="PN109" s="102"/>
      <c r="PO109" s="102"/>
      <c r="PP109" s="102"/>
      <c r="PQ109" s="102"/>
      <c r="PR109" s="102"/>
      <c r="TF109" s="1"/>
      <c r="TG109" s="917"/>
      <c r="TH109" s="20"/>
      <c r="TI109" s="20"/>
      <c r="TJ109" s="20"/>
      <c r="TK109" s="20"/>
      <c r="TL109" s="20"/>
      <c r="TM109" s="20"/>
      <c r="TN109" s="20"/>
      <c r="TO109" s="20"/>
      <c r="TP109" s="20"/>
      <c r="TQ109" s="20"/>
      <c r="TR109" s="20"/>
      <c r="TS109" s="20"/>
    </row>
    <row r="110" spans="1:569" ht="15" x14ac:dyDescent="0.25">
      <c r="A110" s="30"/>
      <c r="B110" s="1152"/>
      <c r="C110" s="547"/>
      <c r="D110" s="1159"/>
      <c r="E110" s="1159"/>
      <c r="F110" s="1159"/>
      <c r="G110" s="640"/>
      <c r="H110" s="1159"/>
      <c r="I110" s="1159"/>
      <c r="J110" s="1159"/>
      <c r="K110" s="1159"/>
      <c r="L110" s="1159"/>
      <c r="M110" s="1159"/>
      <c r="N110" s="1159"/>
      <c r="O110" s="102"/>
      <c r="P110" s="102"/>
      <c r="Q110" s="102"/>
      <c r="R110" s="102"/>
      <c r="T110" s="580"/>
      <c r="U110" s="1181"/>
      <c r="V110" s="667"/>
      <c r="W110" s="620"/>
      <c r="X110" s="42"/>
      <c r="Y110" s="42"/>
      <c r="Z110" s="42"/>
      <c r="AA110" s="42"/>
      <c r="AB110" s="42"/>
      <c r="AC110" s="42"/>
      <c r="AD110" s="42"/>
      <c r="AE110" s="42"/>
      <c r="AF110" s="42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IQ110" s="102"/>
      <c r="IR110" s="102"/>
      <c r="IS110" s="102"/>
      <c r="IT110" s="102"/>
      <c r="IU110" s="102"/>
      <c r="IV110" s="102"/>
      <c r="IW110" s="102"/>
      <c r="IX110" s="102"/>
      <c r="JI110" s="102"/>
      <c r="JJ110" s="102"/>
      <c r="JK110" s="102"/>
      <c r="JL110" s="102"/>
      <c r="JM110" s="102"/>
      <c r="JN110" s="102"/>
      <c r="JO110" s="102"/>
      <c r="JP110" s="102"/>
      <c r="JQ110" s="102"/>
      <c r="JR110" s="102"/>
      <c r="JS110" s="102"/>
      <c r="JT110" s="102"/>
      <c r="JU110" s="102"/>
      <c r="OW110" s="102"/>
      <c r="OX110" s="1203"/>
      <c r="OY110" s="1054"/>
      <c r="OZ110" s="63"/>
      <c r="PA110" s="624"/>
      <c r="PB110" s="63"/>
      <c r="PC110" s="63"/>
      <c r="PD110" s="600"/>
      <c r="PE110" s="63"/>
      <c r="PF110" s="600"/>
      <c r="PG110" s="63"/>
      <c r="PH110" s="647"/>
      <c r="PI110" s="63"/>
      <c r="PJ110" s="647"/>
      <c r="PK110" s="102"/>
      <c r="PL110" s="102"/>
      <c r="PM110" s="102"/>
      <c r="PN110" s="102"/>
      <c r="PO110" s="102"/>
      <c r="PP110" s="102"/>
      <c r="PQ110" s="102"/>
      <c r="PR110" s="102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</row>
    <row r="111" spans="1:569" ht="15" x14ac:dyDescent="0.25">
      <c r="A111" s="30"/>
      <c r="B111" s="1153"/>
      <c r="C111" s="547"/>
      <c r="D111" s="1159"/>
      <c r="E111" s="1159"/>
      <c r="F111" s="1159"/>
      <c r="G111" s="640"/>
      <c r="H111" s="1159"/>
      <c r="I111" s="1159"/>
      <c r="J111" s="1159"/>
      <c r="K111" s="1159"/>
      <c r="L111" s="1159"/>
      <c r="M111" s="1159"/>
      <c r="N111" s="1159"/>
      <c r="O111" s="102"/>
      <c r="P111" s="102"/>
      <c r="Q111" s="102"/>
      <c r="R111" s="102"/>
      <c r="T111" s="41"/>
      <c r="U111" s="1181"/>
      <c r="V111" s="667"/>
      <c r="W111" s="620"/>
      <c r="X111" s="42"/>
      <c r="Y111" s="42"/>
      <c r="Z111" s="42"/>
      <c r="AA111" s="42"/>
      <c r="AB111" s="42"/>
      <c r="AC111" s="42"/>
      <c r="AD111" s="42"/>
      <c r="AE111" s="42"/>
      <c r="AF111" s="42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IQ111" s="102"/>
      <c r="IR111" s="102"/>
      <c r="IS111" s="102"/>
      <c r="IT111" s="102"/>
      <c r="IU111" s="102"/>
      <c r="IV111" s="102"/>
      <c r="IW111" s="102"/>
      <c r="IX111" s="102"/>
      <c r="JI111" s="102"/>
      <c r="JJ111" s="102"/>
      <c r="JK111" s="102"/>
      <c r="JL111" s="102"/>
      <c r="JM111" s="102"/>
      <c r="JN111" s="102"/>
      <c r="JO111" s="102"/>
      <c r="JP111" s="102"/>
      <c r="JQ111" s="102"/>
      <c r="JR111" s="102"/>
      <c r="JS111" s="102"/>
      <c r="JT111" s="102"/>
      <c r="JU111" s="102"/>
      <c r="OW111" s="102"/>
      <c r="OX111" s="1203"/>
      <c r="OY111" s="592"/>
      <c r="OZ111" s="63"/>
      <c r="PA111" s="63"/>
      <c r="PB111" s="63"/>
      <c r="PC111" s="63"/>
      <c r="PD111" s="600"/>
      <c r="PE111" s="63"/>
      <c r="PF111" s="600"/>
      <c r="PG111" s="63"/>
      <c r="PH111" s="647"/>
      <c r="PI111" s="63"/>
      <c r="PJ111" s="647"/>
      <c r="PK111" s="102"/>
      <c r="PL111" s="102"/>
      <c r="PM111" s="102"/>
      <c r="PN111" s="102"/>
      <c r="PO111" s="102"/>
      <c r="PP111" s="102"/>
      <c r="PQ111" s="102"/>
      <c r="PR111" s="102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</row>
    <row r="112" spans="1:569" ht="15" x14ac:dyDescent="0.25">
      <c r="A112" s="30"/>
      <c r="B112" s="1153"/>
      <c r="C112" s="20"/>
      <c r="D112" s="1159"/>
      <c r="E112" s="1159"/>
      <c r="F112" s="1159"/>
      <c r="G112" s="641"/>
      <c r="H112" s="1159"/>
      <c r="I112" s="1159"/>
      <c r="J112" s="1159"/>
      <c r="K112" s="1159"/>
      <c r="L112" s="1159"/>
      <c r="M112" s="1159"/>
      <c r="N112" s="1159"/>
      <c r="O112" s="102"/>
      <c r="P112" s="102"/>
      <c r="Q112" s="102"/>
      <c r="R112" s="102"/>
      <c r="T112" s="41"/>
      <c r="U112" s="1181"/>
      <c r="V112" s="667"/>
      <c r="W112" s="620"/>
      <c r="X112" s="42"/>
      <c r="Y112" s="42"/>
      <c r="Z112" s="42"/>
      <c r="AA112" s="42"/>
      <c r="AB112" s="42"/>
      <c r="AC112" s="42"/>
      <c r="AD112" s="42"/>
      <c r="AE112" s="42"/>
      <c r="AF112" s="42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IQ112" s="102"/>
      <c r="IR112" s="102"/>
      <c r="IS112" s="102"/>
      <c r="IT112" s="102"/>
      <c r="IU112" s="102"/>
      <c r="IV112" s="102"/>
      <c r="IW112" s="102"/>
      <c r="IX112" s="102"/>
      <c r="JI112" s="102"/>
      <c r="JJ112" s="102"/>
      <c r="JK112" s="102"/>
      <c r="JL112" s="102"/>
      <c r="JM112" s="102"/>
      <c r="JN112" s="102"/>
      <c r="JO112" s="102"/>
      <c r="JP112" s="102"/>
      <c r="JQ112" s="102"/>
      <c r="JR112" s="102"/>
      <c r="JS112" s="102"/>
      <c r="JT112" s="102"/>
      <c r="JU112" s="102"/>
      <c r="OW112" s="102"/>
      <c r="OX112" s="1203"/>
      <c r="OY112" s="20"/>
      <c r="OZ112" s="63"/>
      <c r="PA112" s="63"/>
      <c r="PB112" s="63"/>
      <c r="PC112" s="63"/>
      <c r="PD112" s="600"/>
      <c r="PE112" s="600"/>
      <c r="PF112" s="600"/>
      <c r="PG112" s="647"/>
      <c r="PH112" s="647"/>
      <c r="PI112" s="647"/>
      <c r="PJ112" s="647"/>
      <c r="PK112" s="102"/>
      <c r="PL112" s="102"/>
      <c r="PM112" s="102"/>
      <c r="PN112" s="102"/>
      <c r="PO112" s="102"/>
      <c r="PP112" s="102"/>
      <c r="PQ112" s="102"/>
      <c r="PR112" s="102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</row>
    <row r="113" spans="1:539" ht="15" x14ac:dyDescent="0.25">
      <c r="A113" s="30"/>
      <c r="B113" s="1153"/>
      <c r="C113" s="547"/>
      <c r="D113" s="1159"/>
      <c r="E113" s="1159"/>
      <c r="F113" s="1159"/>
      <c r="G113" s="640"/>
      <c r="H113" s="1159"/>
      <c r="I113" s="1159"/>
      <c r="J113" s="1159"/>
      <c r="K113" s="1159"/>
      <c r="L113" s="1159"/>
      <c r="M113" s="1159"/>
      <c r="N113" s="1159"/>
      <c r="O113" s="102"/>
      <c r="P113" s="102"/>
      <c r="Q113" s="102"/>
      <c r="R113" s="102"/>
      <c r="T113" s="41"/>
      <c r="U113" s="1181"/>
      <c r="V113" s="667"/>
      <c r="W113" s="620"/>
      <c r="X113" s="42"/>
      <c r="Y113" s="42"/>
      <c r="Z113" s="42"/>
      <c r="AA113" s="42"/>
      <c r="AB113" s="42"/>
      <c r="AC113" s="42"/>
      <c r="AD113" s="42"/>
      <c r="AE113" s="42"/>
      <c r="AF113" s="42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IQ113" s="102"/>
      <c r="IR113" s="102"/>
      <c r="IS113" s="102"/>
      <c r="IT113" s="102"/>
      <c r="IU113" s="102"/>
      <c r="IV113" s="102"/>
      <c r="IW113" s="102"/>
      <c r="IX113" s="102"/>
      <c r="JI113" s="102"/>
      <c r="JJ113" s="102"/>
      <c r="JK113" s="102"/>
      <c r="JL113" s="102"/>
      <c r="JM113" s="102"/>
      <c r="JN113" s="102"/>
      <c r="JO113" s="102"/>
      <c r="JP113" s="102"/>
      <c r="JQ113" s="102"/>
      <c r="JR113" s="102"/>
      <c r="JS113" s="102"/>
      <c r="JT113" s="102"/>
      <c r="JU113" s="102"/>
      <c r="OW113" s="102"/>
      <c r="OX113" s="4"/>
      <c r="OY113" s="592"/>
      <c r="OZ113" s="667"/>
      <c r="PA113" s="667"/>
      <c r="PB113" s="667"/>
      <c r="PC113" s="667"/>
      <c r="PD113" s="600"/>
      <c r="PE113" s="600"/>
      <c r="PF113" s="600"/>
      <c r="PG113" s="647"/>
      <c r="PH113" s="647"/>
      <c r="PI113" s="647"/>
      <c r="PJ113" s="647"/>
      <c r="PK113" s="102"/>
      <c r="PL113" s="102"/>
      <c r="PM113" s="102"/>
      <c r="PN113" s="102"/>
      <c r="PO113" s="102"/>
      <c r="PP113" s="102"/>
      <c r="PQ113" s="102"/>
      <c r="PR113" s="102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</row>
    <row r="114" spans="1:539" ht="15" x14ac:dyDescent="0.25">
      <c r="A114" s="30"/>
      <c r="B114" s="1153"/>
      <c r="C114" s="547"/>
      <c r="D114" s="1159"/>
      <c r="E114" s="1159"/>
      <c r="F114" s="1159"/>
      <c r="G114" s="640"/>
      <c r="H114" s="1159"/>
      <c r="I114" s="1159"/>
      <c r="J114" s="1159"/>
      <c r="K114" s="1159"/>
      <c r="L114" s="1159"/>
      <c r="M114" s="1159"/>
      <c r="N114" s="1159"/>
      <c r="O114" s="102"/>
      <c r="P114" s="102"/>
      <c r="Q114" s="102"/>
      <c r="R114" s="102"/>
      <c r="T114" s="679"/>
      <c r="U114" s="1181"/>
      <c r="V114" s="667"/>
      <c r="W114" s="620"/>
      <c r="X114" s="42"/>
      <c r="Y114" s="42"/>
      <c r="Z114" s="42"/>
      <c r="AA114" s="42"/>
      <c r="AB114" s="42"/>
      <c r="AC114" s="42"/>
      <c r="AD114" s="42"/>
      <c r="AE114" s="42"/>
      <c r="AF114" s="42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IQ114" s="102"/>
      <c r="IR114" s="102"/>
      <c r="IS114" s="102"/>
      <c r="IT114" s="102"/>
      <c r="IU114" s="102"/>
      <c r="IV114" s="102"/>
      <c r="IW114" s="102"/>
      <c r="IX114" s="102"/>
      <c r="JI114" s="102"/>
      <c r="JJ114" s="102"/>
      <c r="JK114" s="102"/>
      <c r="JL114" s="102"/>
      <c r="JM114" s="102"/>
      <c r="JN114" s="102"/>
      <c r="JO114" s="102"/>
      <c r="JP114" s="102"/>
      <c r="JQ114" s="102"/>
      <c r="JR114" s="102"/>
      <c r="JS114" s="102"/>
      <c r="JT114" s="102"/>
      <c r="JU114" s="102"/>
      <c r="OW114" s="102"/>
      <c r="OX114" s="592"/>
      <c r="OY114" s="592"/>
      <c r="OZ114" s="667"/>
      <c r="PA114" s="667"/>
      <c r="PB114" s="667"/>
      <c r="PC114" s="667"/>
      <c r="PD114" s="600"/>
      <c r="PE114" s="600"/>
      <c r="PF114" s="600"/>
      <c r="PG114" s="647"/>
      <c r="PH114" s="647"/>
      <c r="PI114" s="647"/>
      <c r="PJ114" s="647"/>
      <c r="PK114" s="102"/>
      <c r="PL114" s="102"/>
      <c r="PM114" s="102"/>
      <c r="PN114" s="102"/>
      <c r="PO114" s="102"/>
      <c r="PP114" s="102"/>
      <c r="PQ114" s="102"/>
      <c r="PR114" s="102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</row>
    <row r="115" spans="1:539" ht="15" x14ac:dyDescent="0.25">
      <c r="A115" s="30"/>
      <c r="B115" s="1153"/>
      <c r="C115" s="1159"/>
      <c r="D115" s="1159"/>
      <c r="E115" s="1159"/>
      <c r="F115" s="1159"/>
      <c r="G115" s="640"/>
      <c r="H115" s="1159"/>
      <c r="I115" s="1159"/>
      <c r="J115" s="1159"/>
      <c r="K115" s="1159"/>
      <c r="L115" s="1159"/>
      <c r="M115" s="1159"/>
      <c r="N115" s="1159"/>
      <c r="O115" s="102"/>
      <c r="P115" s="102"/>
      <c r="Q115" s="102"/>
      <c r="R115" s="102"/>
      <c r="T115" s="679"/>
      <c r="U115" s="1181"/>
      <c r="V115" s="667"/>
      <c r="W115" s="620"/>
      <c r="X115" s="42"/>
      <c r="Y115" s="42"/>
      <c r="Z115" s="42"/>
      <c r="AA115" s="42"/>
      <c r="AB115" s="42"/>
      <c r="AC115" s="42"/>
      <c r="AD115" s="42"/>
      <c r="AE115" s="42"/>
      <c r="AF115" s="42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IQ115" s="102"/>
      <c r="IR115" s="102"/>
      <c r="IS115" s="102"/>
      <c r="IT115" s="102"/>
      <c r="IU115" s="102"/>
      <c r="IV115" s="102"/>
      <c r="IW115" s="102"/>
      <c r="IX115" s="102"/>
      <c r="JI115" s="102"/>
      <c r="JJ115" s="102"/>
      <c r="JK115" s="102"/>
      <c r="JL115" s="102"/>
      <c r="JM115" s="102"/>
      <c r="JN115" s="102"/>
      <c r="JO115" s="102"/>
      <c r="JP115" s="102"/>
      <c r="JQ115" s="102"/>
      <c r="JR115" s="102"/>
      <c r="JS115" s="102"/>
      <c r="JT115" s="102"/>
      <c r="JU115" s="102"/>
      <c r="OW115" s="102"/>
      <c r="OX115" s="594"/>
      <c r="OY115" s="594"/>
      <c r="OZ115" s="667"/>
      <c r="PA115" s="667"/>
      <c r="PB115" s="667"/>
      <c r="PC115" s="667"/>
      <c r="PD115" s="600"/>
      <c r="PE115" s="600"/>
      <c r="PF115" s="600"/>
      <c r="PG115" s="647"/>
      <c r="PH115" s="647"/>
      <c r="PI115" s="647"/>
      <c r="PJ115" s="647"/>
      <c r="PK115" s="102"/>
      <c r="PL115" s="102"/>
      <c r="PM115" s="102"/>
      <c r="PN115" s="102"/>
      <c r="PO115" s="102"/>
      <c r="PP115" s="102"/>
      <c r="PQ115" s="102"/>
      <c r="PR115" s="102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</row>
    <row r="116" spans="1:539" ht="15" x14ac:dyDescent="0.25">
      <c r="A116" s="30"/>
      <c r="B116" s="1153"/>
      <c r="C116" s="1159"/>
      <c r="D116" s="1159"/>
      <c r="E116" s="1159"/>
      <c r="F116" s="1159"/>
      <c r="G116" s="640"/>
      <c r="H116" s="1159"/>
      <c r="I116" s="1159"/>
      <c r="J116" s="1159"/>
      <c r="K116" s="1159"/>
      <c r="L116" s="1159"/>
      <c r="M116" s="1159"/>
      <c r="N116" s="1159"/>
      <c r="O116" s="102"/>
      <c r="P116" s="102"/>
      <c r="Q116" s="102"/>
      <c r="R116" s="102"/>
      <c r="T116" s="679"/>
      <c r="U116" s="1181"/>
      <c r="V116" s="667"/>
      <c r="W116" s="620"/>
      <c r="X116" s="42"/>
      <c r="Y116" s="42"/>
      <c r="Z116" s="42"/>
      <c r="AA116" s="42"/>
      <c r="AB116" s="42"/>
      <c r="AC116" s="42"/>
      <c r="AD116" s="42"/>
      <c r="AE116" s="42"/>
      <c r="AF116" s="42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IQ116" s="102"/>
      <c r="IR116" s="102"/>
      <c r="IS116" s="102"/>
      <c r="IT116" s="102"/>
      <c r="IU116" s="102"/>
      <c r="IV116" s="102"/>
      <c r="IW116" s="102"/>
      <c r="IX116" s="102"/>
      <c r="JI116" s="102"/>
      <c r="JJ116" s="102"/>
      <c r="JK116" s="102"/>
      <c r="JL116" s="102"/>
      <c r="JM116" s="102"/>
      <c r="JN116" s="102"/>
      <c r="JO116" s="102"/>
      <c r="JP116" s="102"/>
      <c r="JQ116" s="102"/>
      <c r="JR116" s="102"/>
      <c r="JS116" s="102"/>
      <c r="JT116" s="102"/>
      <c r="JU116" s="102"/>
      <c r="OW116" s="102"/>
      <c r="OX116" s="842"/>
      <c r="OY116" s="842"/>
      <c r="OZ116" s="63"/>
      <c r="PA116" s="63"/>
      <c r="PB116" s="63"/>
      <c r="PC116" s="63"/>
      <c r="PD116" s="63"/>
      <c r="PE116" s="63"/>
      <c r="PF116" s="63"/>
      <c r="PG116" s="64"/>
      <c r="PH116" s="64"/>
      <c r="PI116" s="64"/>
      <c r="PJ116" s="64"/>
      <c r="PK116" s="102"/>
      <c r="PL116" s="102"/>
      <c r="PM116" s="102"/>
      <c r="PN116" s="102"/>
      <c r="PO116" s="102"/>
      <c r="PP116" s="102"/>
      <c r="PQ116" s="102"/>
      <c r="PR116" s="102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</row>
    <row r="117" spans="1:539" ht="15" x14ac:dyDescent="0.25">
      <c r="A117" s="30"/>
      <c r="B117" s="1158"/>
      <c r="C117" s="1159"/>
      <c r="D117" s="560"/>
      <c r="E117" s="560"/>
      <c r="F117" s="1159"/>
      <c r="G117" s="640"/>
      <c r="H117" s="1159"/>
      <c r="I117" s="1159"/>
      <c r="J117" s="1159"/>
      <c r="K117" s="1159"/>
      <c r="L117" s="1159"/>
      <c r="M117" s="1159"/>
      <c r="N117" s="1159"/>
      <c r="O117" s="102"/>
      <c r="P117" s="102"/>
      <c r="Q117" s="102"/>
      <c r="R117" s="102"/>
      <c r="T117" s="888"/>
      <c r="U117" s="1181"/>
      <c r="V117" s="667"/>
      <c r="W117" s="620"/>
      <c r="X117" s="42"/>
      <c r="Y117" s="42"/>
      <c r="Z117" s="42"/>
      <c r="AA117" s="42"/>
      <c r="AB117" s="42"/>
      <c r="AC117" s="42"/>
      <c r="AD117" s="42"/>
      <c r="AE117" s="42"/>
      <c r="AF117" s="42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IQ117" s="102"/>
      <c r="IR117" s="102"/>
      <c r="IS117" s="102"/>
      <c r="IT117" s="102"/>
      <c r="IU117" s="102"/>
      <c r="IV117" s="102"/>
      <c r="IW117" s="102"/>
      <c r="IX117" s="102"/>
      <c r="JI117" s="102"/>
      <c r="JJ117" s="102"/>
      <c r="JK117" s="102"/>
      <c r="JL117" s="102"/>
      <c r="JM117" s="102"/>
      <c r="JN117" s="102"/>
      <c r="JO117" s="102"/>
      <c r="JP117" s="102"/>
      <c r="JQ117" s="102"/>
      <c r="JR117" s="102"/>
      <c r="JS117" s="102"/>
      <c r="JT117" s="102"/>
      <c r="JU117" s="102"/>
      <c r="OW117" s="102"/>
      <c r="OX117" s="1054"/>
      <c r="OY117" s="20"/>
      <c r="OZ117" s="20"/>
      <c r="PA117" s="20"/>
      <c r="PB117" s="20"/>
      <c r="PC117" s="20"/>
      <c r="PD117" s="20"/>
      <c r="PE117" s="20"/>
      <c r="PF117" s="20"/>
      <c r="PG117" s="72"/>
      <c r="PH117" s="72"/>
      <c r="PI117" s="72"/>
      <c r="PJ117" s="72"/>
      <c r="PK117" s="102"/>
      <c r="PL117" s="102"/>
      <c r="PM117" s="102"/>
      <c r="PN117" s="102"/>
      <c r="PO117" s="102"/>
      <c r="PP117" s="102"/>
      <c r="PQ117" s="102"/>
      <c r="PR117" s="102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</row>
    <row r="118" spans="1:539" ht="15" x14ac:dyDescent="0.25">
      <c r="A118" s="30"/>
      <c r="B118" s="1158"/>
      <c r="C118" s="1159"/>
      <c r="D118" s="560"/>
      <c r="E118" s="560"/>
      <c r="F118" s="1159"/>
      <c r="G118" s="640"/>
      <c r="H118" s="1159"/>
      <c r="I118" s="1159"/>
      <c r="J118" s="1159"/>
      <c r="K118" s="1159"/>
      <c r="L118" s="1159"/>
      <c r="M118" s="1159"/>
      <c r="N118" s="1159"/>
      <c r="O118" s="102"/>
      <c r="P118" s="102"/>
      <c r="Q118" s="102"/>
      <c r="R118" s="102"/>
      <c r="T118" s="1186"/>
      <c r="U118" s="20"/>
      <c r="V118" s="20"/>
      <c r="W118" s="20"/>
      <c r="X118" s="42"/>
      <c r="Y118" s="42"/>
      <c r="Z118" s="42"/>
      <c r="AA118" s="42"/>
      <c r="AB118" s="42"/>
      <c r="AC118" s="42"/>
      <c r="AD118" s="42"/>
      <c r="AE118" s="42"/>
      <c r="AF118" s="42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IQ118" s="102"/>
      <c r="IR118" s="102"/>
      <c r="IS118" s="102"/>
      <c r="IT118" s="102"/>
      <c r="IU118" s="102"/>
      <c r="IV118" s="102"/>
      <c r="IW118" s="102"/>
      <c r="IX118" s="102"/>
      <c r="JI118" s="102"/>
      <c r="JJ118" s="102"/>
      <c r="JK118" s="102"/>
      <c r="JL118" s="102"/>
      <c r="JM118" s="102"/>
      <c r="JN118" s="102"/>
      <c r="JO118" s="102"/>
      <c r="JP118" s="102"/>
      <c r="JQ118" s="102"/>
      <c r="JR118" s="102"/>
      <c r="JS118" s="102"/>
      <c r="JT118" s="102"/>
      <c r="JU118" s="102"/>
      <c r="OW118" s="102"/>
      <c r="OX118" s="592"/>
      <c r="OY118" s="1206"/>
      <c r="OZ118" s="667"/>
      <c r="PA118" s="846"/>
      <c r="PB118" s="600"/>
      <c r="PC118" s="846"/>
      <c r="PD118" s="846"/>
      <c r="PE118" s="846"/>
      <c r="PF118" s="846"/>
      <c r="PG118" s="846"/>
      <c r="PH118" s="847"/>
      <c r="PI118" s="846"/>
      <c r="PJ118" s="847"/>
      <c r="PK118" s="102"/>
      <c r="PL118" s="102"/>
      <c r="PM118" s="102"/>
      <c r="PN118" s="102"/>
      <c r="PO118" s="102"/>
      <c r="PP118" s="102"/>
      <c r="PQ118" s="102"/>
      <c r="PR118" s="102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</row>
    <row r="119" spans="1:539" ht="15" x14ac:dyDescent="0.25">
      <c r="A119" s="30"/>
      <c r="B119" s="1161"/>
      <c r="C119" s="1159"/>
      <c r="D119" s="1159"/>
      <c r="E119" s="1159"/>
      <c r="F119" s="1159"/>
      <c r="G119" s="641"/>
      <c r="H119" s="1159"/>
      <c r="I119" s="1162"/>
      <c r="J119" s="1159"/>
      <c r="K119" s="1162"/>
      <c r="L119" s="1159"/>
      <c r="M119" s="1162"/>
      <c r="N119" s="1159"/>
      <c r="O119" s="102"/>
      <c r="P119" s="102"/>
      <c r="Q119" s="102"/>
      <c r="R119" s="102"/>
      <c r="T119" s="41"/>
      <c r="U119" s="20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IQ119" s="102"/>
      <c r="IR119" s="102"/>
      <c r="IS119" s="102"/>
      <c r="IT119" s="102"/>
      <c r="IU119" s="102"/>
      <c r="IV119" s="102"/>
      <c r="IW119" s="102"/>
      <c r="IX119" s="102"/>
      <c r="JI119" s="102"/>
      <c r="JJ119" s="102"/>
      <c r="JK119" s="102"/>
      <c r="JL119" s="102"/>
      <c r="JM119" s="102"/>
      <c r="JN119" s="102"/>
      <c r="JO119" s="102"/>
      <c r="JP119" s="102"/>
      <c r="JQ119" s="102"/>
      <c r="JR119" s="102"/>
      <c r="JS119" s="102"/>
      <c r="JT119" s="102"/>
      <c r="JU119" s="102"/>
      <c r="OW119" s="102"/>
      <c r="OX119" s="20"/>
      <c r="OY119" s="20"/>
      <c r="OZ119" s="20"/>
      <c r="PA119" s="20"/>
      <c r="PB119" s="20"/>
      <c r="PC119" s="20"/>
      <c r="PD119" s="20"/>
      <c r="PE119" s="20"/>
      <c r="PF119" s="20"/>
      <c r="PG119" s="20"/>
      <c r="PH119" s="20"/>
      <c r="PI119" s="20"/>
      <c r="PJ119" s="20"/>
      <c r="PK119" s="102"/>
      <c r="PL119" s="102"/>
      <c r="PM119" s="102"/>
      <c r="PN119" s="102"/>
      <c r="PO119" s="102"/>
      <c r="PP119" s="102"/>
      <c r="PQ119" s="102"/>
      <c r="PR119" s="102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</row>
    <row r="120" spans="1:539" ht="15" x14ac:dyDescent="0.25">
      <c r="A120" s="30"/>
      <c r="B120" s="1161"/>
      <c r="C120" s="1159"/>
      <c r="D120" s="917"/>
      <c r="E120" s="917"/>
      <c r="F120" s="1159"/>
      <c r="G120" s="917"/>
      <c r="H120" s="1159"/>
      <c r="I120" s="917"/>
      <c r="J120" s="1159"/>
      <c r="K120" s="917"/>
      <c r="L120" s="1159"/>
      <c r="M120" s="917"/>
      <c r="N120" s="1159"/>
      <c r="O120" s="102"/>
      <c r="P120" s="102"/>
      <c r="Q120" s="102"/>
      <c r="R120" s="102"/>
      <c r="T120" s="20"/>
      <c r="U120" s="20"/>
      <c r="V120" s="573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IQ120" s="102"/>
      <c r="IR120" s="102"/>
      <c r="IS120" s="102"/>
      <c r="IT120" s="102"/>
      <c r="IU120" s="102"/>
      <c r="IV120" s="102"/>
      <c r="IW120" s="102"/>
      <c r="IX120" s="102"/>
      <c r="JI120" s="102"/>
      <c r="JJ120" s="102"/>
      <c r="JK120" s="102"/>
      <c r="JL120" s="102"/>
      <c r="JM120" s="102"/>
      <c r="JN120" s="102"/>
      <c r="JO120" s="102"/>
      <c r="JP120" s="102"/>
      <c r="JQ120" s="102"/>
      <c r="JR120" s="102"/>
      <c r="JS120" s="102"/>
      <c r="JT120" s="102"/>
      <c r="JU120" s="102"/>
      <c r="OW120" s="102"/>
      <c r="OX120" s="689"/>
      <c r="OY120" s="690"/>
      <c r="OZ120" s="78"/>
      <c r="PA120" s="78"/>
      <c r="PB120" s="20"/>
      <c r="PC120" s="20"/>
      <c r="PD120" s="20"/>
      <c r="PE120" s="20"/>
      <c r="PF120" s="20"/>
      <c r="PG120" s="20"/>
      <c r="PH120" s="20"/>
      <c r="PI120" s="20"/>
      <c r="PJ120" s="20"/>
      <c r="PK120" s="102"/>
      <c r="PL120" s="102"/>
      <c r="PM120" s="102"/>
      <c r="PN120" s="102"/>
      <c r="PO120" s="102"/>
      <c r="PP120" s="102"/>
      <c r="PQ120" s="102"/>
      <c r="PR120" s="102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</row>
    <row r="121" spans="1:539" ht="15" x14ac:dyDescent="0.25">
      <c r="A121" s="30"/>
      <c r="B121" s="1163"/>
      <c r="C121" s="1159"/>
      <c r="D121" s="1159"/>
      <c r="E121" s="1159"/>
      <c r="F121" s="1159"/>
      <c r="G121" s="641"/>
      <c r="H121" s="1159"/>
      <c r="I121" s="1162"/>
      <c r="J121" s="1159"/>
      <c r="K121" s="1162"/>
      <c r="L121" s="1159"/>
      <c r="M121" s="1162"/>
      <c r="N121" s="1159"/>
      <c r="O121" s="102"/>
      <c r="P121" s="102"/>
      <c r="Q121" s="102"/>
      <c r="R121" s="102"/>
      <c r="T121" s="41"/>
      <c r="U121" s="41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IQ121" s="102"/>
      <c r="IR121" s="102"/>
      <c r="IS121" s="102"/>
      <c r="IT121" s="102"/>
      <c r="IU121" s="102"/>
      <c r="IV121" s="102"/>
      <c r="IW121" s="102"/>
      <c r="IX121" s="102"/>
      <c r="OW121" s="102"/>
      <c r="OX121" s="1207"/>
      <c r="OY121" s="711"/>
      <c r="OZ121" s="78"/>
      <c r="PA121" s="78"/>
      <c r="PB121" s="20"/>
      <c r="PC121" s="20"/>
      <c r="PD121" s="20"/>
      <c r="PE121" s="20"/>
      <c r="PF121" s="20"/>
      <c r="PG121" s="20"/>
      <c r="PH121" s="20"/>
      <c r="PI121" s="20"/>
      <c r="PJ121" s="20"/>
      <c r="PK121" s="102"/>
      <c r="PL121" s="102"/>
      <c r="PM121" s="102"/>
      <c r="PN121" s="102"/>
      <c r="PO121" s="102"/>
      <c r="PP121" s="102"/>
      <c r="PQ121" s="102"/>
      <c r="PR121" s="102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</row>
    <row r="122" spans="1:539" ht="15" x14ac:dyDescent="0.25">
      <c r="A122" s="30"/>
      <c r="B122" s="1153"/>
      <c r="C122" s="20"/>
      <c r="D122" s="1159"/>
      <c r="E122" s="1159"/>
      <c r="F122" s="1159"/>
      <c r="G122" s="641"/>
      <c r="H122" s="1159"/>
      <c r="I122" s="1162"/>
      <c r="J122" s="1159"/>
      <c r="K122" s="1162"/>
      <c r="L122" s="1159"/>
      <c r="M122" s="1162"/>
      <c r="N122" s="1159"/>
      <c r="O122" s="102"/>
      <c r="P122" s="102"/>
      <c r="Q122" s="102"/>
      <c r="R122" s="102"/>
      <c r="T122" s="41"/>
      <c r="U122" s="89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IQ122" s="102"/>
      <c r="IR122" s="102"/>
      <c r="IS122" s="102"/>
      <c r="IT122" s="102"/>
      <c r="IU122" s="102"/>
      <c r="IV122" s="102"/>
      <c r="IW122" s="102"/>
      <c r="IX122" s="102"/>
      <c r="OW122" s="102"/>
      <c r="OX122" s="1207"/>
      <c r="OY122" s="711"/>
      <c r="OZ122" s="78"/>
      <c r="PA122" s="78"/>
      <c r="PB122" s="20"/>
      <c r="PC122" s="20"/>
      <c r="PD122" s="20"/>
      <c r="PE122" s="20"/>
      <c r="PF122" s="20"/>
      <c r="PG122" s="20"/>
      <c r="PH122" s="20"/>
      <c r="PI122" s="20"/>
      <c r="PJ122" s="20"/>
      <c r="PK122" s="102"/>
      <c r="PL122" s="102"/>
      <c r="PM122" s="102"/>
      <c r="PN122" s="102"/>
      <c r="PO122" s="102"/>
      <c r="PP122" s="102"/>
      <c r="PQ122" s="102"/>
      <c r="PR122" s="102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</row>
    <row r="123" spans="1:539" ht="15" x14ac:dyDescent="0.25">
      <c r="A123" s="30"/>
      <c r="B123" s="1163"/>
      <c r="C123" s="1164"/>
      <c r="D123" s="1159"/>
      <c r="E123" s="1159"/>
      <c r="F123" s="1159"/>
      <c r="G123" s="641"/>
      <c r="H123" s="1159"/>
      <c r="I123" s="1162"/>
      <c r="J123" s="1159"/>
      <c r="K123" s="1162"/>
      <c r="L123" s="1159"/>
      <c r="M123" s="1162"/>
      <c r="N123" s="1159"/>
      <c r="O123" s="102"/>
      <c r="P123" s="102"/>
      <c r="Q123" s="102"/>
      <c r="R123" s="102"/>
      <c r="T123" s="41"/>
      <c r="U123" s="4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IQ123" s="102"/>
      <c r="IR123" s="102"/>
      <c r="IS123" s="102"/>
      <c r="IT123" s="102"/>
      <c r="IU123" s="102"/>
      <c r="IV123" s="102"/>
      <c r="IW123" s="102"/>
      <c r="IX123" s="102"/>
      <c r="OW123" s="102"/>
      <c r="OX123" s="1207"/>
      <c r="OY123" s="711"/>
      <c r="OZ123" s="78"/>
      <c r="PA123" s="78"/>
      <c r="PB123" s="20"/>
      <c r="PC123" s="20"/>
      <c r="PD123" s="20"/>
      <c r="PE123" s="20"/>
      <c r="PF123" s="20"/>
      <c r="PG123" s="20"/>
      <c r="PH123" s="20"/>
      <c r="PI123" s="20"/>
      <c r="PJ123" s="20"/>
      <c r="PK123" s="102"/>
      <c r="PL123" s="102"/>
      <c r="PM123" s="102"/>
      <c r="PN123" s="102"/>
      <c r="PO123" s="102"/>
      <c r="PP123" s="102"/>
      <c r="PQ123" s="102"/>
      <c r="PR123" s="102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</row>
    <row r="124" spans="1:539" ht="15" x14ac:dyDescent="0.25">
      <c r="A124" s="30"/>
      <c r="B124" s="1165"/>
      <c r="C124" s="1166"/>
      <c r="D124" s="875"/>
      <c r="E124" s="875"/>
      <c r="F124" s="875"/>
      <c r="G124" s="875"/>
      <c r="H124" s="875"/>
      <c r="I124" s="875"/>
      <c r="J124" s="875"/>
      <c r="K124" s="875"/>
      <c r="L124" s="875"/>
      <c r="M124" s="875"/>
      <c r="N124" s="875"/>
      <c r="O124" s="102"/>
      <c r="P124" s="102"/>
      <c r="Q124" s="102"/>
      <c r="R124" s="102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IQ124" s="102"/>
      <c r="IR124" s="102"/>
      <c r="IS124" s="102"/>
      <c r="IT124" s="102"/>
      <c r="IU124" s="102"/>
      <c r="IV124" s="102"/>
      <c r="IW124" s="102"/>
      <c r="IX124" s="102"/>
      <c r="OW124" s="102"/>
      <c r="OX124" s="690"/>
      <c r="OY124" s="749"/>
      <c r="OZ124" s="78"/>
      <c r="PA124" s="78"/>
      <c r="PB124" s="20"/>
      <c r="PC124" s="20"/>
      <c r="PD124" s="20"/>
      <c r="PE124" s="20"/>
      <c r="PF124" s="20"/>
      <c r="PG124" s="20"/>
      <c r="PH124" s="20"/>
      <c r="PI124" s="20"/>
      <c r="PJ124" s="20"/>
      <c r="PK124" s="102"/>
      <c r="PL124" s="102"/>
      <c r="PM124" s="102"/>
      <c r="PN124" s="102"/>
      <c r="PO124" s="102"/>
      <c r="PP124" s="102"/>
      <c r="PQ124" s="102"/>
      <c r="PR124" s="102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</row>
    <row r="125" spans="1:539" ht="15" x14ac:dyDescent="0.25">
      <c r="A125" s="30"/>
      <c r="B125" s="1165"/>
      <c r="C125" s="1024"/>
      <c r="D125" s="1167"/>
      <c r="E125" s="1167"/>
      <c r="F125" s="1167"/>
      <c r="G125" s="1167"/>
      <c r="H125" s="1167"/>
      <c r="I125" s="1167"/>
      <c r="J125" s="1167"/>
      <c r="K125" s="1167"/>
      <c r="L125" s="1167"/>
      <c r="M125" s="1167"/>
      <c r="N125" s="1168"/>
      <c r="O125" s="102"/>
      <c r="P125" s="102"/>
      <c r="Q125" s="102"/>
      <c r="R125" s="102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IQ125" s="102"/>
      <c r="IR125" s="102"/>
      <c r="IS125" s="102"/>
      <c r="IT125" s="102"/>
      <c r="IU125" s="102"/>
      <c r="IV125" s="102"/>
      <c r="IW125" s="102"/>
      <c r="IX125" s="102"/>
      <c r="OW125" s="102"/>
      <c r="OX125" s="20"/>
      <c r="OY125" s="20"/>
      <c r="OZ125" s="20"/>
      <c r="PA125" s="20"/>
      <c r="PB125" s="20"/>
      <c r="PC125" s="20"/>
      <c r="PD125" s="20"/>
      <c r="PE125" s="20"/>
      <c r="PF125" s="20"/>
      <c r="PG125" s="20"/>
      <c r="PH125" s="20"/>
      <c r="PI125" s="20"/>
      <c r="PJ125" s="20"/>
      <c r="PK125" s="102"/>
      <c r="PL125" s="102"/>
      <c r="PM125" s="102"/>
      <c r="PN125" s="102"/>
      <c r="PO125" s="102"/>
      <c r="PP125" s="102"/>
      <c r="PQ125" s="102"/>
      <c r="PR125" s="102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</row>
    <row r="126" spans="1:539" ht="15" x14ac:dyDescent="0.25">
      <c r="A126" s="30"/>
      <c r="B126" s="515"/>
      <c r="C126" s="1024"/>
      <c r="D126" s="619"/>
      <c r="E126" s="641"/>
      <c r="F126" s="641"/>
      <c r="G126" s="641"/>
      <c r="H126" s="880"/>
      <c r="I126" s="641"/>
      <c r="J126" s="1024"/>
      <c r="K126" s="641"/>
      <c r="L126" s="1024"/>
      <c r="M126" s="641"/>
      <c r="N126" s="1024"/>
      <c r="O126" s="102"/>
      <c r="P126" s="102"/>
      <c r="Q126" s="102"/>
      <c r="R126" s="102"/>
      <c r="T126" s="20"/>
      <c r="U126" s="20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IQ126" s="102"/>
      <c r="IR126" s="102"/>
      <c r="IS126" s="102"/>
      <c r="IT126" s="102"/>
      <c r="IU126" s="102"/>
      <c r="IV126" s="102"/>
      <c r="IW126" s="102"/>
      <c r="IX126" s="102"/>
      <c r="OW126" s="102"/>
      <c r="OX126" s="1054"/>
      <c r="OY126" s="20"/>
      <c r="OZ126" s="20"/>
      <c r="PA126" s="20"/>
      <c r="PB126" s="20"/>
      <c r="PC126" s="20"/>
      <c r="PD126" s="20"/>
      <c r="PE126" s="20"/>
      <c r="PF126" s="20"/>
      <c r="PG126" s="20"/>
      <c r="PH126" s="20"/>
      <c r="PI126" s="20"/>
      <c r="PJ126" s="20"/>
      <c r="PK126" s="102"/>
      <c r="PL126" s="102"/>
      <c r="PM126" s="102"/>
      <c r="PN126" s="102"/>
      <c r="PO126" s="102"/>
      <c r="PP126" s="102"/>
      <c r="PQ126" s="102"/>
      <c r="PR126" s="102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</row>
    <row r="127" spans="1:539" ht="15" x14ac:dyDescent="0.25">
      <c r="A127" s="30"/>
      <c r="B127" s="1169"/>
      <c r="C127" s="72"/>
      <c r="D127" s="1170"/>
      <c r="E127" s="884"/>
      <c r="F127" s="1159"/>
      <c r="G127" s="884"/>
      <c r="H127" s="1159"/>
      <c r="I127" s="884"/>
      <c r="J127" s="1159"/>
      <c r="K127" s="884"/>
      <c r="L127" s="1159"/>
      <c r="M127" s="884"/>
      <c r="N127" s="1159"/>
      <c r="O127" s="102"/>
      <c r="P127" s="102"/>
      <c r="Q127" s="102"/>
      <c r="R127" s="102"/>
      <c r="T127" s="20"/>
      <c r="U127" s="20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IQ127" s="102"/>
      <c r="IR127" s="102"/>
      <c r="IS127" s="102"/>
      <c r="IT127" s="102"/>
      <c r="IU127" s="102"/>
      <c r="IV127" s="102"/>
      <c r="IW127" s="102"/>
      <c r="IX127" s="102"/>
      <c r="OW127" s="102"/>
      <c r="OX127" s="592"/>
      <c r="OY127" s="592"/>
      <c r="OZ127" s="63"/>
      <c r="PA127" s="846"/>
      <c r="PB127" s="63"/>
      <c r="PC127" s="846"/>
      <c r="PD127" s="846"/>
      <c r="PE127" s="846"/>
      <c r="PF127" s="846"/>
      <c r="PG127" s="846"/>
      <c r="PH127" s="847"/>
      <c r="PI127" s="846"/>
      <c r="PJ127" s="847"/>
      <c r="PK127" s="102"/>
      <c r="PL127" s="102"/>
      <c r="PM127" s="102"/>
      <c r="PN127" s="102"/>
      <c r="PO127" s="102"/>
      <c r="PP127" s="102"/>
      <c r="PQ127" s="102"/>
      <c r="PR127" s="102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</row>
    <row r="128" spans="1:539" ht="15" x14ac:dyDescent="0.25">
      <c r="A128" s="30"/>
      <c r="B128" s="1169"/>
      <c r="C128" s="20"/>
      <c r="D128" s="42"/>
      <c r="E128" s="633"/>
      <c r="F128" s="1159"/>
      <c r="G128" s="633"/>
      <c r="H128" s="1159"/>
      <c r="I128" s="633"/>
      <c r="J128" s="1159"/>
      <c r="K128" s="633"/>
      <c r="L128" s="1159"/>
      <c r="M128" s="633"/>
      <c r="N128" s="1159"/>
      <c r="O128" s="102"/>
      <c r="P128" s="102"/>
      <c r="Q128" s="102"/>
      <c r="R128" s="102"/>
      <c r="T128" s="20"/>
      <c r="U128" s="20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IQ128" s="102"/>
      <c r="IR128" s="102"/>
      <c r="IS128" s="102"/>
      <c r="IT128" s="102"/>
      <c r="IU128" s="102"/>
      <c r="IV128" s="102"/>
      <c r="IW128" s="102"/>
      <c r="IX128" s="102"/>
      <c r="OW128" s="102"/>
      <c r="OX128" s="881"/>
      <c r="OY128" s="881"/>
      <c r="OZ128" s="667"/>
      <c r="PA128" s="667"/>
      <c r="PB128" s="667"/>
      <c r="PC128" s="667"/>
      <c r="PD128" s="667"/>
      <c r="PE128" s="667"/>
      <c r="PF128" s="667"/>
      <c r="PG128" s="667"/>
      <c r="PH128" s="667"/>
      <c r="PI128" s="667"/>
      <c r="PJ128" s="667"/>
      <c r="PK128" s="102"/>
      <c r="PL128" s="102"/>
      <c r="PM128" s="102"/>
      <c r="PN128" s="102"/>
      <c r="PO128" s="102"/>
      <c r="PP128" s="102"/>
      <c r="PQ128" s="102"/>
      <c r="PR128" s="102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</row>
    <row r="129" spans="1:539" ht="15" x14ac:dyDescent="0.25">
      <c r="A129" s="30"/>
      <c r="B129" s="1171"/>
      <c r="C129" s="20"/>
      <c r="D129" s="42"/>
      <c r="E129" s="633"/>
      <c r="F129" s="1159"/>
      <c r="G129" s="633"/>
      <c r="H129" s="1159"/>
      <c r="I129" s="633"/>
      <c r="J129" s="1159"/>
      <c r="K129" s="633"/>
      <c r="L129" s="1159"/>
      <c r="M129" s="633"/>
      <c r="N129" s="1159"/>
      <c r="O129" s="102"/>
      <c r="P129" s="102"/>
      <c r="Q129" s="102"/>
      <c r="R129" s="102"/>
      <c r="T129" s="20"/>
      <c r="U129" s="20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IQ129" s="102"/>
      <c r="IR129" s="102"/>
      <c r="IS129" s="102"/>
      <c r="IT129" s="102"/>
      <c r="IU129" s="102"/>
      <c r="IV129" s="102"/>
      <c r="IW129" s="102"/>
      <c r="IX129" s="102"/>
      <c r="OW129" s="102"/>
      <c r="OX129" s="881"/>
      <c r="OY129" s="881"/>
      <c r="OZ129" s="63"/>
      <c r="PA129" s="63"/>
      <c r="PB129" s="63"/>
      <c r="PC129" s="846"/>
      <c r="PD129" s="846"/>
      <c r="PE129" s="846"/>
      <c r="PF129" s="846"/>
      <c r="PG129" s="847"/>
      <c r="PH129" s="847"/>
      <c r="PI129" s="847"/>
      <c r="PJ129" s="847"/>
      <c r="PK129" s="102"/>
      <c r="PL129" s="102"/>
      <c r="PM129" s="102"/>
      <c r="PN129" s="102"/>
      <c r="PO129" s="102"/>
      <c r="PP129" s="102"/>
      <c r="PQ129" s="102"/>
      <c r="PR129" s="102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</row>
    <row r="130" spans="1:539" ht="15" x14ac:dyDescent="0.25">
      <c r="A130" s="30"/>
      <c r="B130" s="1171"/>
      <c r="C130" s="20"/>
      <c r="D130" s="42"/>
      <c r="E130" s="633"/>
      <c r="F130" s="1159"/>
      <c r="G130" s="633"/>
      <c r="H130" s="1159"/>
      <c r="I130" s="633"/>
      <c r="J130" s="1159"/>
      <c r="K130" s="633"/>
      <c r="L130" s="1159"/>
      <c r="M130" s="633"/>
      <c r="N130" s="1159"/>
      <c r="O130" s="102"/>
      <c r="P130" s="102"/>
      <c r="Q130" s="102"/>
      <c r="R130" s="102"/>
      <c r="T130" s="20"/>
      <c r="U130" s="20"/>
      <c r="V130" s="899"/>
      <c r="W130" s="899"/>
      <c r="X130" s="899"/>
      <c r="Y130" s="899"/>
      <c r="Z130" s="899"/>
      <c r="AA130" s="899"/>
      <c r="AB130" s="899"/>
      <c r="AC130" s="899"/>
      <c r="AD130" s="899"/>
      <c r="AE130" s="899"/>
      <c r="AF130" s="899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IQ130" s="102"/>
      <c r="IR130" s="102"/>
      <c r="IS130" s="102"/>
      <c r="IT130" s="102"/>
      <c r="IU130" s="102"/>
      <c r="IV130" s="102"/>
      <c r="IW130" s="102"/>
      <c r="IX130" s="102"/>
      <c r="OW130" s="102"/>
      <c r="OX130" s="20"/>
      <c r="OY130" s="20"/>
      <c r="OZ130" s="667"/>
      <c r="PA130" s="667"/>
      <c r="PB130" s="667"/>
      <c r="PC130" s="667"/>
      <c r="PD130" s="667"/>
      <c r="PE130" s="667"/>
      <c r="PF130" s="667"/>
      <c r="PG130" s="667"/>
      <c r="PH130" s="667"/>
      <c r="PI130" s="667"/>
      <c r="PJ130" s="667"/>
      <c r="PK130" s="102"/>
      <c r="PL130" s="102"/>
      <c r="PM130" s="102"/>
      <c r="PN130" s="102"/>
      <c r="PO130" s="102"/>
      <c r="PP130" s="102"/>
      <c r="PQ130" s="102"/>
      <c r="PR130" s="102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</row>
    <row r="131" spans="1:539" ht="15" x14ac:dyDescent="0.25">
      <c r="A131" s="30"/>
      <c r="B131" s="1171"/>
      <c r="C131" s="547"/>
      <c r="D131" s="560"/>
      <c r="E131" s="880"/>
      <c r="F131" s="1159"/>
      <c r="G131" s="880"/>
      <c r="H131" s="1159"/>
      <c r="I131" s="880"/>
      <c r="J131" s="1159"/>
      <c r="K131" s="880"/>
      <c r="L131" s="1159"/>
      <c r="M131" s="880"/>
      <c r="N131" s="1159"/>
      <c r="O131" s="102"/>
      <c r="P131" s="102"/>
      <c r="Q131" s="102"/>
      <c r="R131" s="102"/>
      <c r="T131" s="694"/>
      <c r="U131" s="20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IQ131" s="102"/>
      <c r="IR131" s="102"/>
      <c r="IS131" s="102"/>
      <c r="IT131" s="102"/>
      <c r="IU131" s="102"/>
      <c r="IV131" s="102"/>
      <c r="IW131" s="102"/>
      <c r="IX131" s="102"/>
      <c r="OX131" s="20"/>
      <c r="OY131" s="20"/>
      <c r="OZ131" s="63"/>
      <c r="PA131" s="63"/>
      <c r="PB131" s="63"/>
      <c r="PC131" s="846"/>
      <c r="PD131" s="846"/>
      <c r="PE131" s="846"/>
      <c r="PF131" s="846"/>
      <c r="PG131" s="847"/>
      <c r="PH131" s="847"/>
      <c r="PI131" s="847"/>
      <c r="PJ131" s="847"/>
      <c r="PO131" s="102"/>
      <c r="PP131" s="102"/>
      <c r="PQ131" s="102"/>
      <c r="PR131" s="102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</row>
    <row r="132" spans="1:539" ht="15" x14ac:dyDescent="0.25">
      <c r="A132" s="514"/>
      <c r="B132" s="1153"/>
      <c r="C132" s="547"/>
      <c r="D132" s="560"/>
      <c r="E132" s="560"/>
      <c r="F132" s="1159"/>
      <c r="G132" s="880"/>
      <c r="H132" s="1159"/>
      <c r="I132" s="880"/>
      <c r="J132" s="1159"/>
      <c r="K132" s="880"/>
      <c r="L132" s="1159"/>
      <c r="M132" s="880"/>
      <c r="N132" s="1159"/>
      <c r="O132" s="102"/>
      <c r="P132" s="102"/>
      <c r="Q132" s="102"/>
      <c r="R132" s="102"/>
      <c r="T132" s="1024"/>
      <c r="U132" s="20"/>
      <c r="V132" s="901"/>
      <c r="W132" s="901"/>
      <c r="X132" s="901"/>
      <c r="Y132" s="901"/>
      <c r="Z132" s="901"/>
      <c r="AA132" s="901"/>
      <c r="AB132" s="901"/>
      <c r="AC132" s="901"/>
      <c r="AD132" s="901"/>
      <c r="AE132" s="901"/>
      <c r="AF132" s="901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IQ132" s="102"/>
      <c r="IR132" s="102"/>
      <c r="IS132" s="102"/>
      <c r="IT132" s="102"/>
      <c r="IU132" s="102"/>
      <c r="IV132" s="102"/>
      <c r="IW132" s="102"/>
      <c r="IX132" s="102"/>
      <c r="OX132" s="20"/>
      <c r="OY132" s="610"/>
      <c r="OZ132" s="700"/>
      <c r="PA132" s="700"/>
      <c r="PB132" s="700"/>
      <c r="PC132" s="700"/>
      <c r="PD132" s="700"/>
      <c r="PE132" s="700"/>
      <c r="PF132" s="700"/>
      <c r="PG132" s="700"/>
      <c r="PH132" s="700"/>
      <c r="PI132" s="700"/>
      <c r="PJ132" s="700"/>
      <c r="PO132" s="102"/>
      <c r="PP132" s="102"/>
      <c r="PQ132" s="102"/>
      <c r="PR132" s="102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</row>
    <row r="133" spans="1:539" x14ac:dyDescent="0.2">
      <c r="A133" s="30"/>
      <c r="B133" s="1171"/>
      <c r="C133" s="547"/>
      <c r="D133" s="560"/>
      <c r="E133" s="880"/>
      <c r="F133" s="1159"/>
      <c r="G133" s="880"/>
      <c r="H133" s="1159"/>
      <c r="I133" s="880"/>
      <c r="J133" s="1159"/>
      <c r="K133" s="880"/>
      <c r="L133" s="1159"/>
      <c r="M133" s="880"/>
      <c r="N133" s="1159"/>
      <c r="O133" s="102"/>
      <c r="P133" s="102"/>
      <c r="Q133" s="102"/>
      <c r="R133" s="102"/>
      <c r="T133" s="842"/>
      <c r="U133" s="20"/>
      <c r="V133" s="904"/>
      <c r="W133" s="904"/>
      <c r="X133" s="904"/>
      <c r="Y133" s="904"/>
      <c r="Z133" s="904"/>
      <c r="AA133" s="904"/>
      <c r="AB133" s="904"/>
      <c r="AC133" s="904"/>
      <c r="AD133" s="904"/>
      <c r="AE133" s="904"/>
      <c r="AF133" s="904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IQ133" s="102"/>
      <c r="IR133" s="102"/>
      <c r="IS133" s="102"/>
      <c r="IT133" s="102"/>
      <c r="IU133" s="102"/>
      <c r="IV133" s="102"/>
      <c r="IW133" s="102"/>
      <c r="IX133" s="102"/>
      <c r="OX133" s="20"/>
      <c r="OY133" s="20"/>
      <c r="OZ133" s="667"/>
      <c r="PA133" s="667"/>
      <c r="PB133" s="667"/>
      <c r="PC133" s="667"/>
      <c r="PD133" s="667"/>
      <c r="PE133" s="667"/>
      <c r="PF133" s="667"/>
      <c r="PG133" s="667"/>
      <c r="PH133" s="667"/>
      <c r="PI133" s="667"/>
      <c r="PJ133" s="667"/>
      <c r="PO133" s="102"/>
      <c r="PP133" s="102"/>
      <c r="PQ133" s="102"/>
      <c r="PR133" s="102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</row>
    <row r="134" spans="1:539" x14ac:dyDescent="0.2">
      <c r="A134" s="30"/>
      <c r="B134" s="1171"/>
      <c r="C134" s="547"/>
      <c r="D134" s="560"/>
      <c r="E134" s="880"/>
      <c r="F134" s="1159"/>
      <c r="G134" s="880"/>
      <c r="H134" s="1159"/>
      <c r="I134" s="880"/>
      <c r="J134" s="1159"/>
      <c r="K134" s="1159"/>
      <c r="L134" s="1159"/>
      <c r="M134" s="1159"/>
      <c r="N134" s="1159"/>
      <c r="O134" s="102"/>
      <c r="P134" s="102"/>
      <c r="Q134" s="102"/>
      <c r="R134" s="102"/>
      <c r="T134" s="694"/>
      <c r="U134" s="20"/>
      <c r="V134" s="901"/>
      <c r="W134" s="901"/>
      <c r="X134" s="901"/>
      <c r="Y134" s="901"/>
      <c r="Z134" s="901"/>
      <c r="AA134" s="901"/>
      <c r="AB134" s="901"/>
      <c r="AC134" s="901"/>
      <c r="AD134" s="901"/>
      <c r="AE134" s="901"/>
      <c r="AF134" s="901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IQ134" s="102"/>
      <c r="IR134" s="102"/>
      <c r="IS134" s="102"/>
      <c r="IT134" s="102"/>
      <c r="IU134" s="102"/>
      <c r="IV134" s="102"/>
      <c r="IW134" s="102"/>
      <c r="IX134" s="102"/>
      <c r="OX134" s="20"/>
      <c r="OY134" s="20"/>
      <c r="OZ134" s="20"/>
      <c r="PA134" s="20"/>
      <c r="PB134" s="20"/>
      <c r="PC134" s="20"/>
      <c r="PD134" s="20"/>
      <c r="PE134" s="20"/>
      <c r="PF134" s="20"/>
      <c r="PG134" s="20"/>
      <c r="PH134" s="20"/>
      <c r="PI134" s="20"/>
      <c r="PJ134" s="20"/>
      <c r="PO134" s="102"/>
      <c r="PP134" s="102"/>
      <c r="PQ134" s="102"/>
      <c r="PR134" s="102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</row>
    <row r="135" spans="1:539" x14ac:dyDescent="0.2">
      <c r="A135" s="30"/>
      <c r="B135" s="1171"/>
      <c r="C135" s="20"/>
      <c r="D135" s="560"/>
      <c r="E135" s="880"/>
      <c r="F135" s="1159"/>
      <c r="G135" s="880"/>
      <c r="H135" s="1159"/>
      <c r="I135" s="880"/>
      <c r="J135" s="1159"/>
      <c r="K135" s="880"/>
      <c r="L135" s="1159"/>
      <c r="M135" s="880"/>
      <c r="N135" s="1159"/>
      <c r="O135" s="102"/>
      <c r="P135" s="102"/>
      <c r="Q135" s="102"/>
      <c r="R135" s="102"/>
      <c r="T135" s="694"/>
      <c r="U135" s="20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IQ135" s="102"/>
      <c r="IR135" s="102"/>
      <c r="IS135" s="102"/>
      <c r="IT135" s="102"/>
      <c r="IU135" s="102"/>
      <c r="IV135" s="102"/>
      <c r="IW135" s="102"/>
      <c r="IX135" s="102"/>
      <c r="OX135" s="20"/>
      <c r="OY135" s="20"/>
      <c r="OZ135" s="20"/>
      <c r="PA135" s="20"/>
      <c r="PB135" s="20"/>
      <c r="PC135" s="20"/>
      <c r="PD135" s="20"/>
      <c r="PE135" s="20"/>
      <c r="PF135" s="20"/>
      <c r="PG135" s="20"/>
      <c r="PH135" s="20"/>
      <c r="PI135" s="20"/>
      <c r="PJ135" s="20"/>
      <c r="PO135" s="102"/>
      <c r="PP135" s="102"/>
      <c r="PQ135" s="102"/>
      <c r="PR135" s="102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</row>
    <row r="136" spans="1:539" x14ac:dyDescent="0.2">
      <c r="A136" s="30"/>
      <c r="B136" s="1153"/>
      <c r="C136" s="20"/>
      <c r="D136" s="560"/>
      <c r="E136" s="880"/>
      <c r="F136" s="1159"/>
      <c r="G136" s="880"/>
      <c r="H136" s="1159"/>
      <c r="I136" s="880"/>
      <c r="J136" s="1159"/>
      <c r="K136" s="880"/>
      <c r="L136" s="1159"/>
      <c r="M136" s="880"/>
      <c r="N136" s="1159"/>
      <c r="O136" s="102"/>
      <c r="P136" s="102"/>
      <c r="Q136" s="102"/>
      <c r="R136" s="102"/>
      <c r="T136" s="694"/>
      <c r="U136" s="20"/>
      <c r="V136" s="901"/>
      <c r="W136" s="901"/>
      <c r="X136" s="901"/>
      <c r="Y136" s="901"/>
      <c r="Z136" s="901"/>
      <c r="AA136" s="901"/>
      <c r="AB136" s="901"/>
      <c r="AC136" s="901"/>
      <c r="AD136" s="901"/>
      <c r="AE136" s="901"/>
      <c r="AF136" s="901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IQ136" s="102"/>
      <c r="IR136" s="102"/>
      <c r="IS136" s="102"/>
      <c r="IT136" s="102"/>
      <c r="IU136" s="102"/>
      <c r="IV136" s="102"/>
      <c r="IW136" s="102"/>
      <c r="IX136" s="102"/>
      <c r="OX136" s="20"/>
      <c r="OY136" s="20"/>
      <c r="OZ136" s="20"/>
      <c r="PA136" s="20"/>
      <c r="PB136" s="20"/>
      <c r="PC136" s="20"/>
      <c r="PD136" s="20"/>
      <c r="PE136" s="20"/>
      <c r="PF136" s="20"/>
      <c r="PG136" s="20"/>
      <c r="PH136" s="20"/>
      <c r="PI136" s="20"/>
      <c r="PJ136" s="20"/>
      <c r="PO136" s="102"/>
      <c r="PP136" s="102"/>
      <c r="PQ136" s="102"/>
      <c r="PR136" s="102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</row>
    <row r="137" spans="1:539" x14ac:dyDescent="0.2">
      <c r="A137" s="30"/>
      <c r="B137" s="1153"/>
      <c r="C137" s="20"/>
      <c r="D137" s="560"/>
      <c r="E137" s="880"/>
      <c r="F137" s="1159"/>
      <c r="G137" s="880"/>
      <c r="H137" s="1159"/>
      <c r="I137" s="880"/>
      <c r="J137" s="1159"/>
      <c r="K137" s="880"/>
      <c r="L137" s="1159"/>
      <c r="M137" s="880"/>
      <c r="N137" s="1159"/>
      <c r="O137" s="102"/>
      <c r="P137" s="102"/>
      <c r="Q137" s="102"/>
      <c r="R137" s="102"/>
      <c r="T137" s="694"/>
      <c r="U137" s="20"/>
      <c r="V137" s="901"/>
      <c r="W137" s="901"/>
      <c r="X137" s="901"/>
      <c r="Y137" s="901"/>
      <c r="Z137" s="901"/>
      <c r="AA137" s="901"/>
      <c r="AB137" s="901"/>
      <c r="AC137" s="901"/>
      <c r="AD137" s="901"/>
      <c r="AE137" s="901"/>
      <c r="AF137" s="901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IQ137" s="102"/>
      <c r="IR137" s="102"/>
      <c r="IS137" s="102"/>
      <c r="IT137" s="102"/>
      <c r="IU137" s="102"/>
      <c r="IV137" s="102"/>
      <c r="IW137" s="102"/>
      <c r="IX137" s="102"/>
      <c r="OX137" s="20"/>
      <c r="OY137" s="20"/>
      <c r="OZ137" s="20"/>
      <c r="PA137" s="20"/>
      <c r="PB137" s="20"/>
      <c r="PC137" s="20"/>
      <c r="PD137" s="20"/>
      <c r="PE137" s="20"/>
      <c r="PF137" s="20"/>
      <c r="PG137" s="20"/>
      <c r="PH137" s="20"/>
      <c r="PI137" s="20"/>
      <c r="PJ137" s="20"/>
      <c r="PO137" s="102"/>
      <c r="PP137" s="102"/>
      <c r="PQ137" s="102"/>
      <c r="PR137" s="102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</row>
    <row r="138" spans="1:539" x14ac:dyDescent="0.2">
      <c r="A138" s="30"/>
      <c r="B138" s="1153"/>
      <c r="C138" s="20"/>
      <c r="D138" s="560"/>
      <c r="E138" s="880"/>
      <c r="F138" s="1159"/>
      <c r="G138" s="880"/>
      <c r="H138" s="1159"/>
      <c r="I138" s="880"/>
      <c r="J138" s="1159"/>
      <c r="K138" s="880"/>
      <c r="L138" s="1159"/>
      <c r="M138" s="880"/>
      <c r="N138" s="1159"/>
      <c r="O138" s="102"/>
      <c r="P138" s="102"/>
      <c r="Q138" s="102"/>
      <c r="R138" s="102"/>
      <c r="T138" s="694"/>
      <c r="U138" s="20"/>
      <c r="V138" s="901"/>
      <c r="W138" s="901"/>
      <c r="X138" s="901"/>
      <c r="Y138" s="901"/>
      <c r="Z138" s="901"/>
      <c r="AA138" s="901"/>
      <c r="AB138" s="901"/>
      <c r="AC138" s="901"/>
      <c r="AD138" s="901"/>
      <c r="AE138" s="901"/>
      <c r="AF138" s="901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IQ138" s="102"/>
      <c r="IR138" s="102"/>
      <c r="IS138" s="102"/>
      <c r="IT138" s="102"/>
      <c r="IU138" s="102"/>
      <c r="IV138" s="102"/>
      <c r="IW138" s="102"/>
      <c r="IX138" s="102"/>
      <c r="OX138" s="20"/>
      <c r="OY138" s="20"/>
      <c r="OZ138" s="20"/>
      <c r="PA138" s="20"/>
      <c r="PB138" s="20"/>
      <c r="PC138" s="20"/>
      <c r="PD138" s="20"/>
      <c r="PE138" s="20"/>
      <c r="PF138" s="20"/>
      <c r="PG138" s="20"/>
      <c r="PH138" s="20"/>
      <c r="PI138" s="20"/>
      <c r="PJ138" s="20"/>
      <c r="PO138" s="102"/>
      <c r="PP138" s="102"/>
      <c r="PQ138" s="102"/>
      <c r="PR138" s="102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</row>
    <row r="139" spans="1:539" x14ac:dyDescent="0.2">
      <c r="A139" s="514"/>
      <c r="B139" s="1153"/>
      <c r="C139" s="20"/>
      <c r="D139" s="560"/>
      <c r="E139" s="880"/>
      <c r="F139" s="1159"/>
      <c r="G139" s="880"/>
      <c r="H139" s="1159"/>
      <c r="I139" s="880"/>
      <c r="J139" s="1159"/>
      <c r="K139" s="880"/>
      <c r="L139" s="1159"/>
      <c r="M139" s="880"/>
      <c r="N139" s="1159"/>
      <c r="O139" s="102"/>
      <c r="P139" s="102"/>
      <c r="Q139" s="102"/>
      <c r="R139" s="102"/>
      <c r="T139" s="694"/>
      <c r="U139" s="20"/>
      <c r="V139" s="901"/>
      <c r="W139" s="901"/>
      <c r="X139" s="901"/>
      <c r="Y139" s="901"/>
      <c r="Z139" s="901"/>
      <c r="AA139" s="901"/>
      <c r="AB139" s="901"/>
      <c r="AC139" s="901"/>
      <c r="AD139" s="901"/>
      <c r="AE139" s="901"/>
      <c r="AF139" s="901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IQ139" s="102"/>
      <c r="IR139" s="102"/>
      <c r="IS139" s="102"/>
      <c r="IT139" s="102"/>
      <c r="IU139" s="102"/>
      <c r="IV139" s="102"/>
      <c r="IW139" s="102"/>
      <c r="IX139" s="102"/>
      <c r="OX139" s="20"/>
      <c r="OY139" s="20"/>
      <c r="OZ139" s="20"/>
      <c r="PA139" s="20"/>
      <c r="PB139" s="20"/>
      <c r="PC139" s="20"/>
      <c r="PD139" s="20"/>
      <c r="PE139" s="20"/>
      <c r="PF139" s="20"/>
      <c r="PG139" s="20"/>
      <c r="PH139" s="20"/>
      <c r="PI139" s="20"/>
      <c r="PJ139" s="20"/>
      <c r="PO139" s="102"/>
      <c r="PP139" s="102"/>
      <c r="PQ139" s="102"/>
      <c r="PR139" s="102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</row>
    <row r="140" spans="1:539" x14ac:dyDescent="0.2">
      <c r="A140" s="30"/>
      <c r="B140" s="1152"/>
      <c r="C140" s="547"/>
      <c r="D140" s="619"/>
      <c r="E140" s="641"/>
      <c r="F140" s="641"/>
      <c r="G140" s="641"/>
      <c r="H140" s="641"/>
      <c r="I140" s="641"/>
      <c r="J140" s="641"/>
      <c r="K140" s="641"/>
      <c r="L140" s="641"/>
      <c r="M140" s="641"/>
      <c r="N140" s="641"/>
      <c r="O140" s="102"/>
      <c r="P140" s="607">
        <f>H140</f>
        <v>0</v>
      </c>
      <c r="Q140" s="102"/>
      <c r="R140" s="102"/>
      <c r="T140" s="20"/>
      <c r="U140" s="20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IQ140" s="102"/>
      <c r="IR140" s="102"/>
      <c r="IS140" s="102"/>
      <c r="IT140" s="102"/>
      <c r="IU140" s="102"/>
      <c r="IV140" s="102"/>
      <c r="IW140" s="102"/>
      <c r="IX140" s="102"/>
      <c r="OX140" s="20"/>
      <c r="OY140" s="20"/>
      <c r="OZ140" s="20"/>
      <c r="PA140" s="20"/>
      <c r="PB140" s="20"/>
      <c r="PC140" s="20"/>
      <c r="PD140" s="20"/>
      <c r="PE140" s="20"/>
      <c r="PF140" s="20"/>
      <c r="PG140" s="20"/>
      <c r="PH140" s="20"/>
      <c r="PI140" s="20"/>
      <c r="PJ140" s="20"/>
      <c r="PO140" s="102"/>
      <c r="PP140" s="102"/>
      <c r="PQ140" s="102"/>
      <c r="PR140" s="102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</row>
    <row r="141" spans="1:539" x14ac:dyDescent="0.2">
      <c r="A141" s="30"/>
      <c r="B141" s="508"/>
      <c r="C141" s="515"/>
      <c r="D141" s="875"/>
      <c r="E141" s="875"/>
      <c r="F141" s="875"/>
      <c r="G141" s="875"/>
      <c r="H141" s="875"/>
      <c r="I141" s="875"/>
      <c r="J141" s="875"/>
      <c r="K141" s="875"/>
      <c r="L141" s="875"/>
      <c r="M141" s="875"/>
      <c r="N141" s="875"/>
      <c r="O141" s="102"/>
      <c r="P141" s="102"/>
      <c r="Q141" s="102"/>
      <c r="R141" s="102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OX141" s="20"/>
      <c r="OY141" s="20"/>
      <c r="OZ141" s="20"/>
      <c r="PA141" s="20"/>
      <c r="PB141" s="20"/>
      <c r="PC141" s="20"/>
      <c r="PD141" s="20"/>
      <c r="PE141" s="20"/>
      <c r="PF141" s="20"/>
      <c r="PG141" s="20"/>
      <c r="PH141" s="20"/>
      <c r="PI141" s="20"/>
      <c r="PJ141" s="20"/>
      <c r="PO141" s="102"/>
      <c r="PP141" s="102"/>
      <c r="PQ141" s="102"/>
      <c r="PR141" s="102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</row>
    <row r="142" spans="1:539" x14ac:dyDescent="0.2">
      <c r="A142" s="30"/>
      <c r="B142" s="842"/>
      <c r="C142" s="1172"/>
      <c r="D142" s="800"/>
      <c r="E142" s="801"/>
      <c r="F142" s="801"/>
      <c r="G142" s="801"/>
      <c r="H142" s="64"/>
      <c r="I142" s="801"/>
      <c r="J142" s="64"/>
      <c r="K142" s="801"/>
      <c r="L142" s="64"/>
      <c r="M142" s="801"/>
      <c r="N142" s="64"/>
      <c r="O142" s="102"/>
      <c r="P142" s="102"/>
      <c r="Q142" s="102"/>
      <c r="R142" s="102"/>
      <c r="T142" s="523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OX142" s="20"/>
      <c r="OY142" s="20"/>
      <c r="OZ142" s="20"/>
      <c r="PA142" s="20"/>
      <c r="PB142" s="20"/>
      <c r="PC142" s="20"/>
      <c r="PD142" s="20"/>
      <c r="PE142" s="20"/>
      <c r="PF142" s="20"/>
      <c r="PG142" s="20"/>
      <c r="PH142" s="20"/>
      <c r="PI142" s="20"/>
      <c r="PJ142" s="20"/>
      <c r="PO142" s="102"/>
      <c r="PP142" s="102"/>
      <c r="PQ142" s="102"/>
      <c r="PR142" s="102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</row>
    <row r="143" spans="1:539" x14ac:dyDescent="0.2">
      <c r="A143" s="30"/>
      <c r="B143" s="842"/>
      <c r="C143" s="547"/>
      <c r="D143" s="619"/>
      <c r="E143" s="641"/>
      <c r="F143" s="641"/>
      <c r="G143" s="641"/>
      <c r="H143" s="641"/>
      <c r="I143" s="641"/>
      <c r="J143" s="641"/>
      <c r="K143" s="641"/>
      <c r="L143" s="641"/>
      <c r="M143" s="641"/>
      <c r="N143" s="641"/>
      <c r="O143" s="102"/>
      <c r="P143" s="102"/>
      <c r="Q143" s="102"/>
      <c r="R143" s="102"/>
      <c r="T143" s="689"/>
      <c r="U143" s="1180"/>
      <c r="V143" s="1180"/>
      <c r="W143" s="20"/>
      <c r="X143" s="20"/>
      <c r="Y143" s="20"/>
      <c r="Z143" s="20"/>
      <c r="AA143" s="526"/>
      <c r="AB143" s="526"/>
      <c r="AC143" s="526"/>
      <c r="AD143" s="526"/>
      <c r="AE143" s="526"/>
      <c r="AF143" s="526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OX143" s="20"/>
      <c r="OY143" s="20"/>
      <c r="OZ143" s="20"/>
      <c r="PA143" s="20"/>
      <c r="PB143" s="20"/>
      <c r="PC143" s="20"/>
      <c r="PD143" s="20"/>
      <c r="PE143" s="20"/>
      <c r="PF143" s="20"/>
      <c r="PG143" s="20"/>
      <c r="PH143" s="20"/>
      <c r="PI143" s="20"/>
      <c r="PJ143" s="20"/>
      <c r="PO143" s="102"/>
      <c r="PP143" s="102"/>
      <c r="PQ143" s="102"/>
      <c r="PR143" s="102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</row>
    <row r="144" spans="1:539" x14ac:dyDescent="0.2">
      <c r="A144" s="30"/>
      <c r="B144" s="20"/>
      <c r="C144" s="547"/>
      <c r="D144" s="619"/>
      <c r="E144" s="641"/>
      <c r="F144" s="641"/>
      <c r="G144" s="641"/>
      <c r="H144" s="641"/>
      <c r="I144" s="641"/>
      <c r="J144" s="641"/>
      <c r="K144" s="641"/>
      <c r="L144" s="641"/>
      <c r="M144" s="641"/>
      <c r="N144" s="641"/>
      <c r="O144" s="102"/>
      <c r="P144" s="102"/>
      <c r="Q144" s="102"/>
      <c r="R144" s="102"/>
      <c r="T144" s="580"/>
      <c r="U144" s="581"/>
      <c r="V144" s="980"/>
      <c r="W144" s="980"/>
      <c r="X144" s="21"/>
      <c r="Y144" s="20"/>
      <c r="Z144" s="21"/>
      <c r="AA144" s="20"/>
      <c r="AB144" s="21"/>
      <c r="AC144" s="20"/>
      <c r="AD144" s="21"/>
      <c r="AE144" s="20"/>
      <c r="AF144" s="21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OX144" s="20"/>
      <c r="OY144" s="20"/>
      <c r="OZ144" s="20"/>
      <c r="PA144" s="20"/>
      <c r="PB144" s="20"/>
      <c r="PC144" s="20"/>
      <c r="PD144" s="20"/>
      <c r="PE144" s="20"/>
      <c r="PF144" s="20"/>
      <c r="PG144" s="20"/>
      <c r="PH144" s="20"/>
      <c r="PI144" s="20"/>
      <c r="PJ144" s="20"/>
      <c r="PO144" s="102"/>
      <c r="PP144" s="102"/>
      <c r="PQ144" s="102"/>
      <c r="PR144" s="102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</row>
    <row r="145" spans="1:539" x14ac:dyDescent="0.2">
      <c r="A145" s="30"/>
      <c r="B145" s="515"/>
      <c r="C145" s="547"/>
      <c r="D145" s="619"/>
      <c r="E145" s="641"/>
      <c r="F145" s="641"/>
      <c r="G145" s="641"/>
      <c r="H145" s="641"/>
      <c r="I145" s="641"/>
      <c r="J145" s="641"/>
      <c r="K145" s="641"/>
      <c r="L145" s="641"/>
      <c r="M145" s="641"/>
      <c r="N145" s="641"/>
      <c r="O145" s="102"/>
      <c r="P145" s="102"/>
      <c r="Q145" s="102"/>
      <c r="R145" s="102"/>
      <c r="T145" s="679"/>
      <c r="U145" s="581"/>
      <c r="V145" s="620"/>
      <c r="W145" s="620"/>
      <c r="X145" s="42"/>
      <c r="Y145" s="20"/>
      <c r="Z145" s="42"/>
      <c r="AA145" s="20"/>
      <c r="AB145" s="42"/>
      <c r="AC145" s="20"/>
      <c r="AD145" s="42"/>
      <c r="AE145" s="20"/>
      <c r="AF145" s="42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OX145" s="20"/>
      <c r="OY145" s="20"/>
      <c r="OZ145" s="20"/>
      <c r="PA145" s="20"/>
      <c r="PB145" s="20"/>
      <c r="PC145" s="20"/>
      <c r="PD145" s="20"/>
      <c r="PE145" s="20"/>
      <c r="PF145" s="20"/>
      <c r="PG145" s="20"/>
      <c r="PH145" s="20"/>
      <c r="PI145" s="20"/>
      <c r="PJ145" s="20"/>
      <c r="PO145" s="102"/>
      <c r="PP145" s="102"/>
      <c r="PQ145" s="102"/>
      <c r="PR145" s="102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</row>
    <row r="146" spans="1:539" x14ac:dyDescent="0.2">
      <c r="A146" s="30"/>
      <c r="B146" s="1169"/>
      <c r="C146" s="20"/>
      <c r="D146" s="42"/>
      <c r="E146" s="633"/>
      <c r="F146" s="1159"/>
      <c r="G146" s="902"/>
      <c r="H146" s="902"/>
      <c r="I146" s="902"/>
      <c r="J146" s="902"/>
      <c r="K146" s="902"/>
      <c r="L146" s="902"/>
      <c r="M146" s="902"/>
      <c r="N146" s="902"/>
      <c r="O146" s="102"/>
      <c r="P146" s="102"/>
      <c r="Q146" s="102"/>
      <c r="R146" s="102"/>
      <c r="T146" s="580"/>
      <c r="U146" s="581"/>
      <c r="V146" s="620"/>
      <c r="W146" s="620"/>
      <c r="X146" s="42"/>
      <c r="Y146" s="20"/>
      <c r="Z146" s="42"/>
      <c r="AA146" s="20"/>
      <c r="AB146" s="42"/>
      <c r="AC146" s="20"/>
      <c r="AD146" s="42"/>
      <c r="AE146" s="20"/>
      <c r="AF146" s="42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OX146" s="20"/>
      <c r="OY146" s="20"/>
      <c r="OZ146" s="20"/>
      <c r="PA146" s="20"/>
      <c r="PB146" s="20"/>
      <c r="PC146" s="20"/>
      <c r="PD146" s="20"/>
      <c r="PE146" s="20"/>
      <c r="PF146" s="20"/>
      <c r="PG146" s="20"/>
      <c r="PH146" s="20"/>
      <c r="PI146" s="20"/>
      <c r="PJ146" s="20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</row>
    <row r="147" spans="1:539" x14ac:dyDescent="0.2">
      <c r="A147" s="30"/>
      <c r="B147" s="1169"/>
      <c r="C147" s="20"/>
      <c r="D147" s="42"/>
      <c r="E147" s="633"/>
      <c r="F147" s="1159"/>
      <c r="G147" s="902"/>
      <c r="H147" s="902"/>
      <c r="I147" s="902"/>
      <c r="J147" s="902"/>
      <c r="K147" s="902"/>
      <c r="L147" s="902"/>
      <c r="M147" s="902"/>
      <c r="N147" s="902"/>
      <c r="O147" s="102"/>
      <c r="P147" s="102"/>
      <c r="Q147" s="102"/>
      <c r="R147" s="102"/>
      <c r="T147" s="580"/>
      <c r="U147" s="581"/>
      <c r="V147" s="620"/>
      <c r="W147" s="620"/>
      <c r="X147" s="42"/>
      <c r="Y147" s="20"/>
      <c r="Z147" s="42"/>
      <c r="AA147" s="20"/>
      <c r="AB147" s="42"/>
      <c r="AC147" s="20"/>
      <c r="AD147" s="42"/>
      <c r="AE147" s="20"/>
      <c r="AF147" s="42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OX147" s="20"/>
      <c r="OY147" s="20"/>
      <c r="OZ147" s="20"/>
      <c r="PA147" s="20"/>
      <c r="PB147" s="20"/>
      <c r="PC147" s="20"/>
      <c r="PD147" s="20"/>
      <c r="PE147" s="20"/>
      <c r="PF147" s="20"/>
      <c r="PG147" s="20"/>
      <c r="PH147" s="20"/>
      <c r="PI147" s="20"/>
      <c r="PJ147" s="20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</row>
    <row r="148" spans="1:539" x14ac:dyDescent="0.2">
      <c r="A148" s="30"/>
      <c r="B148" s="1158"/>
      <c r="C148" s="20"/>
      <c r="D148" s="619"/>
      <c r="E148" s="633"/>
      <c r="F148" s="1159"/>
      <c r="G148" s="902"/>
      <c r="H148" s="1159"/>
      <c r="I148" s="902"/>
      <c r="J148" s="1159"/>
      <c r="K148" s="902"/>
      <c r="L148" s="1159"/>
      <c r="M148" s="902"/>
      <c r="N148" s="1159"/>
      <c r="O148" s="102"/>
      <c r="P148" s="102"/>
      <c r="Q148" s="102"/>
      <c r="R148" s="102"/>
      <c r="T148" s="580"/>
      <c r="U148" s="690"/>
      <c r="V148" s="620"/>
      <c r="W148" s="620"/>
      <c r="X148" s="42"/>
      <c r="Y148" s="20"/>
      <c r="Z148" s="42"/>
      <c r="AA148" s="20"/>
      <c r="AB148" s="42"/>
      <c r="AC148" s="20"/>
      <c r="AD148" s="42"/>
      <c r="AE148" s="20"/>
      <c r="AF148" s="42"/>
      <c r="OX148" s="20"/>
      <c r="OY148" s="20"/>
      <c r="OZ148" s="20"/>
      <c r="PA148" s="20"/>
      <c r="PB148" s="20"/>
      <c r="PC148" s="20"/>
      <c r="PD148" s="20"/>
      <c r="PE148" s="20"/>
      <c r="PF148" s="20"/>
      <c r="PG148" s="20"/>
      <c r="PH148" s="20"/>
      <c r="PI148" s="20"/>
      <c r="PJ148" s="20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</row>
    <row r="149" spans="1:539" x14ac:dyDescent="0.2">
      <c r="A149" s="30"/>
      <c r="B149" s="1169"/>
      <c r="C149" s="20"/>
      <c r="D149" s="560"/>
      <c r="E149" s="633"/>
      <c r="F149" s="1173"/>
      <c r="G149" s="1173"/>
      <c r="H149" s="1173"/>
      <c r="I149" s="1173"/>
      <c r="J149" s="1174"/>
      <c r="K149" s="1173"/>
      <c r="L149" s="1174"/>
      <c r="M149" s="1173"/>
      <c r="N149" s="1174"/>
      <c r="O149" s="102"/>
      <c r="P149" s="102"/>
      <c r="Q149" s="102"/>
      <c r="R149" s="102"/>
      <c r="T149" s="41"/>
      <c r="U149" s="581"/>
      <c r="V149" s="620"/>
      <c r="W149" s="620"/>
      <c r="X149" s="42"/>
      <c r="Y149" s="20"/>
      <c r="Z149" s="42"/>
      <c r="AA149" s="20"/>
      <c r="AB149" s="42"/>
      <c r="AC149" s="20"/>
      <c r="AD149" s="42"/>
      <c r="AE149" s="20"/>
      <c r="AF149" s="42"/>
      <c r="OX149" s="20"/>
      <c r="OY149" s="20"/>
      <c r="OZ149" s="20"/>
      <c r="PA149" s="20"/>
      <c r="PB149" s="20"/>
      <c r="PC149" s="20"/>
      <c r="PD149" s="20"/>
      <c r="PE149" s="20"/>
      <c r="PF149" s="20"/>
      <c r="PG149" s="20"/>
      <c r="PH149" s="20"/>
      <c r="PI149" s="20"/>
      <c r="PJ149" s="20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</row>
    <row r="150" spans="1:539" x14ac:dyDescent="0.2">
      <c r="A150" s="30"/>
      <c r="B150" s="508"/>
      <c r="C150" s="942"/>
      <c r="D150" s="907"/>
      <c r="E150" s="907"/>
      <c r="F150" s="907"/>
      <c r="G150" s="907"/>
      <c r="H150" s="907"/>
      <c r="I150" s="907"/>
      <c r="J150" s="907"/>
      <c r="K150" s="907"/>
      <c r="L150" s="907"/>
      <c r="M150" s="907"/>
      <c r="N150" s="907"/>
      <c r="O150" s="102"/>
      <c r="P150" s="102"/>
      <c r="Q150" s="102"/>
      <c r="R150" s="102"/>
      <c r="T150" s="41"/>
      <c r="U150" s="581"/>
      <c r="V150" s="620"/>
      <c r="W150" s="620"/>
      <c r="X150" s="42"/>
      <c r="Y150" s="20"/>
      <c r="Z150" s="42"/>
      <c r="AA150" s="20"/>
      <c r="AB150" s="42"/>
      <c r="AC150" s="20"/>
      <c r="AD150" s="42"/>
      <c r="AE150" s="20"/>
      <c r="AF150" s="42"/>
      <c r="OX150" s="20"/>
      <c r="OY150" s="20"/>
      <c r="OZ150" s="20"/>
      <c r="PA150" s="20"/>
      <c r="PB150" s="20"/>
      <c r="PC150" s="20"/>
      <c r="PD150" s="20"/>
      <c r="PE150" s="20"/>
      <c r="PF150" s="20"/>
      <c r="PG150" s="20"/>
      <c r="PH150" s="20"/>
      <c r="PI150" s="20"/>
      <c r="PJ150" s="20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</row>
    <row r="151" spans="1:539" x14ac:dyDescent="0.2">
      <c r="A151" s="30"/>
      <c r="B151" s="20"/>
      <c r="C151" s="20"/>
      <c r="D151" s="63"/>
      <c r="E151" s="64"/>
      <c r="F151" s="64"/>
      <c r="G151" s="64"/>
      <c r="H151" s="801"/>
      <c r="I151" s="64"/>
      <c r="J151" s="801"/>
      <c r="K151" s="64"/>
      <c r="L151" s="801"/>
      <c r="M151" s="64"/>
      <c r="N151" s="801"/>
      <c r="O151" s="102"/>
      <c r="P151" s="102"/>
      <c r="Q151" s="102"/>
      <c r="R151" s="102"/>
      <c r="T151" s="41"/>
      <c r="U151" s="581"/>
      <c r="V151" s="620"/>
      <c r="W151" s="620"/>
      <c r="X151" s="42"/>
      <c r="Y151" s="20"/>
      <c r="Z151" s="42"/>
      <c r="AA151" s="20"/>
      <c r="AB151" s="42"/>
      <c r="AC151" s="20"/>
      <c r="AD151" s="42"/>
      <c r="AE151" s="20"/>
      <c r="AF151" s="42"/>
      <c r="OX151" s="20"/>
      <c r="OY151" s="20"/>
      <c r="OZ151" s="20"/>
      <c r="PA151" s="20"/>
      <c r="PB151" s="20"/>
      <c r="PC151" s="20"/>
      <c r="PD151" s="20"/>
      <c r="PE151" s="20"/>
      <c r="PF151" s="20"/>
      <c r="PG151" s="20"/>
      <c r="PH151" s="20"/>
      <c r="PI151" s="20"/>
      <c r="PJ151" s="20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</row>
    <row r="152" spans="1:539" x14ac:dyDescent="0.2">
      <c r="A152" s="30"/>
      <c r="B152" s="842"/>
      <c r="C152" s="1175"/>
      <c r="D152" s="801"/>
      <c r="E152" s="801"/>
      <c r="F152" s="801"/>
      <c r="G152" s="801"/>
      <c r="H152" s="801"/>
      <c r="I152" s="801"/>
      <c r="J152" s="801"/>
      <c r="K152" s="801"/>
      <c r="L152" s="801"/>
      <c r="M152" s="801"/>
      <c r="N152" s="801"/>
      <c r="O152" s="102"/>
      <c r="P152" s="102"/>
      <c r="Q152" s="102"/>
      <c r="R152" s="102"/>
      <c r="T152" s="41"/>
      <c r="U152" s="1181"/>
      <c r="V152" s="620"/>
      <c r="W152" s="620"/>
      <c r="X152" s="42"/>
      <c r="Y152" s="20"/>
      <c r="Z152" s="42"/>
      <c r="AA152" s="20"/>
      <c r="AB152" s="42"/>
      <c r="AC152" s="20"/>
      <c r="AD152" s="42"/>
      <c r="AE152" s="20"/>
      <c r="AF152" s="42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</row>
    <row r="153" spans="1:539" x14ac:dyDescent="0.2">
      <c r="A153" s="30"/>
      <c r="B153" s="842"/>
      <c r="C153" s="1175"/>
      <c r="D153" s="801"/>
      <c r="E153" s="801"/>
      <c r="F153" s="801"/>
      <c r="G153" s="801"/>
      <c r="H153" s="801"/>
      <c r="I153" s="801"/>
      <c r="J153" s="801"/>
      <c r="K153" s="801"/>
      <c r="L153" s="801"/>
      <c r="M153" s="801"/>
      <c r="N153" s="801"/>
      <c r="O153" s="102"/>
      <c r="P153" s="102"/>
      <c r="Q153" s="102"/>
      <c r="R153" s="102"/>
      <c r="T153" s="41"/>
      <c r="U153" s="1181"/>
      <c r="V153" s="64"/>
      <c r="W153" s="64"/>
      <c r="X153" s="42"/>
      <c r="Y153" s="20"/>
      <c r="Z153" s="42"/>
      <c r="AA153" s="20"/>
      <c r="AB153" s="42"/>
      <c r="AC153" s="20"/>
      <c r="AD153" s="42"/>
      <c r="AE153" s="20"/>
      <c r="AF153" s="42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</row>
    <row r="154" spans="1:539" x14ac:dyDescent="0.2">
      <c r="A154" s="30"/>
      <c r="B154" s="842"/>
      <c r="C154" s="1176"/>
      <c r="D154" s="801"/>
      <c r="E154" s="801"/>
      <c r="F154" s="801"/>
      <c r="G154" s="801"/>
      <c r="H154" s="801"/>
      <c r="I154" s="801"/>
      <c r="J154" s="801"/>
      <c r="K154" s="801"/>
      <c r="L154" s="801"/>
      <c r="M154" s="801"/>
      <c r="N154" s="801"/>
      <c r="O154" s="102"/>
      <c r="P154" s="102"/>
      <c r="Q154" s="102"/>
      <c r="R154" s="102"/>
      <c r="T154" s="41"/>
      <c r="U154" s="1182"/>
      <c r="V154" s="620"/>
      <c r="W154" s="620"/>
      <c r="X154" s="42"/>
      <c r="Y154" s="20"/>
      <c r="Z154" s="42"/>
      <c r="AA154" s="20"/>
      <c r="AB154" s="42"/>
      <c r="AC154" s="20"/>
      <c r="AD154" s="42"/>
      <c r="AE154" s="20"/>
      <c r="AF154" s="42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</row>
    <row r="155" spans="1:539" x14ac:dyDescent="0.2">
      <c r="A155" s="30"/>
      <c r="B155" s="842"/>
      <c r="C155" s="1177"/>
      <c r="D155" s="801"/>
      <c r="E155" s="801"/>
      <c r="F155" s="801"/>
      <c r="G155" s="801"/>
      <c r="H155" s="801"/>
      <c r="I155" s="801"/>
      <c r="J155" s="801"/>
      <c r="K155" s="801"/>
      <c r="L155" s="801"/>
      <c r="M155" s="801"/>
      <c r="N155" s="801"/>
      <c r="O155" s="102"/>
      <c r="P155" s="102"/>
      <c r="Q155" s="102"/>
      <c r="R155" s="102"/>
      <c r="T155" s="679"/>
      <c r="U155" s="690"/>
      <c r="V155" s="620"/>
      <c r="W155" s="620"/>
      <c r="X155" s="42"/>
      <c r="Y155" s="20"/>
      <c r="Z155" s="42"/>
      <c r="AA155" s="20"/>
      <c r="AB155" s="42"/>
      <c r="AC155" s="20"/>
      <c r="AD155" s="42"/>
      <c r="AE155" s="20"/>
      <c r="AF155" s="42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</row>
    <row r="156" spans="1:539" x14ac:dyDescent="0.2">
      <c r="A156" s="30"/>
      <c r="B156" s="20"/>
      <c r="C156" s="547"/>
      <c r="D156" s="800"/>
      <c r="E156" s="801"/>
      <c r="F156" s="801"/>
      <c r="G156" s="801"/>
      <c r="H156" s="64"/>
      <c r="I156" s="801"/>
      <c r="J156" s="64"/>
      <c r="K156" s="801"/>
      <c r="L156" s="64"/>
      <c r="M156" s="801"/>
      <c r="N156" s="64"/>
      <c r="O156" s="102"/>
      <c r="P156" s="102"/>
      <c r="Q156" s="102"/>
      <c r="R156" s="102"/>
      <c r="T156" s="679"/>
      <c r="U156" s="20"/>
      <c r="V156" s="620"/>
      <c r="W156" s="620"/>
      <c r="X156" s="42"/>
      <c r="Y156" s="20"/>
      <c r="Z156" s="42"/>
      <c r="AA156" s="20"/>
      <c r="AB156" s="42"/>
      <c r="AC156" s="20"/>
      <c r="AD156" s="42"/>
      <c r="AE156" s="20"/>
      <c r="AF156" s="42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</row>
    <row r="157" spans="1:539" x14ac:dyDescent="0.2">
      <c r="A157" s="30"/>
      <c r="B157" s="842"/>
      <c r="C157" s="547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102"/>
      <c r="P157" s="102"/>
      <c r="Q157" s="102"/>
      <c r="R157" s="102"/>
      <c r="T157" s="842"/>
      <c r="U157" s="20"/>
      <c r="V157" s="620"/>
      <c r="W157" s="620"/>
      <c r="X157" s="42"/>
      <c r="Y157" s="42"/>
      <c r="Z157" s="42"/>
      <c r="AA157" s="20"/>
      <c r="AB157" s="42"/>
      <c r="AC157" s="20"/>
      <c r="AD157" s="42"/>
      <c r="AE157" s="20"/>
      <c r="AF157" s="42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</row>
    <row r="158" spans="1:539" x14ac:dyDescent="0.2">
      <c r="A158" s="20"/>
      <c r="B158" s="547"/>
      <c r="C158" s="547"/>
      <c r="D158" s="547"/>
      <c r="E158" s="1024"/>
      <c r="F158" s="1024"/>
      <c r="G158" s="1024"/>
      <c r="H158" s="1024"/>
      <c r="I158" s="1024"/>
      <c r="J158" s="1024"/>
      <c r="K158" s="1024"/>
      <c r="L158" s="1024"/>
      <c r="M158" s="1024"/>
      <c r="N158" s="1024"/>
      <c r="O158" s="102"/>
      <c r="P158" s="102"/>
      <c r="Q158" s="102"/>
      <c r="R158" s="102"/>
      <c r="T158" s="679"/>
      <c r="U158" s="20"/>
      <c r="V158" s="813"/>
      <c r="W158" s="620"/>
      <c r="X158" s="42"/>
      <c r="Y158" s="42"/>
      <c r="Z158" s="42"/>
      <c r="AA158" s="20"/>
      <c r="AB158" s="42"/>
      <c r="AC158" s="20"/>
      <c r="AD158" s="42"/>
      <c r="AE158" s="20"/>
      <c r="AF158" s="42"/>
    </row>
    <row r="159" spans="1:539" x14ac:dyDescent="0.2">
      <c r="A159" s="20"/>
      <c r="B159" s="547"/>
      <c r="C159" s="1177"/>
      <c r="D159" s="647"/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102"/>
      <c r="P159" s="102"/>
      <c r="Q159" s="102"/>
      <c r="R159" s="102"/>
      <c r="T159" s="679"/>
      <c r="U159" s="20"/>
      <c r="V159" s="620"/>
      <c r="W159" s="20"/>
      <c r="X159" s="42"/>
      <c r="Y159" s="42"/>
      <c r="Z159" s="20"/>
      <c r="AA159" s="20"/>
      <c r="AB159" s="20"/>
      <c r="AC159" s="20"/>
      <c r="AD159" s="20"/>
      <c r="AE159" s="20"/>
      <c r="AF159" s="20"/>
    </row>
    <row r="160" spans="1:539" x14ac:dyDescent="0.2">
      <c r="A160" s="20"/>
      <c r="B160" s="20"/>
      <c r="C160" s="20"/>
      <c r="D160" s="1178"/>
      <c r="E160" s="1178"/>
      <c r="F160" s="1178"/>
      <c r="G160" s="1178"/>
      <c r="H160" s="1178"/>
      <c r="I160" s="1178"/>
      <c r="J160" s="1178"/>
      <c r="K160" s="1178"/>
      <c r="L160" s="1178"/>
      <c r="M160" s="1178"/>
      <c r="N160" s="1178"/>
      <c r="O160" s="102"/>
      <c r="P160" s="102"/>
      <c r="Q160" s="102"/>
      <c r="R160" s="102"/>
      <c r="T160" s="679"/>
      <c r="U160" s="20"/>
      <c r="V160" s="620"/>
      <c r="W160" s="620"/>
      <c r="X160" s="42"/>
      <c r="Y160" s="20"/>
      <c r="Z160" s="42"/>
      <c r="AA160" s="20"/>
      <c r="AB160" s="42"/>
      <c r="AC160" s="20"/>
      <c r="AD160" s="42"/>
      <c r="AE160" s="20"/>
      <c r="AF160" s="42"/>
    </row>
    <row r="161" spans="1:32" ht="13.5" x14ac:dyDescent="0.25">
      <c r="A161" s="523"/>
      <c r="B161" s="917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102"/>
      <c r="P161" s="102"/>
      <c r="Q161" s="102"/>
      <c r="R161" s="102"/>
      <c r="T161" s="1183"/>
      <c r="U161" s="690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</row>
    <row r="162" spans="1:32" x14ac:dyDescent="0.2">
      <c r="A162" s="30"/>
      <c r="B162" s="1152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102"/>
      <c r="P162" s="102"/>
      <c r="Q162" s="102"/>
      <c r="R162" s="102"/>
      <c r="T162" s="41"/>
      <c r="U162" s="41"/>
      <c r="V162" s="561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</row>
    <row r="163" spans="1:32" x14ac:dyDescent="0.2">
      <c r="A163" s="30"/>
      <c r="B163" s="1153"/>
      <c r="C163" s="547"/>
      <c r="D163" s="1154"/>
      <c r="E163" s="1154"/>
      <c r="F163" s="1154"/>
      <c r="G163" s="526"/>
      <c r="H163" s="1155"/>
      <c r="I163" s="526"/>
      <c r="J163" s="1156"/>
      <c r="K163" s="526"/>
      <c r="L163" s="1156"/>
      <c r="M163" s="526"/>
      <c r="N163" s="1156"/>
      <c r="O163" s="102"/>
      <c r="P163" s="102"/>
      <c r="Q163" s="102"/>
      <c r="R163" s="102"/>
      <c r="T163" s="689"/>
      <c r="U163" s="690"/>
      <c r="V163" s="1184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</row>
    <row r="164" spans="1:32" x14ac:dyDescent="0.2">
      <c r="A164" s="30"/>
      <c r="B164" s="1153"/>
      <c r="C164" s="547"/>
      <c r="D164" s="1154"/>
      <c r="E164" s="1154"/>
      <c r="F164" s="1157"/>
      <c r="G164" s="579"/>
      <c r="H164" s="1157"/>
      <c r="I164" s="1157"/>
      <c r="J164" s="1157"/>
      <c r="K164" s="1157"/>
      <c r="L164" s="1157"/>
      <c r="M164" s="1157"/>
      <c r="N164" s="1157"/>
      <c r="O164" s="102"/>
      <c r="P164" s="102"/>
      <c r="Q164" s="102"/>
      <c r="R164" s="102"/>
      <c r="T164" s="679"/>
      <c r="U164" s="711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</row>
    <row r="165" spans="1:32" x14ac:dyDescent="0.2">
      <c r="A165" s="30"/>
      <c r="B165" s="1158"/>
      <c r="C165" s="547"/>
      <c r="D165" s="1159"/>
      <c r="E165" s="1159"/>
      <c r="F165" s="1159"/>
      <c r="G165" s="619"/>
      <c r="H165" s="1159"/>
      <c r="I165" s="1159"/>
      <c r="J165" s="1159"/>
      <c r="K165" s="547"/>
      <c r="L165" s="1159"/>
      <c r="M165" s="547"/>
      <c r="N165" s="1159"/>
      <c r="O165" s="102"/>
      <c r="P165" s="102"/>
      <c r="Q165" s="102"/>
      <c r="R165" s="102"/>
      <c r="T165" s="679"/>
      <c r="U165" s="711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</row>
    <row r="166" spans="1:32" x14ac:dyDescent="0.2">
      <c r="A166" s="30"/>
      <c r="B166" s="1153"/>
      <c r="C166" s="20"/>
      <c r="D166" s="1159"/>
      <c r="E166" s="1159"/>
      <c r="F166" s="1159"/>
      <c r="G166" s="1159"/>
      <c r="H166" s="1159"/>
      <c r="I166" s="1159"/>
      <c r="J166" s="1159"/>
      <c r="K166" s="1159"/>
      <c r="L166" s="1159"/>
      <c r="M166" s="1159"/>
      <c r="N166" s="1159"/>
      <c r="O166" s="102"/>
      <c r="P166" s="102"/>
      <c r="Q166" s="102"/>
      <c r="R166" s="102"/>
      <c r="T166" s="679"/>
      <c r="U166" s="711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</row>
    <row r="167" spans="1:32" x14ac:dyDescent="0.2">
      <c r="A167" s="30"/>
      <c r="B167" s="1158"/>
      <c r="C167" s="547"/>
      <c r="D167" s="1159"/>
      <c r="E167" s="1159"/>
      <c r="F167" s="1159"/>
      <c r="G167" s="619"/>
      <c r="H167" s="1159"/>
      <c r="I167" s="1160"/>
      <c r="J167" s="1159"/>
      <c r="K167" s="1160"/>
      <c r="L167" s="1159"/>
      <c r="M167" s="1160"/>
      <c r="N167" s="1159"/>
      <c r="O167" s="102"/>
      <c r="P167" s="102"/>
      <c r="Q167" s="102"/>
      <c r="R167" s="102"/>
      <c r="T167" s="690"/>
      <c r="U167" s="749"/>
      <c r="V167" s="581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</row>
    <row r="168" spans="1:32" x14ac:dyDescent="0.2">
      <c r="A168" s="30"/>
      <c r="B168" s="1158"/>
      <c r="C168" s="547"/>
      <c r="D168" s="1159"/>
      <c r="E168" s="1159"/>
      <c r="F168" s="1159"/>
      <c r="G168" s="640"/>
      <c r="H168" s="1159"/>
      <c r="I168" s="1159"/>
      <c r="J168" s="1159"/>
      <c r="K168" s="1159"/>
      <c r="L168" s="1159"/>
      <c r="M168" s="1159"/>
      <c r="N168" s="1159"/>
      <c r="O168" s="102"/>
      <c r="P168" s="102"/>
      <c r="Q168" s="102"/>
      <c r="R168" s="102"/>
      <c r="T168" s="690"/>
      <c r="U168" s="581"/>
      <c r="V168" s="1184"/>
      <c r="W168" s="646"/>
      <c r="X168" s="20"/>
      <c r="Y168" s="20"/>
      <c r="Z168" s="20"/>
      <c r="AA168" s="20"/>
      <c r="AB168" s="20"/>
      <c r="AC168" s="20"/>
      <c r="AD168" s="20"/>
      <c r="AE168" s="20"/>
      <c r="AF168" s="20"/>
    </row>
    <row r="169" spans="1:32" x14ac:dyDescent="0.2">
      <c r="A169" s="30"/>
      <c r="B169" s="1158"/>
      <c r="C169" s="547"/>
      <c r="D169" s="1159"/>
      <c r="E169" s="1159"/>
      <c r="F169" s="1159"/>
      <c r="G169" s="640"/>
      <c r="H169" s="1159"/>
      <c r="I169" s="1159"/>
      <c r="J169" s="1159"/>
      <c r="K169" s="1159"/>
      <c r="L169" s="1159"/>
      <c r="M169" s="1159"/>
      <c r="N169" s="1159"/>
      <c r="O169" s="102"/>
      <c r="P169" s="102"/>
      <c r="Q169" s="102"/>
      <c r="R169" s="102"/>
      <c r="T169" s="1185"/>
      <c r="U169" s="20"/>
      <c r="V169" s="573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</row>
    <row r="170" spans="1:32" x14ac:dyDescent="0.2">
      <c r="A170" s="30"/>
      <c r="B170" s="1158"/>
      <c r="C170" s="547"/>
      <c r="D170" s="1159"/>
      <c r="E170" s="1159"/>
      <c r="F170" s="1159"/>
      <c r="G170" s="640"/>
      <c r="H170" s="1159"/>
      <c r="I170" s="1159"/>
      <c r="J170" s="1159"/>
      <c r="K170" s="1159"/>
      <c r="L170" s="1159"/>
      <c r="M170" s="1159"/>
      <c r="N170" s="1159"/>
      <c r="O170" s="102"/>
      <c r="P170" s="102"/>
      <c r="Q170" s="102"/>
      <c r="R170" s="102"/>
      <c r="T170" s="580"/>
      <c r="U170" s="1181"/>
      <c r="V170" s="667"/>
      <c r="W170" s="620"/>
      <c r="X170" s="42"/>
      <c r="Y170" s="42"/>
      <c r="Z170" s="42"/>
      <c r="AA170" s="42"/>
      <c r="AB170" s="42"/>
      <c r="AC170" s="42"/>
      <c r="AD170" s="42"/>
      <c r="AE170" s="42"/>
      <c r="AF170" s="42"/>
    </row>
    <row r="171" spans="1:32" x14ac:dyDescent="0.2">
      <c r="A171" s="30"/>
      <c r="B171" s="1158"/>
      <c r="C171" s="547"/>
      <c r="D171" s="1159"/>
      <c r="E171" s="1159"/>
      <c r="F171" s="1159"/>
      <c r="G171" s="640"/>
      <c r="H171" s="1159"/>
      <c r="I171" s="1159"/>
      <c r="J171" s="1159"/>
      <c r="K171" s="1159"/>
      <c r="L171" s="1159"/>
      <c r="M171" s="1159"/>
      <c r="N171" s="1159"/>
      <c r="O171" s="102"/>
      <c r="P171" s="102"/>
      <c r="Q171" s="102"/>
      <c r="R171" s="102"/>
      <c r="T171" s="679"/>
      <c r="U171" s="1181"/>
      <c r="V171" s="667"/>
      <c r="W171" s="620"/>
      <c r="X171" s="42"/>
      <c r="Y171" s="42"/>
      <c r="Z171" s="42"/>
      <c r="AA171" s="42"/>
      <c r="AB171" s="42"/>
      <c r="AC171" s="42"/>
      <c r="AD171" s="42"/>
      <c r="AE171" s="42"/>
      <c r="AF171" s="42"/>
    </row>
    <row r="172" spans="1:32" x14ac:dyDescent="0.2">
      <c r="A172" s="30"/>
      <c r="B172" s="1158"/>
      <c r="C172" s="547"/>
      <c r="D172" s="1159"/>
      <c r="E172" s="1159"/>
      <c r="F172" s="1159"/>
      <c r="G172" s="640"/>
      <c r="H172" s="1159"/>
      <c r="I172" s="1159"/>
      <c r="J172" s="1159"/>
      <c r="K172" s="1159"/>
      <c r="L172" s="1159"/>
      <c r="M172" s="1159"/>
      <c r="N172" s="1159"/>
      <c r="O172" s="102"/>
      <c r="P172" s="102"/>
      <c r="Q172" s="102"/>
      <c r="R172" s="102"/>
      <c r="T172" s="580"/>
      <c r="U172" s="1181"/>
      <c r="V172" s="667"/>
      <c r="W172" s="620"/>
      <c r="X172" s="42"/>
      <c r="Y172" s="42"/>
      <c r="Z172" s="42"/>
      <c r="AA172" s="42"/>
      <c r="AB172" s="42"/>
      <c r="AC172" s="42"/>
      <c r="AD172" s="42"/>
      <c r="AE172" s="42"/>
      <c r="AF172" s="42"/>
    </row>
    <row r="173" spans="1:32" x14ac:dyDescent="0.2">
      <c r="A173" s="30"/>
      <c r="B173" s="1158"/>
      <c r="C173" s="547"/>
      <c r="D173" s="1159"/>
      <c r="E173" s="1159"/>
      <c r="F173" s="1159"/>
      <c r="G173" s="640"/>
      <c r="H173" s="1159"/>
      <c r="I173" s="1159"/>
      <c r="J173" s="1159"/>
      <c r="K173" s="1159"/>
      <c r="L173" s="1159"/>
      <c r="M173" s="1159"/>
      <c r="N173" s="1159"/>
      <c r="O173" s="102"/>
      <c r="P173" s="102"/>
      <c r="Q173" s="102"/>
      <c r="R173" s="102"/>
      <c r="T173" s="580"/>
      <c r="U173" s="1181"/>
      <c r="V173" s="667"/>
      <c r="W173" s="620"/>
      <c r="X173" s="42"/>
      <c r="Y173" s="42"/>
      <c r="Z173" s="42"/>
      <c r="AA173" s="42"/>
      <c r="AB173" s="42"/>
      <c r="AC173" s="42"/>
      <c r="AD173" s="42"/>
      <c r="AE173" s="42"/>
      <c r="AF173" s="42"/>
    </row>
    <row r="174" spans="1:32" x14ac:dyDescent="0.2">
      <c r="A174" s="30"/>
      <c r="B174" s="1158"/>
      <c r="C174" s="547"/>
      <c r="D174" s="1159"/>
      <c r="E174" s="1159"/>
      <c r="F174" s="1159"/>
      <c r="G174" s="640"/>
      <c r="H174" s="1159"/>
      <c r="I174" s="1159"/>
      <c r="J174" s="1159"/>
      <c r="K174" s="1159"/>
      <c r="L174" s="1159"/>
      <c r="M174" s="1159"/>
      <c r="N174" s="1159"/>
      <c r="O174" s="102"/>
      <c r="P174" s="102"/>
      <c r="Q174" s="102"/>
      <c r="R174" s="102"/>
      <c r="T174" s="41"/>
      <c r="U174" s="1181"/>
      <c r="V174" s="667"/>
      <c r="W174" s="620"/>
      <c r="X174" s="42"/>
      <c r="Y174" s="42"/>
      <c r="Z174" s="42"/>
      <c r="AA174" s="42"/>
      <c r="AB174" s="42"/>
      <c r="AC174" s="42"/>
      <c r="AD174" s="42"/>
      <c r="AE174" s="42"/>
      <c r="AF174" s="42"/>
    </row>
    <row r="175" spans="1:32" x14ac:dyDescent="0.2">
      <c r="A175" s="30"/>
      <c r="B175" s="1152"/>
      <c r="C175" s="547"/>
      <c r="D175" s="1159"/>
      <c r="E175" s="1159"/>
      <c r="F175" s="1159"/>
      <c r="G175" s="640"/>
      <c r="H175" s="1159"/>
      <c r="I175" s="1159"/>
      <c r="J175" s="1159"/>
      <c r="K175" s="1159"/>
      <c r="L175" s="1159"/>
      <c r="M175" s="1159"/>
      <c r="N175" s="1159"/>
      <c r="O175" s="102"/>
      <c r="P175" s="102"/>
      <c r="Q175" s="102"/>
      <c r="R175" s="102"/>
      <c r="T175" s="41"/>
      <c r="U175" s="1181"/>
      <c r="V175" s="667"/>
      <c r="W175" s="620"/>
      <c r="X175" s="42"/>
      <c r="Y175" s="42"/>
      <c r="Z175" s="42"/>
      <c r="AA175" s="42"/>
      <c r="AB175" s="42"/>
      <c r="AC175" s="42"/>
      <c r="AD175" s="42"/>
      <c r="AE175" s="42"/>
      <c r="AF175" s="42"/>
    </row>
    <row r="176" spans="1:32" x14ac:dyDescent="0.2">
      <c r="A176" s="30"/>
      <c r="B176" s="1161"/>
      <c r="C176" s="547"/>
      <c r="D176" s="1159"/>
      <c r="E176" s="1159"/>
      <c r="F176" s="1159"/>
      <c r="G176" s="640"/>
      <c r="H176" s="1159"/>
      <c r="I176" s="1159"/>
      <c r="J176" s="1159"/>
      <c r="K176" s="1159"/>
      <c r="L176" s="1159"/>
      <c r="M176" s="1159"/>
      <c r="N176" s="1159"/>
      <c r="O176" s="102"/>
      <c r="P176" s="102"/>
      <c r="Q176" s="102"/>
      <c r="R176" s="102"/>
      <c r="T176" s="41"/>
      <c r="U176" s="1181"/>
      <c r="V176" s="667"/>
      <c r="W176" s="620"/>
      <c r="X176" s="42"/>
      <c r="Y176" s="42"/>
      <c r="Z176" s="42"/>
      <c r="AA176" s="42"/>
      <c r="AB176" s="42"/>
      <c r="AC176" s="42"/>
      <c r="AD176" s="42"/>
      <c r="AE176" s="42"/>
      <c r="AF176" s="42"/>
    </row>
    <row r="177" spans="1:32" x14ac:dyDescent="0.2">
      <c r="A177" s="30"/>
      <c r="B177" s="1153"/>
      <c r="C177" s="547"/>
      <c r="D177" s="1159"/>
      <c r="E177" s="1159"/>
      <c r="F177" s="1159"/>
      <c r="G177" s="640"/>
      <c r="H177" s="1159"/>
      <c r="I177" s="1159"/>
      <c r="J177" s="1159"/>
      <c r="K177" s="1159"/>
      <c r="L177" s="1159"/>
      <c r="M177" s="1159"/>
      <c r="N177" s="1159"/>
      <c r="O177" s="102"/>
      <c r="P177" s="102"/>
      <c r="Q177" s="102"/>
      <c r="R177" s="102"/>
      <c r="T177" s="679"/>
      <c r="U177" s="1181"/>
      <c r="V177" s="667"/>
      <c r="W177" s="620"/>
      <c r="X177" s="42"/>
      <c r="Y177" s="42"/>
      <c r="Z177" s="42"/>
      <c r="AA177" s="42"/>
      <c r="AB177" s="42"/>
      <c r="AC177" s="42"/>
      <c r="AD177" s="42"/>
      <c r="AE177" s="42"/>
      <c r="AF177" s="42"/>
    </row>
    <row r="178" spans="1:32" x14ac:dyDescent="0.2">
      <c r="A178" s="30"/>
      <c r="B178" s="1153"/>
      <c r="C178" s="547"/>
      <c r="D178" s="1159"/>
      <c r="E178" s="1159"/>
      <c r="F178" s="1159"/>
      <c r="G178" s="640"/>
      <c r="H178" s="1159"/>
      <c r="I178" s="1159"/>
      <c r="J178" s="1159"/>
      <c r="K178" s="1159"/>
      <c r="L178" s="1159"/>
      <c r="M178" s="1159"/>
      <c r="N178" s="1159"/>
      <c r="O178" s="102"/>
      <c r="P178" s="102"/>
      <c r="Q178" s="102"/>
      <c r="R178" s="102"/>
      <c r="T178" s="679"/>
      <c r="U178" s="1181"/>
      <c r="V178" s="667"/>
      <c r="W178" s="620"/>
      <c r="X178" s="42"/>
      <c r="Y178" s="42"/>
      <c r="Z178" s="42"/>
      <c r="AA178" s="42"/>
      <c r="AB178" s="42"/>
      <c r="AC178" s="42"/>
      <c r="AD178" s="42"/>
      <c r="AE178" s="42"/>
      <c r="AF178" s="42"/>
    </row>
    <row r="179" spans="1:32" x14ac:dyDescent="0.2">
      <c r="A179" s="30"/>
      <c r="B179" s="1152"/>
      <c r="C179" s="547"/>
      <c r="D179" s="1159"/>
      <c r="E179" s="1159"/>
      <c r="F179" s="1159"/>
      <c r="G179" s="640"/>
      <c r="H179" s="1159"/>
      <c r="I179" s="1159"/>
      <c r="J179" s="1159"/>
      <c r="K179" s="1159"/>
      <c r="L179" s="1159"/>
      <c r="M179" s="1159"/>
      <c r="N179" s="1159"/>
      <c r="O179" s="102"/>
      <c r="P179" s="102"/>
      <c r="Q179" s="102"/>
      <c r="R179" s="102"/>
      <c r="T179" s="679"/>
      <c r="U179" s="1181"/>
      <c r="V179" s="667"/>
      <c r="W179" s="620"/>
      <c r="X179" s="42"/>
      <c r="Y179" s="42"/>
      <c r="Z179" s="42"/>
      <c r="AA179" s="42"/>
      <c r="AB179" s="42"/>
      <c r="AC179" s="42"/>
      <c r="AD179" s="42"/>
      <c r="AE179" s="42"/>
      <c r="AF179" s="42"/>
    </row>
    <row r="180" spans="1:32" x14ac:dyDescent="0.2">
      <c r="A180" s="30"/>
      <c r="B180" s="1153"/>
      <c r="C180" s="547"/>
      <c r="D180" s="1159"/>
      <c r="E180" s="1159"/>
      <c r="F180" s="1159"/>
      <c r="G180" s="640"/>
      <c r="H180" s="1159"/>
      <c r="I180" s="1159"/>
      <c r="J180" s="1159"/>
      <c r="K180" s="1159"/>
      <c r="L180" s="1159"/>
      <c r="M180" s="1159"/>
      <c r="N180" s="1159"/>
      <c r="O180" s="102"/>
      <c r="P180" s="102"/>
      <c r="Q180" s="102"/>
      <c r="R180" s="102"/>
      <c r="T180" s="888"/>
      <c r="U180" s="1181"/>
      <c r="V180" s="667"/>
      <c r="W180" s="620"/>
      <c r="X180" s="42"/>
      <c r="Y180" s="42"/>
      <c r="Z180" s="42"/>
      <c r="AA180" s="42"/>
      <c r="AB180" s="42"/>
      <c r="AC180" s="42"/>
      <c r="AD180" s="42"/>
      <c r="AE180" s="42"/>
      <c r="AF180" s="42"/>
    </row>
    <row r="181" spans="1:32" x14ac:dyDescent="0.2">
      <c r="A181" s="30"/>
      <c r="B181" s="1153"/>
      <c r="C181" s="20"/>
      <c r="D181" s="1159"/>
      <c r="E181" s="1159"/>
      <c r="F181" s="1159"/>
      <c r="G181" s="641"/>
      <c r="H181" s="1159"/>
      <c r="I181" s="1159"/>
      <c r="J181" s="1159"/>
      <c r="K181" s="1159"/>
      <c r="L181" s="1159"/>
      <c r="M181" s="1159"/>
      <c r="N181" s="1159"/>
      <c r="O181" s="102"/>
      <c r="P181" s="102"/>
      <c r="Q181" s="102"/>
      <c r="R181" s="102"/>
      <c r="T181" s="1186"/>
      <c r="U181" s="20"/>
      <c r="V181" s="20"/>
      <c r="W181" s="20"/>
      <c r="X181" s="42"/>
      <c r="Y181" s="42"/>
      <c r="Z181" s="42"/>
      <c r="AA181" s="42"/>
      <c r="AB181" s="42"/>
      <c r="AC181" s="42"/>
      <c r="AD181" s="42"/>
      <c r="AE181" s="42"/>
      <c r="AF181" s="42"/>
    </row>
    <row r="182" spans="1:32" x14ac:dyDescent="0.2">
      <c r="A182" s="30"/>
      <c r="B182" s="1153"/>
      <c r="C182" s="547"/>
      <c r="D182" s="1159"/>
      <c r="E182" s="1159"/>
      <c r="F182" s="1159"/>
      <c r="G182" s="640"/>
      <c r="H182" s="1159"/>
      <c r="I182" s="1159"/>
      <c r="J182" s="1159"/>
      <c r="K182" s="1159"/>
      <c r="L182" s="1159"/>
      <c r="M182" s="1159"/>
      <c r="N182" s="1159"/>
      <c r="O182" s="102"/>
      <c r="P182" s="102"/>
      <c r="Q182" s="102"/>
      <c r="R182" s="102"/>
      <c r="T182" s="41"/>
      <c r="U182" s="20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</row>
    <row r="183" spans="1:32" x14ac:dyDescent="0.2">
      <c r="A183" s="30"/>
      <c r="B183" s="1153"/>
      <c r="C183" s="547"/>
      <c r="D183" s="1159"/>
      <c r="E183" s="1159"/>
      <c r="F183" s="1159"/>
      <c r="G183" s="640"/>
      <c r="H183" s="1159"/>
      <c r="I183" s="1159"/>
      <c r="J183" s="1159"/>
      <c r="K183" s="1159"/>
      <c r="L183" s="1159"/>
      <c r="M183" s="1159"/>
      <c r="N183" s="1159"/>
      <c r="O183" s="102"/>
      <c r="P183" s="102"/>
      <c r="Q183" s="102"/>
      <c r="R183" s="102"/>
      <c r="T183" s="20"/>
      <c r="U183" s="20"/>
      <c r="V183" s="573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</row>
    <row r="184" spans="1:32" x14ac:dyDescent="0.2">
      <c r="A184" s="30"/>
      <c r="B184" s="1153"/>
      <c r="C184" s="1159"/>
      <c r="D184" s="1159"/>
      <c r="E184" s="1159"/>
      <c r="F184" s="1159"/>
      <c r="G184" s="640"/>
      <c r="H184" s="1159"/>
      <c r="I184" s="1159"/>
      <c r="J184" s="1159"/>
      <c r="K184" s="1159"/>
      <c r="L184" s="1159"/>
      <c r="M184" s="1159"/>
      <c r="N184" s="1159"/>
      <c r="O184" s="102"/>
      <c r="P184" s="102"/>
      <c r="Q184" s="102"/>
      <c r="R184" s="102"/>
      <c r="T184" s="41"/>
      <c r="U184" s="41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</row>
    <row r="185" spans="1:32" x14ac:dyDescent="0.2">
      <c r="A185" s="30"/>
      <c r="B185" s="1153"/>
      <c r="C185" s="1159"/>
      <c r="D185" s="1159"/>
      <c r="E185" s="1159"/>
      <c r="F185" s="1159"/>
      <c r="G185" s="640"/>
      <c r="H185" s="1159"/>
      <c r="I185" s="1159"/>
      <c r="J185" s="1159"/>
      <c r="K185" s="1159"/>
      <c r="L185" s="1159"/>
      <c r="M185" s="1159"/>
      <c r="N185" s="1159"/>
      <c r="O185" s="102"/>
      <c r="P185" s="102"/>
      <c r="Q185" s="102"/>
      <c r="R185" s="102"/>
      <c r="T185" s="41"/>
      <c r="U185" s="89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</row>
    <row r="186" spans="1:32" ht="15" x14ac:dyDescent="0.25">
      <c r="A186" s="30"/>
      <c r="B186" s="1158"/>
      <c r="C186" s="1159"/>
      <c r="D186" s="560"/>
      <c r="E186" s="560"/>
      <c r="F186" s="1159"/>
      <c r="G186" s="640"/>
      <c r="H186" s="1159"/>
      <c r="I186" s="1159"/>
      <c r="J186" s="1159"/>
      <c r="K186" s="1159"/>
      <c r="L186" s="1159"/>
      <c r="M186" s="1159"/>
      <c r="N186" s="1159"/>
      <c r="O186" s="102"/>
      <c r="P186" s="102"/>
      <c r="Q186" s="102"/>
      <c r="R186" s="102"/>
      <c r="S186"/>
      <c r="T186" s="41"/>
      <c r="U186" s="4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</row>
    <row r="187" spans="1:32" ht="15" x14ac:dyDescent="0.25">
      <c r="A187" s="30"/>
      <c r="B187" s="1158"/>
      <c r="C187" s="1159"/>
      <c r="D187" s="560"/>
      <c r="E187" s="560"/>
      <c r="F187" s="1159"/>
      <c r="G187" s="640"/>
      <c r="H187" s="1159"/>
      <c r="I187" s="1159"/>
      <c r="J187" s="1159"/>
      <c r="K187" s="1159"/>
      <c r="L187" s="1159"/>
      <c r="M187" s="1159"/>
      <c r="N187" s="1159"/>
      <c r="O187" s="102"/>
      <c r="P187" s="102"/>
      <c r="Q187" s="102"/>
      <c r="R187" s="102"/>
      <c r="S187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</row>
    <row r="188" spans="1:32" ht="15" x14ac:dyDescent="0.25">
      <c r="A188" s="30"/>
      <c r="B188" s="1161"/>
      <c r="C188" s="1159"/>
      <c r="D188" s="1159"/>
      <c r="E188" s="1159"/>
      <c r="F188" s="1159"/>
      <c r="G188" s="641"/>
      <c r="H188" s="1159"/>
      <c r="I188" s="1162"/>
      <c r="J188" s="1159"/>
      <c r="K188" s="1162"/>
      <c r="L188" s="1159"/>
      <c r="M188" s="1162"/>
      <c r="N188" s="1159"/>
      <c r="O188" s="102"/>
      <c r="P188" s="102"/>
      <c r="Q188" s="102"/>
      <c r="R188" s="102"/>
      <c r="S188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</row>
    <row r="189" spans="1:32" ht="15" x14ac:dyDescent="0.25">
      <c r="A189" s="30"/>
      <c r="B189" s="1161"/>
      <c r="C189" s="1159"/>
      <c r="D189" s="917"/>
      <c r="E189" s="917"/>
      <c r="F189" s="1159"/>
      <c r="G189" s="917"/>
      <c r="H189" s="1159"/>
      <c r="I189" s="917"/>
      <c r="J189" s="1159"/>
      <c r="K189" s="917"/>
      <c r="L189" s="1159"/>
      <c r="M189" s="917"/>
      <c r="N189" s="1159"/>
      <c r="O189" s="102"/>
      <c r="P189" s="102"/>
      <c r="Q189" s="102"/>
      <c r="R189" s="102"/>
      <c r="S189"/>
      <c r="T189" s="20"/>
      <c r="U189" s="20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</row>
    <row r="190" spans="1:32" ht="15" x14ac:dyDescent="0.25">
      <c r="A190" s="30"/>
      <c r="B190" s="1163"/>
      <c r="C190" s="1159"/>
      <c r="D190" s="1159"/>
      <c r="E190" s="1159"/>
      <c r="F190" s="1159"/>
      <c r="G190" s="641"/>
      <c r="H190" s="1159"/>
      <c r="I190" s="1162"/>
      <c r="J190" s="1159"/>
      <c r="K190" s="1162"/>
      <c r="L190" s="1159"/>
      <c r="M190" s="1162"/>
      <c r="N190" s="1159"/>
      <c r="O190" s="102"/>
      <c r="P190" s="102"/>
      <c r="Q190" s="102"/>
      <c r="R190" s="102"/>
      <c r="S190"/>
      <c r="T190" s="20"/>
      <c r="U190" s="20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</row>
    <row r="191" spans="1:32" ht="15" x14ac:dyDescent="0.25">
      <c r="A191" s="30"/>
      <c r="B191" s="1153"/>
      <c r="C191" s="20"/>
      <c r="D191" s="1159"/>
      <c r="E191" s="1159"/>
      <c r="F191" s="1159"/>
      <c r="G191" s="641"/>
      <c r="H191" s="1159"/>
      <c r="I191" s="1162"/>
      <c r="J191" s="1159"/>
      <c r="K191" s="1162"/>
      <c r="L191" s="1159"/>
      <c r="M191" s="1162"/>
      <c r="N191" s="1159"/>
      <c r="O191" s="102"/>
      <c r="P191" s="102"/>
      <c r="Q191" s="102"/>
      <c r="R191" s="102"/>
      <c r="S191"/>
      <c r="T191" s="20"/>
      <c r="U191" s="20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</row>
    <row r="192" spans="1:32" ht="15" x14ac:dyDescent="0.25">
      <c r="A192" s="30"/>
      <c r="B192" s="1163"/>
      <c r="C192" s="1164"/>
      <c r="D192" s="1159"/>
      <c r="E192" s="1159"/>
      <c r="F192" s="1159"/>
      <c r="G192" s="641"/>
      <c r="H192" s="1159"/>
      <c r="I192" s="1162"/>
      <c r="J192" s="1159"/>
      <c r="K192" s="1162"/>
      <c r="L192" s="1159"/>
      <c r="M192" s="1162"/>
      <c r="N192" s="1159"/>
      <c r="O192" s="102"/>
      <c r="P192" s="102"/>
      <c r="Q192" s="102"/>
      <c r="R192" s="102"/>
      <c r="S192"/>
      <c r="T192" s="20"/>
      <c r="U192" s="20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</row>
    <row r="193" spans="1:32" ht="15" x14ac:dyDescent="0.25">
      <c r="A193" s="30"/>
      <c r="B193" s="1165"/>
      <c r="C193" s="1166"/>
      <c r="D193" s="875"/>
      <c r="E193" s="875"/>
      <c r="F193" s="875"/>
      <c r="G193" s="875"/>
      <c r="H193" s="875"/>
      <c r="I193" s="875"/>
      <c r="J193" s="875"/>
      <c r="K193" s="875"/>
      <c r="L193" s="875"/>
      <c r="M193" s="875"/>
      <c r="N193" s="875"/>
      <c r="O193" s="102"/>
      <c r="P193" s="102"/>
      <c r="Q193" s="102"/>
      <c r="R193" s="102"/>
      <c r="S193"/>
      <c r="T193" s="20"/>
      <c r="U193" s="20"/>
      <c r="V193" s="899"/>
      <c r="W193" s="899"/>
      <c r="X193" s="899"/>
      <c r="Y193" s="899"/>
      <c r="Z193" s="899"/>
      <c r="AA193" s="899"/>
      <c r="AB193" s="899"/>
      <c r="AC193" s="899"/>
      <c r="AD193" s="899"/>
      <c r="AE193" s="899"/>
      <c r="AF193" s="899"/>
    </row>
    <row r="194" spans="1:32" ht="15" x14ac:dyDescent="0.25">
      <c r="A194" s="30"/>
      <c r="B194" s="1165"/>
      <c r="C194" s="1024"/>
      <c r="D194" s="1167"/>
      <c r="E194" s="1167"/>
      <c r="F194" s="1167"/>
      <c r="G194" s="1167"/>
      <c r="H194" s="1167"/>
      <c r="I194" s="1167"/>
      <c r="J194" s="1167"/>
      <c r="K194" s="1167"/>
      <c r="L194" s="1167"/>
      <c r="M194" s="1167"/>
      <c r="N194" s="1168"/>
      <c r="O194" s="102"/>
      <c r="P194" s="102"/>
      <c r="Q194" s="102"/>
      <c r="R194" s="102"/>
      <c r="S194"/>
      <c r="T194" s="694"/>
      <c r="U194" s="20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</row>
    <row r="195" spans="1:32" ht="15" x14ac:dyDescent="0.25">
      <c r="A195" s="30"/>
      <c r="B195" s="515"/>
      <c r="C195" s="1024"/>
      <c r="D195" s="619"/>
      <c r="E195" s="641"/>
      <c r="F195" s="641"/>
      <c r="G195" s="641"/>
      <c r="H195" s="880"/>
      <c r="I195" s="641"/>
      <c r="J195" s="1024"/>
      <c r="K195" s="641"/>
      <c r="L195" s="1024"/>
      <c r="M195" s="641"/>
      <c r="N195" s="1024"/>
      <c r="O195" s="102"/>
      <c r="P195" s="102"/>
      <c r="Q195" s="102"/>
      <c r="R195" s="102"/>
      <c r="S195"/>
      <c r="T195" s="1024"/>
      <c r="U195" s="20"/>
      <c r="V195" s="901"/>
      <c r="W195" s="901"/>
      <c r="X195" s="901"/>
      <c r="Y195" s="901"/>
      <c r="Z195" s="901"/>
      <c r="AA195" s="901"/>
      <c r="AB195" s="901"/>
      <c r="AC195" s="901"/>
      <c r="AD195" s="901"/>
      <c r="AE195" s="901"/>
      <c r="AF195" s="901"/>
    </row>
    <row r="196" spans="1:32" ht="15" x14ac:dyDescent="0.25">
      <c r="A196" s="30"/>
      <c r="B196" s="1169"/>
      <c r="C196" s="72"/>
      <c r="D196" s="1170"/>
      <c r="E196" s="884"/>
      <c r="F196" s="1159"/>
      <c r="G196" s="884"/>
      <c r="H196" s="1159"/>
      <c r="I196" s="884"/>
      <c r="J196" s="1159"/>
      <c r="K196" s="884"/>
      <c r="L196" s="1159"/>
      <c r="M196" s="884"/>
      <c r="N196" s="1159"/>
      <c r="O196" s="102"/>
      <c r="P196" s="102"/>
      <c r="Q196" s="102"/>
      <c r="R196" s="102"/>
      <c r="S196"/>
      <c r="T196" s="842"/>
      <c r="U196" s="20"/>
      <c r="V196" s="904"/>
      <c r="W196" s="904"/>
      <c r="X196" s="904"/>
      <c r="Y196" s="904"/>
      <c r="Z196" s="904"/>
      <c r="AA196" s="904"/>
      <c r="AB196" s="904"/>
      <c r="AC196" s="904"/>
      <c r="AD196" s="904"/>
      <c r="AE196" s="904"/>
      <c r="AF196" s="904"/>
    </row>
    <row r="197" spans="1:32" ht="15" x14ac:dyDescent="0.25">
      <c r="A197" s="30"/>
      <c r="B197" s="1169"/>
      <c r="C197" s="20"/>
      <c r="D197" s="42"/>
      <c r="E197" s="633"/>
      <c r="F197" s="1159"/>
      <c r="G197" s="633"/>
      <c r="H197" s="1159"/>
      <c r="I197" s="633"/>
      <c r="J197" s="1159"/>
      <c r="K197" s="633"/>
      <c r="L197" s="1159"/>
      <c r="M197" s="633"/>
      <c r="N197" s="1159"/>
      <c r="O197" s="102"/>
      <c r="P197" s="102"/>
      <c r="Q197" s="102"/>
      <c r="R197" s="102"/>
      <c r="S197"/>
      <c r="T197" s="694"/>
      <c r="U197" s="20"/>
      <c r="V197" s="901"/>
      <c r="W197" s="901"/>
      <c r="X197" s="901"/>
      <c r="Y197" s="901"/>
      <c r="Z197" s="901"/>
      <c r="AA197" s="901"/>
      <c r="AB197" s="901"/>
      <c r="AC197" s="901"/>
      <c r="AD197" s="901"/>
      <c r="AE197" s="901"/>
      <c r="AF197" s="901"/>
    </row>
    <row r="198" spans="1:32" ht="15" x14ac:dyDescent="0.25">
      <c r="A198" s="30"/>
      <c r="B198" s="1171"/>
      <c r="C198" s="20"/>
      <c r="D198" s="42"/>
      <c r="E198" s="633"/>
      <c r="F198" s="1159"/>
      <c r="G198" s="633"/>
      <c r="H198" s="1159"/>
      <c r="I198" s="633"/>
      <c r="J198" s="1159"/>
      <c r="K198" s="633"/>
      <c r="L198" s="1159"/>
      <c r="M198" s="633"/>
      <c r="N198" s="1159"/>
      <c r="O198" s="102"/>
      <c r="P198" s="102"/>
      <c r="Q198" s="102"/>
      <c r="R198" s="102"/>
      <c r="S198"/>
      <c r="T198" s="694"/>
      <c r="U198" s="20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</row>
    <row r="199" spans="1:32" ht="15" x14ac:dyDescent="0.25">
      <c r="A199" s="30"/>
      <c r="B199" s="1171"/>
      <c r="C199" s="20"/>
      <c r="D199" s="42"/>
      <c r="E199" s="633"/>
      <c r="F199" s="1159"/>
      <c r="G199" s="633"/>
      <c r="H199" s="1159"/>
      <c r="I199" s="633"/>
      <c r="J199" s="1159"/>
      <c r="K199" s="633"/>
      <c r="L199" s="1159"/>
      <c r="M199" s="633"/>
      <c r="N199" s="1159"/>
      <c r="O199" s="102"/>
      <c r="P199" s="102"/>
      <c r="Q199" s="102"/>
      <c r="R199" s="102"/>
      <c r="S199"/>
      <c r="T199" s="694"/>
      <c r="U199" s="20"/>
      <c r="V199" s="901"/>
      <c r="W199" s="901"/>
      <c r="X199" s="901"/>
      <c r="Y199" s="901"/>
      <c r="Z199" s="901"/>
      <c r="AA199" s="901"/>
      <c r="AB199" s="901"/>
      <c r="AC199" s="901"/>
      <c r="AD199" s="901"/>
      <c r="AE199" s="901"/>
      <c r="AF199" s="901"/>
    </row>
    <row r="200" spans="1:32" ht="15" x14ac:dyDescent="0.25">
      <c r="A200" s="30"/>
      <c r="B200" s="1171"/>
      <c r="C200" s="547"/>
      <c r="D200" s="560"/>
      <c r="E200" s="880"/>
      <c r="F200" s="1159"/>
      <c r="G200" s="880"/>
      <c r="H200" s="1159"/>
      <c r="I200" s="880"/>
      <c r="J200" s="1159"/>
      <c r="K200" s="880"/>
      <c r="L200" s="1159"/>
      <c r="M200" s="880"/>
      <c r="N200" s="1159"/>
      <c r="O200" s="102"/>
      <c r="P200" s="102"/>
      <c r="Q200" s="102"/>
      <c r="R200" s="102"/>
      <c r="S200"/>
      <c r="T200" s="694"/>
      <c r="U200" s="20"/>
      <c r="V200" s="901"/>
      <c r="W200" s="901"/>
      <c r="X200" s="901"/>
      <c r="Y200" s="901"/>
      <c r="Z200" s="901"/>
      <c r="AA200" s="901"/>
      <c r="AB200" s="901"/>
      <c r="AC200" s="901"/>
      <c r="AD200" s="901"/>
      <c r="AE200" s="901"/>
      <c r="AF200" s="901"/>
    </row>
    <row r="201" spans="1:32" ht="15" x14ac:dyDescent="0.25">
      <c r="A201" s="514"/>
      <c r="B201" s="1153"/>
      <c r="C201" s="547"/>
      <c r="D201" s="560"/>
      <c r="E201" s="560"/>
      <c r="F201" s="1159"/>
      <c r="G201" s="880"/>
      <c r="H201" s="1159"/>
      <c r="I201" s="880"/>
      <c r="J201" s="1159"/>
      <c r="K201" s="880"/>
      <c r="L201" s="1159"/>
      <c r="M201" s="880"/>
      <c r="N201" s="1159"/>
      <c r="O201" s="102"/>
      <c r="P201" s="102"/>
      <c r="Q201" s="102"/>
      <c r="R201" s="102"/>
      <c r="S201"/>
      <c r="T201" s="694"/>
      <c r="U201" s="20"/>
      <c r="V201" s="901"/>
      <c r="W201" s="901"/>
      <c r="X201" s="901"/>
      <c r="Y201" s="901"/>
      <c r="Z201" s="901"/>
      <c r="AA201" s="901"/>
      <c r="AB201" s="901"/>
      <c r="AC201" s="901"/>
      <c r="AD201" s="901"/>
      <c r="AE201" s="901"/>
      <c r="AF201" s="901"/>
    </row>
    <row r="202" spans="1:32" ht="15" x14ac:dyDescent="0.25">
      <c r="A202" s="30"/>
      <c r="B202" s="1171"/>
      <c r="C202" s="547"/>
      <c r="D202" s="560"/>
      <c r="E202" s="880"/>
      <c r="F202" s="1159"/>
      <c r="G202" s="880"/>
      <c r="H202" s="1159"/>
      <c r="I202" s="880"/>
      <c r="J202" s="1159"/>
      <c r="K202" s="880"/>
      <c r="L202" s="1159"/>
      <c r="M202" s="880"/>
      <c r="N202" s="1159"/>
      <c r="O202" s="102"/>
      <c r="P202" s="102"/>
      <c r="Q202" s="102"/>
      <c r="R202" s="102"/>
      <c r="S202"/>
      <c r="T202" s="694"/>
      <c r="U202" s="20"/>
      <c r="V202" s="901"/>
      <c r="W202" s="901"/>
      <c r="X202" s="901"/>
      <c r="Y202" s="901"/>
      <c r="Z202" s="901"/>
      <c r="AA202" s="901"/>
      <c r="AB202" s="901"/>
      <c r="AC202" s="901"/>
      <c r="AD202" s="901"/>
      <c r="AE202" s="901"/>
      <c r="AF202" s="901"/>
    </row>
    <row r="203" spans="1:32" ht="15" x14ac:dyDescent="0.25">
      <c r="A203" s="30"/>
      <c r="B203" s="1171"/>
      <c r="C203" s="547"/>
      <c r="D203" s="560"/>
      <c r="E203" s="880"/>
      <c r="F203" s="1159"/>
      <c r="G203" s="880"/>
      <c r="H203" s="1159"/>
      <c r="I203" s="880"/>
      <c r="J203" s="1159"/>
      <c r="K203" s="1159"/>
      <c r="L203" s="1159"/>
      <c r="M203" s="1159"/>
      <c r="N203" s="1159"/>
      <c r="O203" s="102"/>
      <c r="P203" s="102"/>
      <c r="Q203" s="102"/>
      <c r="R203" s="102"/>
      <c r="S203"/>
      <c r="T203" s="20"/>
      <c r="U203" s="20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</row>
    <row r="204" spans="1:32" ht="15" x14ac:dyDescent="0.25">
      <c r="A204" s="30"/>
      <c r="B204" s="1171"/>
      <c r="C204" s="20"/>
      <c r="D204" s="560"/>
      <c r="E204" s="880"/>
      <c r="F204" s="1159"/>
      <c r="G204" s="880"/>
      <c r="H204" s="1159"/>
      <c r="I204" s="880"/>
      <c r="J204" s="1159"/>
      <c r="K204" s="880"/>
      <c r="L204" s="1159"/>
      <c r="M204" s="880"/>
      <c r="N204" s="1159"/>
      <c r="S204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</row>
    <row r="205" spans="1:32" x14ac:dyDescent="0.2">
      <c r="A205" s="30"/>
      <c r="B205" s="1153"/>
      <c r="C205" s="20"/>
      <c r="D205" s="560"/>
      <c r="E205" s="880"/>
      <c r="F205" s="1159"/>
      <c r="G205" s="880"/>
      <c r="H205" s="1159"/>
      <c r="I205" s="880"/>
      <c r="J205" s="1159"/>
      <c r="K205" s="880"/>
      <c r="L205" s="1159"/>
      <c r="M205" s="880"/>
      <c r="N205" s="1159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</row>
    <row r="206" spans="1:32" x14ac:dyDescent="0.2">
      <c r="A206" s="30"/>
      <c r="B206" s="1153"/>
      <c r="C206" s="20"/>
      <c r="D206" s="560"/>
      <c r="E206" s="880"/>
      <c r="F206" s="1159"/>
      <c r="G206" s="880"/>
      <c r="H206" s="1159"/>
      <c r="I206" s="880"/>
      <c r="J206" s="1159"/>
      <c r="K206" s="880"/>
      <c r="L206" s="1159"/>
      <c r="M206" s="880"/>
      <c r="N206" s="1159"/>
      <c r="T206" s="20"/>
      <c r="U206" s="20"/>
      <c r="V206" s="20"/>
      <c r="W206" s="20"/>
      <c r="X206" s="20"/>
      <c r="Y206" s="21"/>
      <c r="Z206" s="20"/>
      <c r="AA206" s="20"/>
      <c r="AB206" s="20"/>
      <c r="AC206" s="20"/>
      <c r="AD206" s="20"/>
      <c r="AE206" s="20"/>
      <c r="AF206" s="20"/>
    </row>
    <row r="207" spans="1:32" x14ac:dyDescent="0.2">
      <c r="A207" s="30"/>
      <c r="B207" s="1153"/>
      <c r="C207" s="20"/>
      <c r="D207" s="560"/>
      <c r="E207" s="880"/>
      <c r="F207" s="1159"/>
      <c r="G207" s="880"/>
      <c r="H207" s="1159"/>
      <c r="I207" s="880"/>
      <c r="J207" s="1159"/>
      <c r="K207" s="880"/>
      <c r="L207" s="1159"/>
      <c r="M207" s="880"/>
      <c r="N207" s="1159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</row>
    <row r="208" spans="1:32" x14ac:dyDescent="0.2">
      <c r="A208" s="514"/>
      <c r="B208" s="1153"/>
      <c r="C208" s="20"/>
      <c r="D208" s="560"/>
      <c r="E208" s="880"/>
      <c r="F208" s="1159"/>
      <c r="G208" s="880"/>
      <c r="H208" s="1159"/>
      <c r="I208" s="880"/>
      <c r="J208" s="1159"/>
      <c r="K208" s="880"/>
      <c r="L208" s="1159"/>
      <c r="M208" s="880"/>
      <c r="N208" s="1159"/>
    </row>
    <row r="209" spans="1:14" x14ac:dyDescent="0.2">
      <c r="A209" s="30"/>
      <c r="B209" s="1152"/>
      <c r="C209" s="547"/>
      <c r="D209" s="619"/>
      <c r="E209" s="641"/>
      <c r="F209" s="641"/>
      <c r="G209" s="641"/>
      <c r="H209" s="641"/>
      <c r="I209" s="641"/>
      <c r="J209" s="641"/>
      <c r="K209" s="641"/>
      <c r="L209" s="641"/>
      <c r="M209" s="641"/>
      <c r="N209" s="641"/>
    </row>
    <row r="210" spans="1:14" x14ac:dyDescent="0.2">
      <c r="A210" s="30"/>
      <c r="B210" s="508"/>
      <c r="C210" s="515"/>
      <c r="D210" s="875"/>
      <c r="E210" s="875"/>
      <c r="F210" s="875"/>
      <c r="G210" s="875"/>
      <c r="H210" s="875"/>
      <c r="I210" s="875"/>
      <c r="J210" s="875"/>
      <c r="K210" s="875"/>
      <c r="L210" s="875"/>
      <c r="M210" s="875"/>
      <c r="N210" s="875"/>
    </row>
    <row r="211" spans="1:14" x14ac:dyDescent="0.2">
      <c r="A211" s="30"/>
      <c r="B211" s="842"/>
      <c r="C211" s="1172"/>
      <c r="D211" s="800"/>
      <c r="E211" s="801"/>
      <c r="F211" s="801"/>
      <c r="G211" s="801"/>
      <c r="H211" s="64"/>
      <c r="I211" s="801"/>
      <c r="J211" s="64"/>
      <c r="K211" s="801"/>
      <c r="L211" s="64"/>
      <c r="M211" s="801"/>
      <c r="N211" s="64"/>
    </row>
    <row r="212" spans="1:14" x14ac:dyDescent="0.2">
      <c r="A212" s="30"/>
      <c r="B212" s="842"/>
      <c r="C212" s="547"/>
      <c r="D212" s="619"/>
      <c r="E212" s="641"/>
      <c r="F212" s="641"/>
      <c r="G212" s="641"/>
      <c r="H212" s="641"/>
      <c r="I212" s="641"/>
      <c r="J212" s="641"/>
      <c r="K212" s="641"/>
      <c r="L212" s="641"/>
      <c r="M212" s="641"/>
      <c r="N212" s="641"/>
    </row>
    <row r="213" spans="1:14" x14ac:dyDescent="0.2">
      <c r="A213" s="30"/>
      <c r="B213" s="20"/>
      <c r="C213" s="547"/>
      <c r="D213" s="619"/>
      <c r="E213" s="641"/>
      <c r="F213" s="641"/>
      <c r="G213" s="641"/>
      <c r="H213" s="641"/>
      <c r="I213" s="641"/>
      <c r="J213" s="641"/>
      <c r="K213" s="641"/>
      <c r="L213" s="641"/>
      <c r="M213" s="641"/>
      <c r="N213" s="641"/>
    </row>
    <row r="214" spans="1:14" x14ac:dyDescent="0.2">
      <c r="A214" s="30"/>
      <c r="B214" s="515"/>
      <c r="C214" s="547"/>
      <c r="D214" s="619"/>
      <c r="E214" s="641"/>
      <c r="F214" s="641"/>
      <c r="G214" s="641"/>
      <c r="H214" s="641"/>
      <c r="I214" s="641"/>
      <c r="J214" s="641"/>
      <c r="K214" s="641"/>
      <c r="L214" s="641"/>
      <c r="M214" s="641"/>
      <c r="N214" s="641"/>
    </row>
    <row r="215" spans="1:14" x14ac:dyDescent="0.2">
      <c r="A215" s="30"/>
      <c r="B215" s="1169"/>
      <c r="C215" s="20"/>
      <c r="D215" s="42"/>
      <c r="E215" s="633"/>
      <c r="F215" s="1159"/>
      <c r="G215" s="902"/>
      <c r="H215" s="902"/>
      <c r="I215" s="902"/>
      <c r="J215" s="902"/>
      <c r="K215" s="902"/>
      <c r="L215" s="902"/>
      <c r="M215" s="902"/>
      <c r="N215" s="902"/>
    </row>
    <row r="216" spans="1:14" x14ac:dyDescent="0.2">
      <c r="A216" s="30"/>
      <c r="B216" s="1169"/>
      <c r="C216" s="20"/>
      <c r="D216" s="42"/>
      <c r="E216" s="633"/>
      <c r="F216" s="1159"/>
      <c r="G216" s="902"/>
      <c r="H216" s="902"/>
      <c r="I216" s="902"/>
      <c r="J216" s="902"/>
      <c r="K216" s="902"/>
      <c r="L216" s="902"/>
      <c r="M216" s="902"/>
      <c r="N216" s="902"/>
    </row>
    <row r="217" spans="1:14" x14ac:dyDescent="0.2">
      <c r="A217" s="30"/>
      <c r="B217" s="1158"/>
      <c r="C217" s="20"/>
      <c r="D217" s="619"/>
      <c r="E217" s="633"/>
      <c r="F217" s="1159"/>
      <c r="G217" s="902"/>
      <c r="H217" s="1159"/>
      <c r="I217" s="902"/>
      <c r="J217" s="1159"/>
      <c r="K217" s="902"/>
      <c r="L217" s="1159"/>
      <c r="M217" s="902"/>
      <c r="N217" s="1159"/>
    </row>
    <row r="218" spans="1:14" x14ac:dyDescent="0.2">
      <c r="A218" s="30"/>
      <c r="B218" s="1169"/>
      <c r="C218" s="20"/>
      <c r="D218" s="560"/>
      <c r="E218" s="633"/>
      <c r="F218" s="1173"/>
      <c r="G218" s="1173"/>
      <c r="H218" s="1173"/>
      <c r="I218" s="1173"/>
      <c r="J218" s="1174"/>
      <c r="K218" s="1173"/>
      <c r="L218" s="1174"/>
      <c r="M218" s="1173"/>
      <c r="N218" s="1174"/>
    </row>
    <row r="219" spans="1:14" x14ac:dyDescent="0.2">
      <c r="A219" s="30"/>
      <c r="B219" s="508"/>
      <c r="C219" s="942"/>
      <c r="D219" s="907"/>
      <c r="E219" s="907"/>
      <c r="F219" s="907"/>
      <c r="G219" s="907"/>
      <c r="H219" s="907"/>
      <c r="I219" s="907"/>
      <c r="J219" s="907"/>
      <c r="K219" s="907"/>
      <c r="L219" s="907"/>
      <c r="M219" s="907"/>
      <c r="N219" s="907"/>
    </row>
    <row r="220" spans="1:14" x14ac:dyDescent="0.2">
      <c r="A220" s="30"/>
      <c r="B220" s="20"/>
      <c r="C220" s="20"/>
      <c r="D220" s="63"/>
      <c r="E220" s="64"/>
      <c r="F220" s="64"/>
      <c r="G220" s="64"/>
      <c r="H220" s="801"/>
      <c r="I220" s="64"/>
      <c r="J220" s="801"/>
      <c r="K220" s="64"/>
      <c r="L220" s="801"/>
      <c r="M220" s="64"/>
      <c r="N220" s="801"/>
    </row>
    <row r="221" spans="1:14" x14ac:dyDescent="0.2">
      <c r="A221" s="30"/>
      <c r="B221" s="842"/>
      <c r="C221" s="1175"/>
      <c r="D221" s="801"/>
      <c r="E221" s="801"/>
      <c r="F221" s="801"/>
      <c r="G221" s="801"/>
      <c r="H221" s="801"/>
      <c r="I221" s="801"/>
      <c r="J221" s="801"/>
      <c r="K221" s="801"/>
      <c r="L221" s="801"/>
      <c r="M221" s="801"/>
      <c r="N221" s="801"/>
    </row>
    <row r="222" spans="1:14" x14ac:dyDescent="0.2">
      <c r="A222" s="30"/>
      <c r="B222" s="842"/>
      <c r="C222" s="1175"/>
      <c r="D222" s="801"/>
      <c r="E222" s="801"/>
      <c r="F222" s="801"/>
      <c r="G222" s="801"/>
      <c r="H222" s="801"/>
      <c r="I222" s="801"/>
      <c r="J222" s="801"/>
      <c r="K222" s="801"/>
      <c r="L222" s="801"/>
      <c r="M222" s="801"/>
      <c r="N222" s="801"/>
    </row>
    <row r="223" spans="1:14" x14ac:dyDescent="0.2">
      <c r="A223" s="30"/>
      <c r="B223" s="842"/>
      <c r="C223" s="1176"/>
      <c r="D223" s="801"/>
      <c r="E223" s="801"/>
      <c r="F223" s="801"/>
      <c r="G223" s="801"/>
      <c r="H223" s="801"/>
      <c r="I223" s="801"/>
      <c r="J223" s="801"/>
      <c r="K223" s="801"/>
      <c r="L223" s="801"/>
      <c r="M223" s="801"/>
      <c r="N223" s="801"/>
    </row>
    <row r="224" spans="1:14" x14ac:dyDescent="0.2">
      <c r="A224" s="30"/>
      <c r="B224" s="842"/>
      <c r="C224" s="1177"/>
      <c r="D224" s="801"/>
      <c r="E224" s="801"/>
      <c r="F224" s="801"/>
      <c r="G224" s="801"/>
      <c r="H224" s="801"/>
      <c r="I224" s="801"/>
      <c r="J224" s="801"/>
      <c r="K224" s="801"/>
      <c r="L224" s="801"/>
      <c r="M224" s="801"/>
      <c r="N224" s="801"/>
    </row>
    <row r="225" spans="1:19" x14ac:dyDescent="0.2">
      <c r="A225" s="30"/>
      <c r="B225" s="20"/>
      <c r="C225" s="547"/>
      <c r="D225" s="800"/>
      <c r="E225" s="801"/>
      <c r="F225" s="801"/>
      <c r="G225" s="801"/>
      <c r="H225" s="64"/>
      <c r="I225" s="801"/>
      <c r="J225" s="64"/>
      <c r="K225" s="801"/>
      <c r="L225" s="64"/>
      <c r="M225" s="801"/>
      <c r="N225" s="64"/>
    </row>
    <row r="226" spans="1:19" x14ac:dyDescent="0.2">
      <c r="A226" s="30"/>
      <c r="B226" s="842"/>
      <c r="C226" s="547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9" x14ac:dyDescent="0.2">
      <c r="A227" s="20"/>
      <c r="B227" s="547"/>
      <c r="C227" s="547"/>
      <c r="D227" s="547"/>
      <c r="E227" s="1024"/>
      <c r="F227" s="1024"/>
      <c r="G227" s="1024"/>
      <c r="H227" s="1024"/>
      <c r="I227" s="1024"/>
      <c r="J227" s="1024"/>
      <c r="K227" s="1024"/>
      <c r="L227" s="1024"/>
      <c r="M227" s="1024"/>
      <c r="N227" s="1024"/>
    </row>
    <row r="228" spans="1:19" x14ac:dyDescent="0.2">
      <c r="A228" s="20"/>
      <c r="B228" s="547"/>
      <c r="C228" s="1177"/>
      <c r="D228" s="647"/>
      <c r="E228" s="647"/>
      <c r="F228" s="647"/>
      <c r="G228" s="647"/>
      <c r="H228" s="647"/>
      <c r="I228" s="647"/>
      <c r="J228" s="647"/>
      <c r="K228" s="647"/>
      <c r="L228" s="647"/>
      <c r="M228" s="647"/>
      <c r="N228" s="647"/>
    </row>
    <row r="229" spans="1:19" x14ac:dyDescent="0.2">
      <c r="A229" s="20"/>
      <c r="B229" s="20"/>
      <c r="C229" s="20"/>
      <c r="D229" s="1178"/>
      <c r="E229" s="1178"/>
      <c r="F229" s="1178"/>
      <c r="G229" s="1178"/>
      <c r="H229" s="1178"/>
      <c r="I229" s="1178"/>
      <c r="J229" s="1178"/>
      <c r="K229" s="1178"/>
      <c r="L229" s="1178"/>
      <c r="M229" s="1178"/>
      <c r="N229" s="1178"/>
    </row>
    <row r="230" spans="1:19" ht="15" x14ac:dyDescent="0.25">
      <c r="A230" s="523"/>
      <c r="B230" s="917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/>
      <c r="P230"/>
      <c r="Q230"/>
      <c r="R230"/>
      <c r="S230"/>
    </row>
    <row r="231" spans="1:19" ht="15" x14ac:dyDescent="0.25">
      <c r="A231" s="30"/>
      <c r="B231" s="1152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/>
      <c r="P231"/>
      <c r="Q231"/>
      <c r="R231"/>
      <c r="S231"/>
    </row>
    <row r="232" spans="1:19" ht="15" x14ac:dyDescent="0.25">
      <c r="A232" s="30"/>
      <c r="B232" s="1153"/>
      <c r="C232" s="547"/>
      <c r="D232" s="1154"/>
      <c r="E232" s="1154"/>
      <c r="F232" s="1154"/>
      <c r="G232" s="526"/>
      <c r="H232" s="1155"/>
      <c r="I232" s="526"/>
      <c r="J232" s="1156"/>
      <c r="K232" s="526"/>
      <c r="L232" s="1156"/>
      <c r="M232" s="526"/>
      <c r="N232" s="1156"/>
      <c r="O232"/>
      <c r="P232"/>
      <c r="Q232"/>
      <c r="R232"/>
      <c r="S232"/>
    </row>
    <row r="233" spans="1:19" ht="15" x14ac:dyDescent="0.25">
      <c r="A233" s="30"/>
      <c r="B233" s="1153"/>
      <c r="C233" s="547"/>
      <c r="D233" s="1154"/>
      <c r="E233" s="1154"/>
      <c r="F233" s="1157"/>
      <c r="G233" s="579"/>
      <c r="H233" s="1157"/>
      <c r="I233" s="1157"/>
      <c r="J233" s="1157"/>
      <c r="K233" s="1157"/>
      <c r="L233" s="1157"/>
      <c r="M233" s="1157"/>
      <c r="N233" s="1157"/>
      <c r="O233"/>
      <c r="P233"/>
      <c r="Q233"/>
      <c r="R233"/>
      <c r="S233"/>
    </row>
    <row r="234" spans="1:19" ht="15" x14ac:dyDescent="0.25">
      <c r="A234" s="30"/>
      <c r="B234" s="1158"/>
      <c r="C234" s="547"/>
      <c r="D234" s="1159"/>
      <c r="E234" s="1159"/>
      <c r="F234" s="1159"/>
      <c r="G234" s="619"/>
      <c r="H234" s="1159"/>
      <c r="I234" s="1159"/>
      <c r="J234" s="1159"/>
      <c r="K234" s="547"/>
      <c r="L234" s="1159"/>
      <c r="M234" s="547"/>
      <c r="N234" s="1159"/>
      <c r="O234"/>
      <c r="P234"/>
      <c r="Q234"/>
      <c r="R234"/>
      <c r="S234"/>
    </row>
    <row r="235" spans="1:19" ht="15" x14ac:dyDescent="0.25">
      <c r="A235" s="30"/>
      <c r="B235" s="1153"/>
      <c r="C235" s="20"/>
      <c r="D235" s="1159"/>
      <c r="E235" s="1159"/>
      <c r="F235" s="1159"/>
      <c r="G235" s="1159"/>
      <c r="H235" s="1159"/>
      <c r="I235" s="1159"/>
      <c r="J235" s="1159"/>
      <c r="K235" s="1159"/>
      <c r="L235" s="1159"/>
      <c r="M235" s="1159"/>
      <c r="N235" s="1159"/>
      <c r="O235"/>
      <c r="P235"/>
      <c r="Q235"/>
      <c r="R235"/>
      <c r="S235"/>
    </row>
    <row r="236" spans="1:19" ht="15" x14ac:dyDescent="0.25">
      <c r="A236" s="30"/>
      <c r="B236" s="1158"/>
      <c r="C236" s="547"/>
      <c r="D236" s="1159"/>
      <c r="E236" s="1159"/>
      <c r="F236" s="1159"/>
      <c r="G236" s="619"/>
      <c r="H236" s="1159"/>
      <c r="I236" s="1160"/>
      <c r="J236" s="1159"/>
      <c r="K236" s="1160"/>
      <c r="L236" s="1159"/>
      <c r="M236" s="1160"/>
      <c r="N236" s="1159"/>
      <c r="O236"/>
      <c r="P236"/>
      <c r="Q236"/>
      <c r="R236"/>
      <c r="S236"/>
    </row>
    <row r="237" spans="1:19" x14ac:dyDescent="0.2">
      <c r="A237" s="30"/>
      <c r="B237" s="1158"/>
      <c r="C237" s="547"/>
      <c r="D237" s="1159"/>
      <c r="E237" s="1159"/>
      <c r="F237" s="1159"/>
      <c r="G237" s="640"/>
      <c r="H237" s="1159"/>
      <c r="I237" s="1159"/>
      <c r="J237" s="1159"/>
      <c r="K237" s="1159"/>
      <c r="L237" s="1159"/>
      <c r="M237" s="1159"/>
      <c r="N237" s="1159"/>
    </row>
    <row r="238" spans="1:19" x14ac:dyDescent="0.2">
      <c r="A238" s="30"/>
      <c r="B238" s="1158"/>
      <c r="C238" s="547"/>
      <c r="D238" s="1159"/>
      <c r="E238" s="1159"/>
      <c r="F238" s="1159"/>
      <c r="G238" s="640"/>
      <c r="H238" s="1159"/>
      <c r="I238" s="1159"/>
      <c r="J238" s="1159"/>
      <c r="K238" s="1159"/>
      <c r="L238" s="1159"/>
      <c r="M238" s="1159"/>
      <c r="N238" s="1159"/>
    </row>
    <row r="239" spans="1:19" x14ac:dyDescent="0.2">
      <c r="A239" s="30"/>
      <c r="B239" s="1158"/>
      <c r="C239" s="547"/>
      <c r="D239" s="1159"/>
      <c r="E239" s="1159"/>
      <c r="F239" s="1159"/>
      <c r="G239" s="640"/>
      <c r="H239" s="1159"/>
      <c r="I239" s="1159"/>
      <c r="J239" s="1159"/>
      <c r="K239" s="1159"/>
      <c r="L239" s="1159"/>
      <c r="M239" s="1159"/>
      <c r="N239" s="1159"/>
    </row>
    <row r="240" spans="1:19" x14ac:dyDescent="0.2">
      <c r="A240" s="30"/>
      <c r="B240" s="1158"/>
      <c r="C240" s="547"/>
      <c r="D240" s="1159"/>
      <c r="E240" s="1159"/>
      <c r="F240" s="1159"/>
      <c r="G240" s="640"/>
      <c r="H240" s="1159"/>
      <c r="I240" s="1159"/>
      <c r="J240" s="1159"/>
      <c r="K240" s="1159"/>
      <c r="L240" s="1159"/>
      <c r="M240" s="1159"/>
      <c r="N240" s="1159"/>
    </row>
    <row r="241" spans="1:14" x14ac:dyDescent="0.2">
      <c r="A241" s="30"/>
      <c r="B241" s="1158"/>
      <c r="C241" s="547"/>
      <c r="D241" s="1159"/>
      <c r="E241" s="1159"/>
      <c r="F241" s="1159"/>
      <c r="G241" s="640"/>
      <c r="H241" s="1159"/>
      <c r="I241" s="1159"/>
      <c r="J241" s="1159"/>
      <c r="K241" s="1159"/>
      <c r="L241" s="1159"/>
      <c r="M241" s="1159"/>
      <c r="N241" s="1159"/>
    </row>
    <row r="242" spans="1:14" x14ac:dyDescent="0.2">
      <c r="A242" s="30"/>
      <c r="B242" s="1158"/>
      <c r="C242" s="547"/>
      <c r="D242" s="1159"/>
      <c r="E242" s="1159"/>
      <c r="F242" s="1159"/>
      <c r="G242" s="640"/>
      <c r="H242" s="1159"/>
      <c r="I242" s="1159"/>
      <c r="J242" s="1159"/>
      <c r="K242" s="1159"/>
      <c r="L242" s="1159"/>
      <c r="M242" s="1159"/>
      <c r="N242" s="1159"/>
    </row>
    <row r="243" spans="1:14" x14ac:dyDescent="0.2">
      <c r="A243" s="30"/>
      <c r="B243" s="1158"/>
      <c r="C243" s="547"/>
      <c r="D243" s="1159"/>
      <c r="E243" s="1159"/>
      <c r="F243" s="1159"/>
      <c r="G243" s="640"/>
      <c r="H243" s="1159"/>
      <c r="I243" s="1159"/>
      <c r="J243" s="1159"/>
      <c r="K243" s="1159"/>
      <c r="L243" s="1159"/>
      <c r="M243" s="1159"/>
      <c r="N243" s="1159"/>
    </row>
    <row r="244" spans="1:14" x14ac:dyDescent="0.2">
      <c r="A244" s="30"/>
      <c r="B244" s="1152"/>
      <c r="C244" s="547"/>
      <c r="D244" s="1159"/>
      <c r="E244" s="1159"/>
      <c r="F244" s="1159"/>
      <c r="G244" s="640"/>
      <c r="H244" s="1159"/>
      <c r="I244" s="1159"/>
      <c r="J244" s="1159"/>
      <c r="K244" s="1159"/>
      <c r="L244" s="1159"/>
      <c r="M244" s="1159"/>
      <c r="N244" s="1159"/>
    </row>
    <row r="245" spans="1:14" x14ac:dyDescent="0.2">
      <c r="A245" s="30"/>
      <c r="B245" s="1161"/>
      <c r="C245" s="547"/>
      <c r="D245" s="1159"/>
      <c r="E245" s="1159"/>
      <c r="F245" s="1159"/>
      <c r="G245" s="640"/>
      <c r="H245" s="1159"/>
      <c r="I245" s="1159"/>
      <c r="J245" s="1159"/>
      <c r="K245" s="1159"/>
      <c r="L245" s="1159"/>
      <c r="M245" s="1159"/>
      <c r="N245" s="1159"/>
    </row>
    <row r="246" spans="1:14" x14ac:dyDescent="0.2">
      <c r="A246" s="30"/>
      <c r="B246" s="1153"/>
      <c r="C246" s="547"/>
      <c r="D246" s="1159"/>
      <c r="E246" s="1159"/>
      <c r="F246" s="1159"/>
      <c r="G246" s="640"/>
      <c r="H246" s="1159"/>
      <c r="I246" s="1159"/>
      <c r="J246" s="1159"/>
      <c r="K246" s="1159"/>
      <c r="L246" s="1159"/>
      <c r="M246" s="1159"/>
      <c r="N246" s="1159"/>
    </row>
    <row r="247" spans="1:14" x14ac:dyDescent="0.2">
      <c r="A247" s="30"/>
      <c r="B247" s="1153"/>
      <c r="C247" s="547"/>
      <c r="D247" s="1159"/>
      <c r="E247" s="1159"/>
      <c r="F247" s="1159"/>
      <c r="G247" s="640"/>
      <c r="H247" s="1159"/>
      <c r="I247" s="1159"/>
      <c r="J247" s="1159"/>
      <c r="K247" s="1159"/>
      <c r="L247" s="1159"/>
      <c r="M247" s="1159"/>
      <c r="N247" s="1159"/>
    </row>
    <row r="248" spans="1:14" x14ac:dyDescent="0.2">
      <c r="A248" s="30"/>
      <c r="B248" s="1152"/>
      <c r="C248" s="547"/>
      <c r="D248" s="1159"/>
      <c r="E248" s="1159"/>
      <c r="F248" s="1159"/>
      <c r="G248" s="640"/>
      <c r="H248" s="1159"/>
      <c r="I248" s="1159"/>
      <c r="J248" s="1159"/>
      <c r="K248" s="1159"/>
      <c r="L248" s="1159"/>
      <c r="M248" s="1159"/>
      <c r="N248" s="1159"/>
    </row>
    <row r="249" spans="1:14" x14ac:dyDescent="0.2">
      <c r="A249" s="30"/>
      <c r="B249" s="1153"/>
      <c r="C249" s="547"/>
      <c r="D249" s="1159"/>
      <c r="E249" s="1159"/>
      <c r="F249" s="1159"/>
      <c r="G249" s="640"/>
      <c r="H249" s="1159"/>
      <c r="I249" s="1159"/>
      <c r="J249" s="1159"/>
      <c r="K249" s="1159"/>
      <c r="L249" s="1159"/>
      <c r="M249" s="1159"/>
      <c r="N249" s="1159"/>
    </row>
    <row r="250" spans="1:14" x14ac:dyDescent="0.2">
      <c r="A250" s="30"/>
      <c r="B250" s="1153"/>
      <c r="C250" s="20"/>
      <c r="D250" s="1159"/>
      <c r="E250" s="1159"/>
      <c r="F250" s="1159"/>
      <c r="G250" s="641"/>
      <c r="H250" s="1159"/>
      <c r="I250" s="1159"/>
      <c r="J250" s="1159"/>
      <c r="K250" s="1159"/>
      <c r="L250" s="1159"/>
      <c r="M250" s="1159"/>
      <c r="N250" s="1159"/>
    </row>
    <row r="251" spans="1:14" x14ac:dyDescent="0.2">
      <c r="A251" s="30"/>
      <c r="B251" s="1153"/>
      <c r="C251" s="547"/>
      <c r="D251" s="1159"/>
      <c r="E251" s="1159"/>
      <c r="F251" s="1159"/>
      <c r="G251" s="640"/>
      <c r="H251" s="1159"/>
      <c r="I251" s="1159"/>
      <c r="J251" s="1159"/>
      <c r="K251" s="1159"/>
      <c r="L251" s="1159"/>
      <c r="M251" s="1159"/>
      <c r="N251" s="1159"/>
    </row>
    <row r="252" spans="1:14" x14ac:dyDescent="0.2">
      <c r="A252" s="30"/>
      <c r="B252" s="1153"/>
      <c r="C252" s="547"/>
      <c r="D252" s="1159"/>
      <c r="E252" s="1159"/>
      <c r="F252" s="1159"/>
      <c r="G252" s="640"/>
      <c r="H252" s="1159"/>
      <c r="I252" s="1159"/>
      <c r="J252" s="1159"/>
      <c r="K252" s="1159"/>
      <c r="L252" s="1159"/>
      <c r="M252" s="1159"/>
      <c r="N252" s="1159"/>
    </row>
    <row r="253" spans="1:14" x14ac:dyDescent="0.2">
      <c r="A253" s="30"/>
      <c r="B253" s="1153"/>
      <c r="C253" s="1159"/>
      <c r="D253" s="1159"/>
      <c r="E253" s="1159"/>
      <c r="F253" s="1159"/>
      <c r="G253" s="640"/>
      <c r="H253" s="1159"/>
      <c r="I253" s="1159"/>
      <c r="J253" s="1159"/>
      <c r="K253" s="1159"/>
      <c r="L253" s="1159"/>
      <c r="M253" s="1159"/>
      <c r="N253" s="1159"/>
    </row>
    <row r="254" spans="1:14" x14ac:dyDescent="0.2">
      <c r="A254" s="30"/>
      <c r="B254" s="1153"/>
      <c r="C254" s="1159"/>
      <c r="D254" s="1159"/>
      <c r="E254" s="1159"/>
      <c r="F254" s="1159"/>
      <c r="G254" s="640"/>
      <c r="H254" s="1159"/>
      <c r="I254" s="1159"/>
      <c r="J254" s="1159"/>
      <c r="K254" s="1159"/>
      <c r="L254" s="1159"/>
      <c r="M254" s="1159"/>
      <c r="N254" s="1159"/>
    </row>
    <row r="255" spans="1:14" x14ac:dyDescent="0.2">
      <c r="A255" s="30"/>
      <c r="B255" s="1158"/>
      <c r="C255" s="1159"/>
      <c r="D255" s="560"/>
      <c r="E255" s="560"/>
      <c r="F255" s="1159"/>
      <c r="G255" s="640"/>
      <c r="H255" s="1159"/>
      <c r="I255" s="1159"/>
      <c r="J255" s="1159"/>
      <c r="K255" s="1159"/>
      <c r="L255" s="1159"/>
      <c r="M255" s="1159"/>
      <c r="N255" s="1159"/>
    </row>
    <row r="256" spans="1:14" x14ac:dyDescent="0.2">
      <c r="A256" s="30"/>
      <c r="B256" s="1158"/>
      <c r="C256" s="1159"/>
      <c r="D256" s="560"/>
      <c r="E256" s="560"/>
      <c r="F256" s="1159"/>
      <c r="G256" s="640"/>
      <c r="H256" s="1159"/>
      <c r="I256" s="1159"/>
      <c r="J256" s="1159"/>
      <c r="K256" s="1159"/>
      <c r="L256" s="1159"/>
      <c r="M256" s="1159"/>
      <c r="N256" s="1159"/>
    </row>
    <row r="257" spans="1:14" x14ac:dyDescent="0.2">
      <c r="A257" s="30"/>
      <c r="B257" s="1161"/>
      <c r="C257" s="1159"/>
      <c r="D257" s="1159"/>
      <c r="E257" s="1159"/>
      <c r="F257" s="1159"/>
      <c r="G257" s="641"/>
      <c r="H257" s="1159"/>
      <c r="I257" s="1162"/>
      <c r="J257" s="1159"/>
      <c r="K257" s="1162"/>
      <c r="L257" s="1159"/>
      <c r="M257" s="1162"/>
      <c r="N257" s="1159"/>
    </row>
    <row r="258" spans="1:14" ht="13.5" x14ac:dyDescent="0.25">
      <c r="A258" s="30"/>
      <c r="B258" s="1161"/>
      <c r="C258" s="1159"/>
      <c r="D258" s="917"/>
      <c r="E258" s="917"/>
      <c r="F258" s="1159"/>
      <c r="G258" s="917"/>
      <c r="H258" s="1159"/>
      <c r="I258" s="917"/>
      <c r="J258" s="1159"/>
      <c r="K258" s="917"/>
      <c r="L258" s="1159"/>
      <c r="M258" s="917"/>
      <c r="N258" s="1159"/>
    </row>
    <row r="259" spans="1:14" x14ac:dyDescent="0.2">
      <c r="A259" s="30"/>
      <c r="B259" s="1163"/>
      <c r="C259" s="1159"/>
      <c r="D259" s="1159"/>
      <c r="E259" s="1159"/>
      <c r="F259" s="1159"/>
      <c r="G259" s="641"/>
      <c r="H259" s="1159"/>
      <c r="I259" s="1162"/>
      <c r="J259" s="1159"/>
      <c r="K259" s="1162"/>
      <c r="L259" s="1159"/>
      <c r="M259" s="1162"/>
      <c r="N259" s="1159"/>
    </row>
    <row r="260" spans="1:14" x14ac:dyDescent="0.2">
      <c r="A260" s="30"/>
      <c r="B260" s="1153"/>
      <c r="C260" s="20"/>
      <c r="D260" s="1159"/>
      <c r="E260" s="1159"/>
      <c r="F260" s="1159"/>
      <c r="G260" s="641"/>
      <c r="H260" s="1159"/>
      <c r="I260" s="1162"/>
      <c r="J260" s="1159"/>
      <c r="K260" s="1162"/>
      <c r="L260" s="1159"/>
      <c r="M260" s="1162"/>
      <c r="N260" s="1159"/>
    </row>
    <row r="261" spans="1:14" x14ac:dyDescent="0.2">
      <c r="A261" s="30"/>
      <c r="B261" s="1163"/>
      <c r="C261" s="1164"/>
      <c r="D261" s="1159"/>
      <c r="E261" s="1159"/>
      <c r="F261" s="1159"/>
      <c r="G261" s="641"/>
      <c r="H261" s="1159"/>
      <c r="I261" s="1162"/>
      <c r="J261" s="1159"/>
      <c r="K261" s="1162"/>
      <c r="L261" s="1159"/>
      <c r="M261" s="1162"/>
      <c r="N261" s="1159"/>
    </row>
    <row r="262" spans="1:14" x14ac:dyDescent="0.2">
      <c r="A262" s="30"/>
      <c r="B262" s="1165"/>
      <c r="C262" s="1166"/>
      <c r="D262" s="875"/>
      <c r="E262" s="875"/>
      <c r="F262" s="875"/>
      <c r="G262" s="875"/>
      <c r="H262" s="875"/>
      <c r="I262" s="875"/>
      <c r="J262" s="875"/>
      <c r="K262" s="875"/>
      <c r="L262" s="875"/>
      <c r="M262" s="875"/>
      <c r="N262" s="875"/>
    </row>
    <row r="263" spans="1:14" x14ac:dyDescent="0.2">
      <c r="A263" s="30"/>
      <c r="B263" s="1165"/>
      <c r="C263" s="1024"/>
      <c r="D263" s="1167"/>
      <c r="E263" s="1167"/>
      <c r="F263" s="1167"/>
      <c r="G263" s="1167"/>
      <c r="H263" s="1167"/>
      <c r="I263" s="1167"/>
      <c r="J263" s="1167"/>
      <c r="K263" s="1167"/>
      <c r="L263" s="1167"/>
      <c r="M263" s="1167"/>
      <c r="N263" s="1168"/>
    </row>
    <row r="264" spans="1:14" x14ac:dyDescent="0.2">
      <c r="A264" s="30"/>
      <c r="B264" s="515"/>
      <c r="C264" s="1024"/>
      <c r="D264" s="619"/>
      <c r="E264" s="641"/>
      <c r="F264" s="641"/>
      <c r="G264" s="641"/>
      <c r="H264" s="880"/>
      <c r="I264" s="641"/>
      <c r="J264" s="1024"/>
      <c r="K264" s="641"/>
      <c r="L264" s="1024"/>
      <c r="M264" s="641"/>
      <c r="N264" s="1024"/>
    </row>
    <row r="265" spans="1:14" x14ac:dyDescent="0.2">
      <c r="A265" s="30"/>
      <c r="B265" s="1169"/>
      <c r="C265" s="72"/>
      <c r="D265" s="1170"/>
      <c r="E265" s="884"/>
      <c r="F265" s="1159"/>
      <c r="G265" s="884"/>
      <c r="H265" s="1159"/>
      <c r="I265" s="884"/>
      <c r="J265" s="1159"/>
      <c r="K265" s="884"/>
      <c r="L265" s="1159"/>
      <c r="M265" s="884"/>
      <c r="N265" s="1159"/>
    </row>
    <row r="266" spans="1:14" x14ac:dyDescent="0.2">
      <c r="A266" s="30"/>
      <c r="B266" s="1169"/>
      <c r="C266" s="20"/>
      <c r="D266" s="42"/>
      <c r="E266" s="633"/>
      <c r="F266" s="1159"/>
      <c r="G266" s="633"/>
      <c r="H266" s="1159"/>
      <c r="I266" s="633"/>
      <c r="J266" s="1159"/>
      <c r="K266" s="633"/>
      <c r="L266" s="1159"/>
      <c r="M266" s="633"/>
      <c r="N266" s="1159"/>
    </row>
    <row r="267" spans="1:14" x14ac:dyDescent="0.2">
      <c r="A267" s="30"/>
      <c r="B267" s="1171"/>
      <c r="C267" s="20"/>
      <c r="D267" s="42"/>
      <c r="E267" s="633"/>
      <c r="F267" s="1159"/>
      <c r="G267" s="633"/>
      <c r="H267" s="1159"/>
      <c r="I267" s="633"/>
      <c r="J267" s="1159"/>
      <c r="K267" s="633"/>
      <c r="L267" s="1159"/>
      <c r="M267" s="633"/>
      <c r="N267" s="1159"/>
    </row>
    <row r="268" spans="1:14" x14ac:dyDescent="0.2">
      <c r="A268" s="30"/>
      <c r="B268" s="1171"/>
      <c r="C268" s="20"/>
      <c r="D268" s="42"/>
      <c r="E268" s="633"/>
      <c r="F268" s="1159"/>
      <c r="G268" s="633"/>
      <c r="H268" s="1159"/>
      <c r="I268" s="633"/>
      <c r="J268" s="1159"/>
      <c r="K268" s="633"/>
      <c r="L268" s="1159"/>
      <c r="M268" s="633"/>
      <c r="N268" s="1159"/>
    </row>
    <row r="269" spans="1:14" x14ac:dyDescent="0.2">
      <c r="A269" s="30"/>
      <c r="B269" s="1171"/>
      <c r="C269" s="547"/>
      <c r="D269" s="560"/>
      <c r="E269" s="880"/>
      <c r="F269" s="1159"/>
      <c r="G269" s="880"/>
      <c r="H269" s="1159"/>
      <c r="I269" s="880"/>
      <c r="J269" s="1159"/>
      <c r="K269" s="880"/>
      <c r="L269" s="1159"/>
      <c r="M269" s="880"/>
      <c r="N269" s="1159"/>
    </row>
    <row r="270" spans="1:14" x14ac:dyDescent="0.2">
      <c r="A270" s="514"/>
      <c r="B270" s="1153"/>
      <c r="C270" s="547"/>
      <c r="D270" s="560"/>
      <c r="E270" s="560"/>
      <c r="F270" s="1159"/>
      <c r="G270" s="880"/>
      <c r="H270" s="1159"/>
      <c r="I270" s="880"/>
      <c r="J270" s="1159"/>
      <c r="K270" s="880"/>
      <c r="L270" s="1159"/>
      <c r="M270" s="880"/>
      <c r="N270" s="1159"/>
    </row>
    <row r="271" spans="1:14" x14ac:dyDescent="0.2">
      <c r="A271" s="30"/>
      <c r="B271" s="1171"/>
      <c r="C271" s="547"/>
      <c r="D271" s="560"/>
      <c r="E271" s="880"/>
      <c r="F271" s="1159"/>
      <c r="G271" s="880"/>
      <c r="H271" s="1159"/>
      <c r="I271" s="880"/>
      <c r="J271" s="1159"/>
      <c r="K271" s="880"/>
      <c r="L271" s="1159"/>
      <c r="M271" s="880"/>
      <c r="N271" s="1159"/>
    </row>
    <row r="272" spans="1:14" x14ac:dyDescent="0.2">
      <c r="A272" s="30"/>
      <c r="B272" s="1171"/>
      <c r="C272" s="547"/>
      <c r="D272" s="560"/>
      <c r="E272" s="880"/>
      <c r="F272" s="1159"/>
      <c r="G272" s="880"/>
      <c r="H272" s="1159"/>
      <c r="I272" s="880"/>
      <c r="J272" s="1159"/>
      <c r="K272" s="1159"/>
      <c r="L272" s="1159"/>
      <c r="M272" s="1159"/>
      <c r="N272" s="1159"/>
    </row>
    <row r="273" spans="1:14" x14ac:dyDescent="0.2">
      <c r="A273" s="30"/>
      <c r="B273" s="1171"/>
      <c r="C273" s="20"/>
      <c r="D273" s="560"/>
      <c r="E273" s="880"/>
      <c r="F273" s="1159"/>
      <c r="G273" s="880"/>
      <c r="H273" s="1159"/>
      <c r="I273" s="880"/>
      <c r="J273" s="1159"/>
      <c r="K273" s="880"/>
      <c r="L273" s="1159"/>
      <c r="M273" s="880"/>
      <c r="N273" s="1159"/>
    </row>
    <row r="274" spans="1:14" x14ac:dyDescent="0.2">
      <c r="A274" s="30"/>
      <c r="B274" s="1153"/>
      <c r="C274" s="20"/>
      <c r="D274" s="560"/>
      <c r="E274" s="880"/>
      <c r="F274" s="1159"/>
      <c r="G274" s="880"/>
      <c r="H274" s="1159"/>
      <c r="I274" s="880"/>
      <c r="J274" s="1159"/>
      <c r="K274" s="880"/>
      <c r="L274" s="1159"/>
      <c r="M274" s="880"/>
      <c r="N274" s="1159"/>
    </row>
    <row r="275" spans="1:14" x14ac:dyDescent="0.2">
      <c r="A275" s="30"/>
      <c r="B275" s="1153"/>
      <c r="C275" s="20"/>
      <c r="D275" s="560"/>
      <c r="E275" s="880"/>
      <c r="F275" s="1159"/>
      <c r="G275" s="880"/>
      <c r="H275" s="1159"/>
      <c r="I275" s="880"/>
      <c r="J275" s="1159"/>
      <c r="K275" s="880"/>
      <c r="L275" s="1159"/>
      <c r="M275" s="880"/>
      <c r="N275" s="1159"/>
    </row>
    <row r="276" spans="1:14" x14ac:dyDescent="0.2">
      <c r="A276" s="30"/>
      <c r="B276" s="1153"/>
      <c r="C276" s="20"/>
      <c r="D276" s="560"/>
      <c r="E276" s="880"/>
      <c r="F276" s="1159"/>
      <c r="G276" s="880"/>
      <c r="H276" s="1159"/>
      <c r="I276" s="880"/>
      <c r="J276" s="1159"/>
      <c r="K276" s="880"/>
      <c r="L276" s="1159"/>
      <c r="M276" s="880"/>
      <c r="N276" s="1159"/>
    </row>
    <row r="277" spans="1:14" x14ac:dyDescent="0.2">
      <c r="A277" s="514"/>
      <c r="B277" s="1153"/>
      <c r="C277" s="20"/>
      <c r="D277" s="560"/>
      <c r="E277" s="880"/>
      <c r="F277" s="1159"/>
      <c r="G277" s="880"/>
      <c r="H277" s="1159"/>
      <c r="I277" s="880"/>
      <c r="J277" s="1159"/>
      <c r="K277" s="880"/>
      <c r="L277" s="1159"/>
      <c r="M277" s="880"/>
      <c r="N277" s="1159"/>
    </row>
    <row r="278" spans="1:14" x14ac:dyDescent="0.2">
      <c r="A278" s="30"/>
      <c r="B278" s="1152"/>
      <c r="C278" s="547"/>
      <c r="D278" s="619"/>
      <c r="E278" s="641"/>
      <c r="F278" s="641"/>
      <c r="G278" s="641"/>
      <c r="H278" s="641"/>
      <c r="I278" s="641"/>
      <c r="J278" s="641"/>
      <c r="K278" s="641"/>
      <c r="L278" s="641"/>
      <c r="M278" s="641"/>
      <c r="N278" s="641"/>
    </row>
    <row r="279" spans="1:14" x14ac:dyDescent="0.2">
      <c r="A279" s="30"/>
      <c r="B279" s="508"/>
      <c r="C279" s="515"/>
      <c r="D279" s="875"/>
      <c r="E279" s="875"/>
      <c r="F279" s="875"/>
      <c r="G279" s="875"/>
      <c r="H279" s="875"/>
      <c r="I279" s="875"/>
      <c r="J279" s="875"/>
      <c r="K279" s="875"/>
      <c r="L279" s="875"/>
      <c r="M279" s="875"/>
      <c r="N279" s="875"/>
    </row>
    <row r="280" spans="1:14" x14ac:dyDescent="0.2">
      <c r="A280" s="30"/>
      <c r="B280" s="842"/>
      <c r="C280" s="1172"/>
      <c r="D280" s="800"/>
      <c r="E280" s="801"/>
      <c r="F280" s="801"/>
      <c r="G280" s="801"/>
      <c r="H280" s="64"/>
      <c r="I280" s="801"/>
      <c r="J280" s="64"/>
      <c r="K280" s="801"/>
      <c r="L280" s="64"/>
      <c r="M280" s="801"/>
      <c r="N280" s="64"/>
    </row>
    <row r="281" spans="1:14" x14ac:dyDescent="0.2">
      <c r="A281" s="30"/>
      <c r="B281" s="842"/>
      <c r="C281" s="547"/>
      <c r="D281" s="619"/>
      <c r="E281" s="641"/>
      <c r="F281" s="641"/>
      <c r="G281" s="641"/>
      <c r="H281" s="641"/>
      <c r="I281" s="641"/>
      <c r="J281" s="641"/>
      <c r="K281" s="641"/>
      <c r="L281" s="641"/>
      <c r="M281" s="641"/>
      <c r="N281" s="641"/>
    </row>
    <row r="282" spans="1:14" x14ac:dyDescent="0.2">
      <c r="A282" s="30"/>
      <c r="B282" s="20"/>
      <c r="C282" s="547"/>
      <c r="D282" s="619"/>
      <c r="E282" s="641"/>
      <c r="F282" s="641"/>
      <c r="G282" s="641"/>
      <c r="H282" s="641"/>
      <c r="I282" s="641"/>
      <c r="J282" s="641"/>
      <c r="K282" s="641"/>
      <c r="L282" s="641"/>
      <c r="M282" s="641"/>
      <c r="N282" s="641"/>
    </row>
    <row r="283" spans="1:14" x14ac:dyDescent="0.2">
      <c r="A283" s="30"/>
      <c r="B283" s="515"/>
      <c r="C283" s="547"/>
      <c r="D283" s="619"/>
      <c r="E283" s="641"/>
      <c r="F283" s="641"/>
      <c r="G283" s="641"/>
      <c r="H283" s="641"/>
      <c r="I283" s="641"/>
      <c r="J283" s="641"/>
      <c r="K283" s="641"/>
      <c r="L283" s="641"/>
      <c r="M283" s="641"/>
      <c r="N283" s="641"/>
    </row>
    <row r="284" spans="1:14" x14ac:dyDescent="0.2">
      <c r="A284" s="30"/>
      <c r="B284" s="1169"/>
      <c r="C284" s="20"/>
      <c r="D284" s="42"/>
      <c r="E284" s="633"/>
      <c r="F284" s="1159"/>
      <c r="G284" s="902"/>
      <c r="H284" s="902"/>
      <c r="I284" s="902"/>
      <c r="J284" s="902"/>
      <c r="K284" s="902"/>
      <c r="L284" s="902"/>
      <c r="M284" s="902"/>
      <c r="N284" s="902"/>
    </row>
    <row r="285" spans="1:14" x14ac:dyDescent="0.2">
      <c r="A285" s="30"/>
      <c r="B285" s="1169"/>
      <c r="C285" s="20"/>
      <c r="D285" s="42"/>
      <c r="E285" s="633"/>
      <c r="F285" s="1159"/>
      <c r="G285" s="902"/>
      <c r="H285" s="902"/>
      <c r="I285" s="902"/>
      <c r="J285" s="902"/>
      <c r="K285" s="902"/>
      <c r="L285" s="902"/>
      <c r="M285" s="902"/>
      <c r="N285" s="902"/>
    </row>
    <row r="286" spans="1:14" x14ac:dyDescent="0.2">
      <c r="A286" s="30"/>
      <c r="B286" s="1158"/>
      <c r="C286" s="20"/>
      <c r="D286" s="619"/>
      <c r="E286" s="633"/>
      <c r="F286" s="1159"/>
      <c r="G286" s="902"/>
      <c r="H286" s="1159"/>
      <c r="I286" s="902"/>
      <c r="J286" s="1159"/>
      <c r="K286" s="902"/>
      <c r="L286" s="1159"/>
      <c r="M286" s="902"/>
      <c r="N286" s="1159"/>
    </row>
    <row r="287" spans="1:14" x14ac:dyDescent="0.2">
      <c r="A287" s="30"/>
      <c r="B287" s="1169"/>
      <c r="C287" s="20"/>
      <c r="D287" s="560"/>
      <c r="E287" s="633"/>
      <c r="F287" s="1173"/>
      <c r="G287" s="1173"/>
      <c r="H287" s="1173"/>
      <c r="I287" s="1173"/>
      <c r="J287" s="1174"/>
      <c r="K287" s="1173"/>
      <c r="L287" s="1174"/>
      <c r="M287" s="1173"/>
      <c r="N287" s="1174"/>
    </row>
    <row r="288" spans="1:14" x14ac:dyDescent="0.2">
      <c r="A288" s="30"/>
      <c r="B288" s="508"/>
      <c r="C288" s="942"/>
      <c r="D288" s="907"/>
      <c r="E288" s="907"/>
      <c r="F288" s="907"/>
      <c r="G288" s="907"/>
      <c r="H288" s="907"/>
      <c r="I288" s="907"/>
      <c r="J288" s="907"/>
      <c r="K288" s="907"/>
      <c r="L288" s="907"/>
      <c r="M288" s="907"/>
      <c r="N288" s="907"/>
    </row>
    <row r="289" spans="1:14" x14ac:dyDescent="0.2">
      <c r="A289" s="30"/>
      <c r="B289" s="20"/>
      <c r="C289" s="20"/>
      <c r="D289" s="63"/>
      <c r="E289" s="64"/>
      <c r="F289" s="64"/>
      <c r="G289" s="64"/>
      <c r="H289" s="801"/>
      <c r="I289" s="64"/>
      <c r="J289" s="801"/>
      <c r="K289" s="64"/>
      <c r="L289" s="801"/>
      <c r="M289" s="64"/>
      <c r="N289" s="801"/>
    </row>
    <row r="290" spans="1:14" x14ac:dyDescent="0.2">
      <c r="A290" s="30"/>
      <c r="B290" s="842"/>
      <c r="C290" s="1175"/>
      <c r="D290" s="801"/>
      <c r="E290" s="801"/>
      <c r="F290" s="801"/>
      <c r="G290" s="801"/>
      <c r="H290" s="801"/>
      <c r="I290" s="801"/>
      <c r="J290" s="801"/>
      <c r="K290" s="801"/>
      <c r="L290" s="801"/>
      <c r="M290" s="801"/>
      <c r="N290" s="801"/>
    </row>
    <row r="291" spans="1:14" x14ac:dyDescent="0.2">
      <c r="A291" s="30"/>
      <c r="B291" s="842"/>
      <c r="C291" s="1175"/>
      <c r="D291" s="801"/>
      <c r="E291" s="801"/>
      <c r="F291" s="801"/>
      <c r="G291" s="801"/>
      <c r="H291" s="801"/>
      <c r="I291" s="801"/>
      <c r="J291" s="801"/>
      <c r="K291" s="801"/>
      <c r="L291" s="801"/>
      <c r="M291" s="801"/>
      <c r="N291" s="801"/>
    </row>
    <row r="292" spans="1:14" x14ac:dyDescent="0.2">
      <c r="A292" s="30"/>
      <c r="B292" s="842"/>
      <c r="C292" s="1176"/>
      <c r="D292" s="801"/>
      <c r="E292" s="801"/>
      <c r="F292" s="801"/>
      <c r="G292" s="801"/>
      <c r="H292" s="801"/>
      <c r="I292" s="801"/>
      <c r="J292" s="801"/>
      <c r="K292" s="801"/>
      <c r="L292" s="801"/>
      <c r="M292" s="801"/>
      <c r="N292" s="801"/>
    </row>
    <row r="293" spans="1:14" x14ac:dyDescent="0.2">
      <c r="A293" s="30"/>
      <c r="B293" s="842"/>
      <c r="C293" s="1177"/>
      <c r="D293" s="801"/>
      <c r="E293" s="801"/>
      <c r="F293" s="801"/>
      <c r="G293" s="801"/>
      <c r="H293" s="801"/>
      <c r="I293" s="801"/>
      <c r="J293" s="801"/>
      <c r="K293" s="801"/>
      <c r="L293" s="801"/>
      <c r="M293" s="801"/>
      <c r="N293" s="801"/>
    </row>
    <row r="294" spans="1:14" x14ac:dyDescent="0.2">
      <c r="A294" s="30"/>
      <c r="B294" s="20"/>
      <c r="C294" s="547"/>
      <c r="D294" s="800"/>
      <c r="E294" s="801"/>
      <c r="F294" s="801"/>
      <c r="G294" s="801"/>
      <c r="H294" s="64"/>
      <c r="I294" s="801"/>
      <c r="J294" s="64"/>
      <c r="K294" s="801"/>
      <c r="L294" s="64"/>
      <c r="M294" s="801"/>
      <c r="N294" s="64"/>
    </row>
    <row r="295" spans="1:14" x14ac:dyDescent="0.2">
      <c r="A295" s="30"/>
      <c r="B295" s="842"/>
      <c r="C295" s="547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">
      <c r="A296" s="20"/>
      <c r="B296" s="547"/>
      <c r="C296" s="547"/>
      <c r="D296" s="547"/>
      <c r="E296" s="1024"/>
      <c r="F296" s="1024"/>
      <c r="G296" s="1024"/>
      <c r="H296" s="1024"/>
      <c r="I296" s="1024"/>
      <c r="J296" s="1024"/>
      <c r="K296" s="1024"/>
      <c r="L296" s="1024"/>
      <c r="M296" s="1024"/>
      <c r="N296" s="1024"/>
    </row>
    <row r="297" spans="1:14" x14ac:dyDescent="0.2">
      <c r="A297" s="20"/>
      <c r="B297" s="547"/>
      <c r="C297" s="1177"/>
      <c r="D297" s="647"/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</row>
    <row r="298" spans="1:14" x14ac:dyDescent="0.2">
      <c r="A298" s="20"/>
      <c r="B298" s="20"/>
      <c r="C298" s="20"/>
      <c r="D298" s="1178"/>
      <c r="E298" s="1178"/>
      <c r="F298" s="1178"/>
      <c r="G298" s="1178"/>
      <c r="H298" s="1178"/>
      <c r="I298" s="1178"/>
      <c r="J298" s="1178"/>
      <c r="K298" s="1178"/>
      <c r="L298" s="1178"/>
      <c r="M298" s="1178"/>
      <c r="N298" s="1178"/>
    </row>
    <row r="299" spans="1:14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</row>
    <row r="300" spans="1:14" x14ac:dyDescent="0.2">
      <c r="A300" s="20"/>
      <c r="B300" s="20"/>
      <c r="C300" s="20"/>
      <c r="D300" s="21"/>
      <c r="E300" s="20"/>
      <c r="F300" s="20"/>
      <c r="G300" s="20"/>
      <c r="H300" s="1179"/>
      <c r="I300" s="21"/>
      <c r="J300" s="20"/>
      <c r="K300" s="20"/>
      <c r="L300" s="20"/>
      <c r="M300" s="20"/>
      <c r="N300" s="20"/>
    </row>
    <row r="301" spans="1:14" x14ac:dyDescent="0.2">
      <c r="A301" s="20"/>
      <c r="B301" s="20"/>
      <c r="C301" s="20"/>
      <c r="D301" s="20"/>
      <c r="E301" s="20"/>
      <c r="F301" s="20"/>
      <c r="G301" s="20"/>
      <c r="H301" s="1179"/>
      <c r="I301" s="21"/>
      <c r="J301" s="20"/>
      <c r="K301" s="20"/>
      <c r="L301" s="20"/>
      <c r="M301" s="20"/>
      <c r="N301" s="20"/>
    </row>
    <row r="302" spans="1:14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</row>
  </sheetData>
  <conditionalFormatting sqref="V1:X1">
    <cfRule type="cellIs" dxfId="192" priority="1" operator="notEqual">
      <formula>0</formula>
    </cfRule>
  </conditionalFormatting>
  <pageMargins left="0.7" right="0.45" top="0.75" bottom="0.75" header="0.3" footer="0.3"/>
  <pageSetup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S288"/>
  <sheetViews>
    <sheetView topLeftCell="GH1" zoomScale="85" zoomScaleNormal="85" workbookViewId="0">
      <pane ySplit="15" topLeftCell="A22" activePane="bottomLeft" state="frozen"/>
      <selection activeCell="H26" sqref="H26"/>
      <selection pane="bottomLeft" activeCell="D88" sqref="D88"/>
    </sheetView>
  </sheetViews>
  <sheetFormatPr defaultColWidth="9.42578125" defaultRowHeight="15" outlineLevelCol="1" x14ac:dyDescent="0.25"/>
  <cols>
    <col min="1" max="1" width="11.5703125" style="1" bestFit="1" customWidth="1"/>
    <col min="2" max="2" width="56" style="1" bestFit="1" customWidth="1"/>
    <col min="3" max="3" width="8.5703125" style="1" bestFit="1" customWidth="1"/>
    <col min="4" max="6" width="15" style="1" customWidth="1"/>
    <col min="7" max="7" width="18.42578125" style="1" customWidth="1"/>
    <col min="8" max="14" width="17.5703125" style="1" customWidth="1"/>
    <col min="15" max="18" width="17.5703125" style="1" hidden="1" customWidth="1" outlineLevel="1"/>
    <col min="19" max="19" width="9.42578125" style="1" bestFit="1" customWidth="1" collapsed="1"/>
    <col min="20" max="20" width="55.42578125" style="1" hidden="1" customWidth="1" outlineLevel="1"/>
    <col min="21" max="21" width="6.5703125" style="1" hidden="1" customWidth="1" outlineLevel="1"/>
    <col min="22" max="23" width="13" style="1" hidden="1" customWidth="1" outlineLevel="1"/>
    <col min="24" max="24" width="13.42578125" style="1" hidden="1" customWidth="1" outlineLevel="1"/>
    <col min="25" max="25" width="11.42578125" style="1" hidden="1" customWidth="1" outlineLevel="1"/>
    <col min="26" max="36" width="12.5703125" style="1" hidden="1" customWidth="1" outlineLevel="1"/>
    <col min="37" max="37" width="6.42578125" style="1" customWidth="1" collapsed="1"/>
    <col min="38" max="38" width="40.5703125" style="1" bestFit="1" customWidth="1"/>
    <col min="39" max="39" width="4.5703125" style="1" bestFit="1" customWidth="1"/>
    <col min="40" max="40" width="15.5703125" style="1" bestFit="1" customWidth="1"/>
    <col min="41" max="41" width="14.5703125" style="1" bestFit="1" customWidth="1"/>
    <col min="42" max="42" width="13.5703125" style="1" bestFit="1" customWidth="1"/>
    <col min="43" max="43" width="14.5703125" style="1" bestFit="1" customWidth="1"/>
    <col min="44" max="44" width="13.5703125" style="1" bestFit="1" customWidth="1"/>
    <col min="45" max="45" width="15" style="1" bestFit="1" customWidth="1"/>
    <col min="46" max="46" width="12.5703125" style="1" bestFit="1" customWidth="1"/>
    <col min="47" max="47" width="15" style="1" bestFit="1" customWidth="1"/>
    <col min="48" max="48" width="12.5703125" style="1" bestFit="1" customWidth="1"/>
    <col min="49" max="49" width="15" style="1" bestFit="1" customWidth="1"/>
    <col min="50" max="50" width="12.5703125" style="1" bestFit="1" customWidth="1"/>
    <col min="51" max="52" width="12.5703125" style="1" hidden="1" customWidth="1" outlineLevel="1"/>
    <col min="53" max="53" width="15" style="1" hidden="1" customWidth="1" outlineLevel="1"/>
    <col min="54" max="54" width="14.7109375" style="1" hidden="1" customWidth="1" outlineLevel="1"/>
    <col min="55" max="55" width="5.42578125" style="1" customWidth="1" collapsed="1"/>
    <col min="56" max="56" width="48.42578125" style="1" customWidth="1"/>
    <col min="57" max="57" width="4.5703125" style="1" customWidth="1"/>
    <col min="58" max="59" width="13.42578125" style="1" customWidth="1"/>
    <col min="60" max="60" width="16" style="1" customWidth="1"/>
    <col min="61" max="61" width="13.42578125" style="1" customWidth="1"/>
    <col min="62" max="68" width="14.5703125" style="1" customWidth="1"/>
    <col min="69" max="72" width="14.5703125" style="1" hidden="1" customWidth="1" outlineLevel="1"/>
    <col min="73" max="73" width="9.42578125" style="1" customWidth="1" collapsed="1"/>
    <col min="74" max="74" width="67.42578125" style="1" customWidth="1"/>
    <col min="75" max="75" width="7.42578125" style="1" customWidth="1"/>
    <col min="76" max="86" width="14.5703125" style="1" customWidth="1"/>
    <col min="87" max="90" width="14.5703125" style="1" hidden="1" customWidth="1" outlineLevel="1"/>
    <col min="91" max="91" width="5" style="1" customWidth="1" collapsed="1"/>
    <col min="92" max="92" width="37" style="1" bestFit="1" customWidth="1"/>
    <col min="93" max="93" width="6" style="1" customWidth="1"/>
    <col min="94" max="96" width="14.5703125" style="1" customWidth="1"/>
    <col min="97" max="108" width="14.5703125" style="1" hidden="1" customWidth="1" outlineLevel="1"/>
    <col min="109" max="109" width="5.42578125" style="1" customWidth="1" collapsed="1"/>
    <col min="110" max="110" width="47.5703125" style="1" bestFit="1" customWidth="1"/>
    <col min="111" max="111" width="4.5703125" style="1" customWidth="1"/>
    <col min="112" max="122" width="14.5703125" style="1" customWidth="1"/>
    <col min="123" max="126" width="14.5703125" style="1" hidden="1" customWidth="1" outlineLevel="1"/>
    <col min="127" max="127" width="5.42578125" style="1" customWidth="1" collapsed="1"/>
    <col min="128" max="128" width="53.42578125" style="1" bestFit="1" customWidth="1"/>
    <col min="129" max="129" width="7.42578125" style="1" customWidth="1"/>
    <col min="130" max="131" width="17" style="1" bestFit="1" customWidth="1"/>
    <col min="132" max="132" width="15.28515625" style="1" bestFit="1" customWidth="1"/>
    <col min="133" max="133" width="14.5703125" style="1" hidden="1" customWidth="1" outlineLevel="1"/>
    <col min="134" max="134" width="15.28515625" style="1" hidden="1" customWidth="1" outlineLevel="1"/>
    <col min="135" max="135" width="14.5703125" style="1" hidden="1" customWidth="1" outlineLevel="1"/>
    <col min="136" max="136" width="15.28515625" style="1" hidden="1" customWidth="1" outlineLevel="1"/>
    <col min="137" max="137" width="14.5703125" style="1" hidden="1" customWidth="1" outlineLevel="1"/>
    <col min="138" max="138" width="15.28515625" style="1" hidden="1" customWidth="1" outlineLevel="1"/>
    <col min="139" max="139" width="14.5703125" style="1" hidden="1" customWidth="1" outlineLevel="1"/>
    <col min="140" max="140" width="21.42578125" style="1" hidden="1" customWidth="1" outlineLevel="1"/>
    <col min="141" max="141" width="14.5703125" style="1" hidden="1" customWidth="1" outlineLevel="1"/>
    <col min="142" max="142" width="15.28515625" style="1" hidden="1" customWidth="1" outlineLevel="1"/>
    <col min="143" max="143" width="14.5703125" style="1" hidden="1" customWidth="1" outlineLevel="1"/>
    <col min="144" max="144" width="19.5703125" style="1" hidden="1" customWidth="1" outlineLevel="1"/>
    <col min="145" max="145" width="5.42578125" style="1" customWidth="1" collapsed="1"/>
    <col min="146" max="146" width="37" style="1" bestFit="1" customWidth="1"/>
    <col min="147" max="147" width="5.42578125" style="1" bestFit="1" customWidth="1"/>
    <col min="148" max="148" width="16" style="18" bestFit="1" customWidth="1"/>
    <col min="149" max="149" width="15" style="18" bestFit="1" customWidth="1"/>
    <col min="150" max="150" width="14" style="18" bestFit="1" customWidth="1"/>
    <col min="151" max="151" width="15" style="18" bestFit="1" customWidth="1"/>
    <col min="152" max="152" width="14" style="18" bestFit="1" customWidth="1"/>
    <col min="153" max="153" width="15.42578125" style="18" bestFit="1" customWidth="1"/>
    <col min="154" max="154" width="13.5703125" style="18" bestFit="1" customWidth="1"/>
    <col min="155" max="155" width="15.42578125" style="18" bestFit="1" customWidth="1"/>
    <col min="156" max="156" width="13.5703125" style="18" bestFit="1" customWidth="1"/>
    <col min="157" max="157" width="15.42578125" style="18" bestFit="1" customWidth="1"/>
    <col min="158" max="158" width="21.42578125" style="18" bestFit="1" customWidth="1"/>
    <col min="159" max="160" width="13" style="18" hidden="1" customWidth="1" outlineLevel="1"/>
    <col min="161" max="161" width="15" style="18" hidden="1" customWidth="1" outlineLevel="1"/>
    <col min="162" max="162" width="15.42578125" style="18" hidden="1" customWidth="1" outlineLevel="1"/>
    <col min="163" max="163" width="5.42578125" style="1" customWidth="1" collapsed="1"/>
    <col min="164" max="164" width="49.42578125" style="1" bestFit="1" customWidth="1"/>
    <col min="165" max="165" width="9" style="1" bestFit="1" customWidth="1"/>
    <col min="166" max="166" width="15.85546875" style="18" bestFit="1" customWidth="1"/>
    <col min="167" max="167" width="14.5703125" style="18" bestFit="1" customWidth="1"/>
    <col min="168" max="168" width="14.42578125" style="18" customWidth="1"/>
    <col min="169" max="169" width="14.5703125" style="18" hidden="1" customWidth="1" outlineLevel="1"/>
    <col min="170" max="170" width="13.5703125" style="18" hidden="1" customWidth="1" outlineLevel="1"/>
    <col min="171" max="171" width="15" style="18" hidden="1" customWidth="1" outlineLevel="1"/>
    <col min="172" max="172" width="13.42578125" style="18" hidden="1" customWidth="1" outlineLevel="1"/>
    <col min="173" max="173" width="15" style="18" hidden="1" customWidth="1" outlineLevel="1"/>
    <col min="174" max="174" width="13.42578125" style="18" hidden="1" customWidth="1" outlineLevel="1"/>
    <col min="175" max="175" width="15" style="18" hidden="1" customWidth="1" outlineLevel="1"/>
    <col min="176" max="178" width="13.42578125" style="18" hidden="1" customWidth="1" outlineLevel="1"/>
    <col min="179" max="179" width="15" style="18" hidden="1" customWidth="1" outlineLevel="1"/>
    <col min="180" max="180" width="16.5703125" style="18" hidden="1" customWidth="1" outlineLevel="1"/>
    <col min="181" max="181" width="9.42578125" style="18" collapsed="1"/>
    <col min="182" max="182" width="40.5703125" style="18" customWidth="1"/>
    <col min="183" max="183" width="5.42578125" style="18" customWidth="1"/>
    <col min="184" max="184" width="15.5703125" style="18" bestFit="1" customWidth="1"/>
    <col min="185" max="185" width="14.5703125" style="18" bestFit="1" customWidth="1"/>
    <col min="186" max="186" width="13.5703125" style="18" bestFit="1" customWidth="1"/>
    <col min="187" max="187" width="14.5703125" style="18" bestFit="1" customWidth="1"/>
    <col min="188" max="188" width="13.5703125" style="18" bestFit="1" customWidth="1"/>
    <col min="189" max="189" width="15" style="18" bestFit="1" customWidth="1"/>
    <col min="190" max="190" width="13.5703125" style="18" bestFit="1" customWidth="1"/>
    <col min="191" max="191" width="15" style="18" bestFit="1" customWidth="1"/>
    <col min="192" max="192" width="14.42578125" style="18" bestFit="1" customWidth="1"/>
    <col min="193" max="193" width="15" style="18" bestFit="1" customWidth="1"/>
    <col min="194" max="194" width="14.42578125" style="18" bestFit="1" customWidth="1"/>
    <col min="195" max="196" width="14.42578125" style="18" hidden="1" customWidth="1" outlineLevel="1"/>
    <col min="197" max="197" width="15" style="18" hidden="1" customWidth="1" outlineLevel="1"/>
    <col min="198" max="198" width="14.42578125" style="18" hidden="1" customWidth="1" outlineLevel="1"/>
    <col min="199" max="199" width="4.85546875" style="18" bestFit="1" customWidth="1" collapsed="1"/>
    <col min="200" max="200" width="62" style="18" customWidth="1"/>
    <col min="201" max="201" width="11.42578125" style="18" customWidth="1"/>
    <col min="202" max="202" width="15.28515625" style="18" bestFit="1" customWidth="1"/>
    <col min="203" max="203" width="14.140625" style="18" bestFit="1" customWidth="1"/>
    <col min="204" max="204" width="12.5703125" style="18" bestFit="1" customWidth="1"/>
    <col min="205" max="205" width="14.140625" style="18" bestFit="1" customWidth="1"/>
    <col min="206" max="206" width="13.42578125" style="18" bestFit="1" customWidth="1"/>
    <col min="207" max="207" width="14.140625" style="18" bestFit="1" customWidth="1"/>
    <col min="208" max="208" width="13.42578125" style="18" bestFit="1" customWidth="1"/>
    <col min="209" max="209" width="14.7109375" style="18" customWidth="1"/>
    <col min="210" max="210" width="12.42578125" style="18" bestFit="1" customWidth="1"/>
    <col min="211" max="211" width="14.140625" style="18" bestFit="1" customWidth="1"/>
    <col min="212" max="212" width="12.42578125" style="18" bestFit="1" customWidth="1"/>
    <col min="213" max="16384" width="9.42578125" style="18"/>
  </cols>
  <sheetData>
    <row r="1" spans="1:212" customFormat="1" ht="15.75" thickBot="1" x14ac:dyDescent="0.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8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</row>
    <row r="2" spans="1:212" customFormat="1" x14ac:dyDescent="0.25">
      <c r="A2" s="1"/>
      <c r="B2" s="1"/>
      <c r="C2" s="1"/>
      <c r="D2" s="1"/>
      <c r="E2" s="1"/>
      <c r="F2" s="1"/>
      <c r="G2" s="1"/>
      <c r="H2" s="1"/>
      <c r="I2" s="467"/>
      <c r="J2" s="467"/>
      <c r="K2" s="467"/>
      <c r="L2" s="467"/>
      <c r="M2" s="468"/>
      <c r="N2" s="469" t="s">
        <v>174</v>
      </c>
      <c r="O2" s="467"/>
      <c r="P2" s="467"/>
      <c r="Q2" s="1"/>
      <c r="R2" s="1"/>
      <c r="S2" s="20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19"/>
      <c r="AF2" s="467"/>
      <c r="AG2" s="99"/>
      <c r="AH2" s="99"/>
      <c r="AI2" s="20"/>
      <c r="AJ2" s="20"/>
      <c r="AW2" s="468"/>
      <c r="AX2" s="469" t="s">
        <v>174</v>
      </c>
      <c r="BA2" s="1"/>
      <c r="BB2" s="1"/>
      <c r="BO2" s="468"/>
      <c r="BP2" s="469" t="s">
        <v>174</v>
      </c>
      <c r="BS2" s="1"/>
      <c r="BT2" s="1"/>
      <c r="CG2" s="468"/>
      <c r="CH2" s="469" t="s">
        <v>174</v>
      </c>
      <c r="CK2" s="1"/>
      <c r="CL2" s="1"/>
      <c r="CQ2" s="468"/>
      <c r="CR2" s="469" t="s">
        <v>174</v>
      </c>
      <c r="CY2" s="1"/>
      <c r="CZ2" s="1"/>
      <c r="DC2" s="1"/>
      <c r="DD2" s="1"/>
      <c r="DQ2" s="468"/>
      <c r="DR2" s="469" t="s">
        <v>174</v>
      </c>
      <c r="DU2" s="1"/>
      <c r="DV2" s="1"/>
      <c r="EA2" s="468"/>
      <c r="EB2" s="469" t="s">
        <v>174</v>
      </c>
      <c r="EI2" s="1"/>
      <c r="EJ2" s="1"/>
      <c r="EM2" s="1"/>
      <c r="EN2" s="1"/>
      <c r="FA2" s="468"/>
      <c r="FB2" s="469" t="s">
        <v>174</v>
      </c>
      <c r="FE2" s="18"/>
      <c r="FF2" s="18"/>
      <c r="FK2" s="468"/>
      <c r="FL2" s="469" t="s">
        <v>174</v>
      </c>
      <c r="FS2" s="18"/>
      <c r="FT2" s="18"/>
      <c r="FW2" s="18"/>
      <c r="FX2" s="18"/>
      <c r="GK2" s="468"/>
      <c r="GL2" s="469" t="s">
        <v>174</v>
      </c>
      <c r="GO2" s="18"/>
      <c r="GP2" s="18"/>
      <c r="HC2" s="468"/>
      <c r="HD2" s="469" t="s">
        <v>174</v>
      </c>
    </row>
    <row r="3" spans="1:212" customFormat="1" ht="15.75" thickBot="1" x14ac:dyDescent="0.3">
      <c r="A3" s="1"/>
      <c r="B3" s="1"/>
      <c r="C3" s="1"/>
      <c r="D3" s="1"/>
      <c r="E3" s="1"/>
      <c r="F3" s="1"/>
      <c r="G3" s="1"/>
      <c r="H3" s="1"/>
      <c r="I3" s="470"/>
      <c r="J3" s="470"/>
      <c r="K3" s="470"/>
      <c r="L3" s="470"/>
      <c r="M3" s="471"/>
      <c r="N3" s="472" t="s">
        <v>1087</v>
      </c>
      <c r="O3" s="470"/>
      <c r="P3" s="470"/>
      <c r="Q3" s="1"/>
      <c r="R3" s="1"/>
      <c r="S3" s="20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19"/>
      <c r="AF3" s="470"/>
      <c r="AG3" s="99"/>
      <c r="AH3" s="99"/>
      <c r="AI3" s="20"/>
      <c r="AJ3" s="20"/>
      <c r="AW3" s="471"/>
      <c r="AX3" s="472" t="s">
        <v>1088</v>
      </c>
      <c r="BA3" s="1"/>
      <c r="BB3" s="1"/>
      <c r="BO3" s="471"/>
      <c r="BP3" s="472" t="s">
        <v>1089</v>
      </c>
      <c r="BS3" s="1"/>
      <c r="BT3" s="1"/>
      <c r="CA3" s="920"/>
      <c r="CC3" s="920"/>
      <c r="CE3" s="920"/>
      <c r="CG3" s="471"/>
      <c r="CH3" s="472" t="s">
        <v>1090</v>
      </c>
      <c r="CK3" s="1"/>
      <c r="CL3" s="1"/>
      <c r="CQ3" s="471"/>
      <c r="CR3" s="472" t="s">
        <v>1091</v>
      </c>
      <c r="CY3" s="1"/>
      <c r="CZ3" s="1"/>
      <c r="DC3" s="1"/>
      <c r="DD3" s="1"/>
      <c r="DQ3" s="471"/>
      <c r="DR3" s="472" t="s">
        <v>1092</v>
      </c>
      <c r="DU3" s="1"/>
      <c r="DV3" s="1"/>
      <c r="EA3" s="471"/>
      <c r="EB3" s="472" t="s">
        <v>1093</v>
      </c>
      <c r="EI3" s="1"/>
      <c r="EJ3" s="1"/>
      <c r="EM3" s="1"/>
      <c r="EN3" s="1"/>
      <c r="FA3" s="471"/>
      <c r="FB3" s="472" t="s">
        <v>1094</v>
      </c>
      <c r="FE3" s="18"/>
      <c r="FF3" s="18"/>
      <c r="FK3" s="471"/>
      <c r="FL3" s="472" t="s">
        <v>1095</v>
      </c>
      <c r="FS3" s="18"/>
      <c r="FT3" s="18"/>
      <c r="FW3" s="18"/>
      <c r="FX3" s="18"/>
      <c r="GK3" s="471"/>
      <c r="GL3" s="472" t="s">
        <v>1096</v>
      </c>
      <c r="GO3" s="18"/>
      <c r="GP3" s="18"/>
      <c r="HC3" s="471"/>
      <c r="HD3" s="472" t="s">
        <v>1097</v>
      </c>
    </row>
    <row r="4" spans="1:212" customFormat="1" ht="15.75" thickBo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228" t="s">
        <v>175</v>
      </c>
      <c r="N4" s="1229">
        <v>32.379999999999924</v>
      </c>
      <c r="O4" s="1"/>
      <c r="P4" s="1"/>
      <c r="Q4" s="1"/>
      <c r="R4" s="1"/>
      <c r="S4" s="20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21"/>
      <c r="AF4" s="922"/>
      <c r="AG4" s="99"/>
      <c r="AH4" s="99"/>
      <c r="AI4" s="20"/>
      <c r="AJ4" s="20"/>
      <c r="AW4" s="473" t="s">
        <v>175</v>
      </c>
      <c r="AX4" s="474">
        <v>32.389999999999922</v>
      </c>
      <c r="BA4" s="1"/>
      <c r="BB4" s="1"/>
      <c r="BO4" s="1228" t="s">
        <v>175</v>
      </c>
      <c r="BP4" s="1229">
        <v>32.39999999999992</v>
      </c>
      <c r="BS4" s="1"/>
      <c r="BT4" s="1"/>
      <c r="CG4" s="1228" t="s">
        <v>175</v>
      </c>
      <c r="CH4" s="1229">
        <v>32.409999999999918</v>
      </c>
      <c r="CK4" s="1"/>
      <c r="CL4" s="1"/>
      <c r="CQ4" s="1228" t="s">
        <v>175</v>
      </c>
      <c r="CR4" s="1229">
        <v>32.419999999999916</v>
      </c>
      <c r="CY4" s="1"/>
      <c r="CZ4" s="1"/>
      <c r="DC4" s="1"/>
      <c r="DD4" s="1"/>
      <c r="DQ4" s="1228" t="s">
        <v>175</v>
      </c>
      <c r="DR4" s="1229">
        <v>32.429999999999914</v>
      </c>
      <c r="DU4" s="1"/>
      <c r="DV4" s="1"/>
      <c r="EA4" s="1228" t="s">
        <v>175</v>
      </c>
      <c r="EB4" s="1229">
        <v>32.439999999999912</v>
      </c>
      <c r="EI4" s="1"/>
      <c r="EJ4" s="1"/>
      <c r="EM4" s="1"/>
      <c r="EN4" s="1"/>
      <c r="FA4" s="1228" t="s">
        <v>175</v>
      </c>
      <c r="FB4" s="1229">
        <v>32.44999999999991</v>
      </c>
      <c r="FE4" s="18"/>
      <c r="FF4" s="18"/>
      <c r="FK4" s="1228" t="s">
        <v>175</v>
      </c>
      <c r="FL4" s="1229">
        <v>32.459999999999908</v>
      </c>
      <c r="FS4" s="18"/>
      <c r="FT4" s="18"/>
      <c r="FW4" s="18"/>
      <c r="FX4" s="18"/>
      <c r="GK4" s="1228" t="s">
        <v>175</v>
      </c>
      <c r="GL4" s="1229">
        <v>32.469999999999906</v>
      </c>
      <c r="GO4" s="18"/>
      <c r="GP4" s="18"/>
      <c r="HC4" s="1228" t="s">
        <v>175</v>
      </c>
      <c r="HD4" s="1229">
        <v>32.479999999999905</v>
      </c>
    </row>
    <row r="5" spans="1:212" s="1" customFormat="1" x14ac:dyDescent="0.25">
      <c r="A5" s="488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 s="6"/>
      <c r="FM5" s="6"/>
      <c r="FN5" s="6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</row>
    <row r="6" spans="1:212" s="1" customFormat="1" ht="12.75" x14ac:dyDescent="0.2">
      <c r="A6" s="488" t="s">
        <v>779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480"/>
      <c r="P6" s="480"/>
      <c r="Q6" s="480"/>
      <c r="R6" s="480"/>
      <c r="S6" s="923"/>
      <c r="T6" s="924"/>
      <c r="U6" s="924"/>
      <c r="V6" s="924"/>
      <c r="W6" s="924"/>
      <c r="X6" s="924"/>
      <c r="Y6" s="924"/>
      <c r="Z6" s="924"/>
      <c r="AA6" s="924"/>
      <c r="AB6" s="924"/>
      <c r="AC6" s="924"/>
      <c r="AD6" s="924"/>
      <c r="AE6" s="924"/>
      <c r="AF6" s="924"/>
      <c r="AG6" s="4"/>
      <c r="AH6" s="4"/>
      <c r="AI6" s="4"/>
      <c r="AJ6" s="4"/>
      <c r="AK6" s="488" t="s">
        <v>779</v>
      </c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480"/>
      <c r="AZ6" s="480"/>
      <c r="BA6" s="480"/>
      <c r="BB6" s="480"/>
      <c r="BC6" s="488" t="s">
        <v>779</v>
      </c>
      <c r="BD6" s="48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480"/>
      <c r="BR6" s="480"/>
      <c r="BS6" s="480"/>
      <c r="BT6" s="480"/>
      <c r="BU6" s="488" t="s">
        <v>779</v>
      </c>
      <c r="BV6" s="8"/>
      <c r="BW6" s="8"/>
      <c r="BX6" s="488"/>
      <c r="BY6" s="488"/>
      <c r="BZ6" s="488"/>
      <c r="CA6" s="488"/>
      <c r="CB6" s="488"/>
      <c r="CC6" s="488"/>
      <c r="CD6" s="488"/>
      <c r="CE6" s="488"/>
      <c r="CF6" s="488"/>
      <c r="CG6" s="488"/>
      <c r="CH6" s="488"/>
      <c r="CI6" s="925"/>
      <c r="CJ6" s="925"/>
      <c r="CK6" s="925"/>
      <c r="CL6" s="925"/>
      <c r="CM6" s="488" t="s">
        <v>779</v>
      </c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480"/>
      <c r="DB6" s="480"/>
      <c r="DC6" s="480"/>
      <c r="DD6" s="480"/>
      <c r="DE6" s="488" t="s">
        <v>779</v>
      </c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480"/>
      <c r="DT6" s="480"/>
      <c r="DU6" s="480"/>
      <c r="DV6" s="480"/>
      <c r="DW6" s="488" t="s">
        <v>779</v>
      </c>
      <c r="DX6" s="48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480"/>
      <c r="EL6" s="480"/>
      <c r="EM6" s="480"/>
      <c r="EN6" s="480"/>
      <c r="EO6" s="488" t="s">
        <v>779</v>
      </c>
      <c r="EP6" s="6"/>
      <c r="EQ6" s="6"/>
      <c r="ER6" s="6"/>
      <c r="ES6" s="6"/>
      <c r="ET6" s="6"/>
      <c r="EU6" s="488"/>
      <c r="EV6" s="6"/>
      <c r="EW6" s="6"/>
      <c r="EX6" s="6"/>
      <c r="EY6" s="6"/>
      <c r="EZ6" s="6"/>
      <c r="FA6" s="6"/>
      <c r="FB6" s="6"/>
      <c r="FC6" s="7"/>
      <c r="FD6" s="7"/>
      <c r="FE6" s="7"/>
      <c r="FF6" s="7"/>
      <c r="FG6" s="488" t="s">
        <v>779</v>
      </c>
      <c r="FH6" s="6"/>
      <c r="FI6" s="6"/>
      <c r="FJ6" s="6"/>
      <c r="FK6" s="6"/>
      <c r="FL6" s="6"/>
      <c r="FM6" s="488"/>
      <c r="FN6" s="6"/>
      <c r="FO6" s="8"/>
      <c r="FP6" s="8"/>
      <c r="FQ6" s="8"/>
      <c r="FR6" s="8"/>
      <c r="FS6" s="8"/>
      <c r="FT6" s="8"/>
      <c r="FU6" s="480"/>
      <c r="FV6" s="480"/>
      <c r="FW6" s="480"/>
      <c r="FX6" s="480"/>
      <c r="FY6" s="488" t="s">
        <v>779</v>
      </c>
      <c r="FZ6" s="6"/>
      <c r="GA6" s="6"/>
      <c r="GB6" s="6"/>
      <c r="GC6" s="6"/>
      <c r="GD6" s="6"/>
      <c r="GE6" s="488"/>
      <c r="GF6" s="6"/>
      <c r="GG6" s="8"/>
      <c r="GH6" s="8"/>
      <c r="GI6" s="8"/>
      <c r="GJ6" s="8"/>
      <c r="GK6" s="8"/>
      <c r="GL6" s="8"/>
      <c r="GM6" s="480"/>
      <c r="GN6" s="480"/>
      <c r="GO6" s="480"/>
      <c r="GP6" s="480"/>
      <c r="GQ6" s="488" t="s">
        <v>779</v>
      </c>
      <c r="GR6" s="6"/>
      <c r="GS6" s="6"/>
      <c r="GT6" s="6"/>
      <c r="GU6" s="6"/>
      <c r="GV6" s="6"/>
      <c r="GW6" s="488"/>
      <c r="GX6" s="6"/>
      <c r="GY6" s="8"/>
      <c r="GZ6" s="8"/>
      <c r="HA6" s="8"/>
      <c r="HB6" s="8"/>
      <c r="HC6" s="8"/>
      <c r="HD6" s="8"/>
    </row>
    <row r="7" spans="1:212" s="932" customFormat="1" ht="12.75" x14ac:dyDescent="0.2">
      <c r="A7" s="478" t="s">
        <v>743</v>
      </c>
      <c r="B7" s="926"/>
      <c r="C7" s="926"/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7"/>
      <c r="P7" s="927"/>
      <c r="Q7" s="927"/>
      <c r="R7" s="927"/>
      <c r="S7" s="928"/>
      <c r="T7" s="929"/>
      <c r="U7" s="929"/>
      <c r="V7" s="929"/>
      <c r="W7" s="929"/>
      <c r="X7" s="929"/>
      <c r="Y7" s="929"/>
      <c r="Z7" s="929"/>
      <c r="AA7" s="929"/>
      <c r="AB7" s="929"/>
      <c r="AC7" s="929"/>
      <c r="AD7" s="929"/>
      <c r="AE7" s="929"/>
      <c r="AF7" s="929"/>
      <c r="AG7" s="930"/>
      <c r="AH7" s="930"/>
      <c r="AI7" s="930"/>
      <c r="AJ7" s="930"/>
      <c r="AK7" s="478" t="s">
        <v>742</v>
      </c>
      <c r="AL7" s="478"/>
      <c r="AM7" s="926"/>
      <c r="AN7" s="926"/>
      <c r="AO7" s="926"/>
      <c r="AP7" s="926"/>
      <c r="AQ7" s="926"/>
      <c r="AR7" s="926"/>
      <c r="AS7" s="926"/>
      <c r="AT7" s="926"/>
      <c r="AU7" s="926"/>
      <c r="AV7" s="926"/>
      <c r="AW7" s="926"/>
      <c r="AX7" s="926"/>
      <c r="AY7" s="927"/>
      <c r="AZ7" s="927"/>
      <c r="BA7" s="927"/>
      <c r="BB7" s="927"/>
      <c r="BC7" s="478" t="s">
        <v>741</v>
      </c>
      <c r="BD7" s="931"/>
      <c r="BE7" s="926"/>
      <c r="BF7" s="926"/>
      <c r="BG7" s="926"/>
      <c r="BH7" s="926"/>
      <c r="BI7" s="926"/>
      <c r="BJ7" s="926"/>
      <c r="BK7" s="926"/>
      <c r="BL7" s="926"/>
      <c r="BM7" s="926"/>
      <c r="BN7" s="926"/>
      <c r="BO7" s="926"/>
      <c r="BP7" s="926"/>
      <c r="BQ7" s="927"/>
      <c r="BR7" s="927"/>
      <c r="BS7" s="927"/>
      <c r="BT7" s="927"/>
      <c r="BU7" s="478" t="s">
        <v>740</v>
      </c>
      <c r="BV7" s="926"/>
      <c r="BW7" s="926"/>
      <c r="BX7" s="478"/>
      <c r="BY7" s="478"/>
      <c r="BZ7" s="478"/>
      <c r="CA7" s="478"/>
      <c r="CB7" s="478"/>
      <c r="CC7" s="478"/>
      <c r="CD7" s="478"/>
      <c r="CE7" s="478"/>
      <c r="CF7" s="478"/>
      <c r="CG7" s="478"/>
      <c r="CH7" s="478"/>
      <c r="CI7" s="479"/>
      <c r="CJ7" s="479"/>
      <c r="CK7" s="479"/>
      <c r="CL7" s="479"/>
      <c r="CM7" s="478" t="s">
        <v>739</v>
      </c>
      <c r="CN7" s="926"/>
      <c r="CO7" s="926"/>
      <c r="CP7" s="926"/>
      <c r="CQ7" s="926"/>
      <c r="CR7" s="926"/>
      <c r="CS7" s="926"/>
      <c r="CT7" s="926"/>
      <c r="CU7" s="926"/>
      <c r="CV7" s="926"/>
      <c r="CW7" s="926"/>
      <c r="CX7" s="926"/>
      <c r="CY7" s="926"/>
      <c r="CZ7" s="926"/>
      <c r="DA7" s="927"/>
      <c r="DB7" s="927"/>
      <c r="DC7" s="927"/>
      <c r="DD7" s="927"/>
      <c r="DE7" s="478" t="s">
        <v>738</v>
      </c>
      <c r="DF7" s="926"/>
      <c r="DG7" s="926"/>
      <c r="DH7" s="926"/>
      <c r="DI7" s="926"/>
      <c r="DJ7" s="926"/>
      <c r="DK7" s="926"/>
      <c r="DL7" s="926"/>
      <c r="DM7" s="926"/>
      <c r="DN7" s="926"/>
      <c r="DO7" s="926"/>
      <c r="DP7" s="926"/>
      <c r="DQ7" s="926"/>
      <c r="DR7" s="926"/>
      <c r="DS7" s="927"/>
      <c r="DT7" s="927"/>
      <c r="DU7" s="927"/>
      <c r="DV7" s="927"/>
      <c r="DW7" s="478" t="s">
        <v>737</v>
      </c>
      <c r="DX7" s="478"/>
      <c r="DY7" s="926"/>
      <c r="DZ7" s="926"/>
      <c r="EA7" s="926"/>
      <c r="EB7" s="926"/>
      <c r="EC7" s="926"/>
      <c r="ED7" s="926"/>
      <c r="EE7" s="926"/>
      <c r="EF7" s="926"/>
      <c r="EG7" s="926"/>
      <c r="EH7" s="926"/>
      <c r="EI7" s="926"/>
      <c r="EJ7" s="926"/>
      <c r="EK7" s="927"/>
      <c r="EL7" s="927"/>
      <c r="EM7" s="927"/>
      <c r="EN7" s="927"/>
      <c r="EO7" s="478" t="s">
        <v>736</v>
      </c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10"/>
      <c r="FD7" s="10"/>
      <c r="FE7" s="10"/>
      <c r="FF7" s="10"/>
      <c r="FG7" s="478" t="s">
        <v>735</v>
      </c>
      <c r="FH7" s="9"/>
      <c r="FI7" s="9"/>
      <c r="FJ7" s="9"/>
      <c r="FK7" s="9"/>
      <c r="FL7" s="9"/>
      <c r="FM7" s="9"/>
      <c r="FN7" s="9"/>
      <c r="FO7" s="926"/>
      <c r="FP7" s="926"/>
      <c r="FQ7" s="926"/>
      <c r="FR7" s="926"/>
      <c r="FS7" s="926"/>
      <c r="FT7" s="926"/>
      <c r="FU7" s="927"/>
      <c r="FV7" s="927"/>
      <c r="FW7" s="927"/>
      <c r="FX7" s="927"/>
      <c r="FY7" s="478" t="s">
        <v>734</v>
      </c>
      <c r="FZ7" s="9"/>
      <c r="GA7" s="9"/>
      <c r="GB7" s="9"/>
      <c r="GC7" s="9"/>
      <c r="GD7" s="9"/>
      <c r="GE7" s="9"/>
      <c r="GF7" s="9"/>
      <c r="GG7" s="926"/>
      <c r="GH7" s="926"/>
      <c r="GI7" s="926"/>
      <c r="GJ7" s="926"/>
      <c r="GK7" s="926"/>
      <c r="GL7" s="926"/>
      <c r="GM7" s="927"/>
      <c r="GN7" s="927"/>
      <c r="GO7" s="927"/>
      <c r="GP7" s="927"/>
      <c r="GQ7" s="478" t="s">
        <v>733</v>
      </c>
      <c r="GR7" s="9"/>
      <c r="GS7" s="9"/>
      <c r="GT7" s="9"/>
      <c r="GU7" s="9"/>
      <c r="GV7" s="9"/>
      <c r="GW7" s="9"/>
      <c r="GX7" s="9"/>
      <c r="GY7" s="926"/>
      <c r="GZ7" s="926"/>
      <c r="HA7" s="926"/>
      <c r="HB7" s="926"/>
      <c r="HC7" s="926"/>
      <c r="HD7" s="926"/>
    </row>
    <row r="8" spans="1:212" customFormat="1" x14ac:dyDescent="0.25">
      <c r="A8" s="933" t="s">
        <v>52</v>
      </c>
      <c r="B8" s="933"/>
      <c r="C8" s="933"/>
      <c r="D8" s="933"/>
      <c r="E8" s="933"/>
      <c r="F8" s="933"/>
      <c r="G8" s="933"/>
      <c r="H8" s="933"/>
      <c r="I8" s="933"/>
      <c r="J8" s="933"/>
      <c r="K8" s="933"/>
      <c r="L8" s="933"/>
      <c r="M8" s="933"/>
      <c r="N8" s="933"/>
      <c r="O8" s="934"/>
      <c r="P8" s="934"/>
      <c r="Q8" s="934"/>
      <c r="R8" s="934"/>
      <c r="S8" s="935"/>
      <c r="T8" s="935"/>
      <c r="U8" s="935"/>
      <c r="V8" s="935"/>
      <c r="W8" s="935"/>
      <c r="X8" s="935"/>
      <c r="Y8" s="935"/>
      <c r="Z8" s="935"/>
      <c r="AA8" s="935"/>
      <c r="AB8" s="935"/>
      <c r="AC8" s="935"/>
      <c r="AD8" s="935"/>
      <c r="AE8" s="935"/>
      <c r="AF8" s="935"/>
      <c r="AG8" s="936"/>
      <c r="AH8" s="936"/>
      <c r="AI8" s="936"/>
      <c r="AJ8" s="936"/>
      <c r="AK8" s="933" t="s">
        <v>52</v>
      </c>
      <c r="AL8" s="933"/>
      <c r="AM8" s="933"/>
      <c r="AN8" s="933"/>
      <c r="AO8" s="933"/>
      <c r="AP8" s="933"/>
      <c r="AQ8" s="933"/>
      <c r="AR8" s="933"/>
      <c r="AS8" s="933"/>
      <c r="AT8" s="933"/>
      <c r="AU8" s="933"/>
      <c r="AV8" s="933"/>
      <c r="AW8" s="933"/>
      <c r="AX8" s="933"/>
      <c r="AY8" s="934"/>
      <c r="AZ8" s="934"/>
      <c r="BA8" s="934"/>
      <c r="BB8" s="934"/>
      <c r="BC8" s="933" t="s">
        <v>52</v>
      </c>
      <c r="BD8" s="933"/>
      <c r="BE8" s="933"/>
      <c r="BF8" s="933"/>
      <c r="BG8" s="933"/>
      <c r="BH8" s="933"/>
      <c r="BI8" s="933"/>
      <c r="BJ8" s="933"/>
      <c r="BK8" s="933"/>
      <c r="BL8" s="933"/>
      <c r="BM8" s="933"/>
      <c r="BN8" s="933"/>
      <c r="BO8" s="933"/>
      <c r="BP8" s="933"/>
      <c r="BQ8" s="934"/>
      <c r="BR8" s="934"/>
      <c r="BS8" s="934"/>
      <c r="BT8" s="934"/>
      <c r="BU8" s="933" t="s">
        <v>52</v>
      </c>
      <c r="BV8" s="933"/>
      <c r="BW8" s="933"/>
      <c r="BX8" s="933"/>
      <c r="BY8" s="933"/>
      <c r="BZ8" s="933"/>
      <c r="CA8" s="933"/>
      <c r="CB8" s="933"/>
      <c r="CC8" s="933"/>
      <c r="CD8" s="933"/>
      <c r="CE8" s="933"/>
      <c r="CF8" s="933"/>
      <c r="CG8" s="933"/>
      <c r="CH8" s="933"/>
      <c r="CI8" s="934"/>
      <c r="CJ8" s="934"/>
      <c r="CK8" s="934"/>
      <c r="CL8" s="934"/>
      <c r="CM8" s="933" t="s">
        <v>52</v>
      </c>
      <c r="CN8" s="933"/>
      <c r="CO8" s="933"/>
      <c r="CP8" s="933"/>
      <c r="CQ8" s="933"/>
      <c r="CR8" s="933"/>
      <c r="CS8" s="933"/>
      <c r="CT8" s="933"/>
      <c r="CU8" s="933"/>
      <c r="CV8" s="933"/>
      <c r="CW8" s="933"/>
      <c r="CX8" s="933"/>
      <c r="CY8" s="933"/>
      <c r="CZ8" s="933"/>
      <c r="DA8" s="934"/>
      <c r="DB8" s="934"/>
      <c r="DC8" s="934"/>
      <c r="DD8" s="934"/>
      <c r="DE8" s="933" t="s">
        <v>52</v>
      </c>
      <c r="DF8" s="933"/>
      <c r="DG8" s="933"/>
      <c r="DH8" s="933"/>
      <c r="DI8" s="933"/>
      <c r="DJ8" s="933"/>
      <c r="DK8" s="933"/>
      <c r="DL8" s="933"/>
      <c r="DM8" s="933"/>
      <c r="DN8" s="933"/>
      <c r="DO8" s="933"/>
      <c r="DP8" s="933"/>
      <c r="DQ8" s="933"/>
      <c r="DR8" s="933"/>
      <c r="DS8" s="934"/>
      <c r="DT8" s="934"/>
      <c r="DU8" s="934"/>
      <c r="DV8" s="934"/>
      <c r="DW8" s="933" t="s">
        <v>52</v>
      </c>
      <c r="DX8" s="933"/>
      <c r="DY8" s="933"/>
      <c r="DZ8" s="933"/>
      <c r="EA8" s="933"/>
      <c r="EB8" s="933"/>
      <c r="EC8" s="933"/>
      <c r="ED8" s="933"/>
      <c r="EE8" s="933"/>
      <c r="EF8" s="933"/>
      <c r="EG8" s="933"/>
      <c r="EH8" s="933"/>
      <c r="EI8" s="933"/>
      <c r="EJ8" s="933"/>
      <c r="EK8" s="934"/>
      <c r="EL8" s="934"/>
      <c r="EM8" s="934"/>
      <c r="EN8" s="934"/>
      <c r="EO8" s="933" t="s">
        <v>52</v>
      </c>
      <c r="EP8" s="933"/>
      <c r="EQ8" s="933"/>
      <c r="ER8" s="933"/>
      <c r="ES8" s="933"/>
      <c r="ET8" s="933"/>
      <c r="EU8" s="933"/>
      <c r="EV8" s="933"/>
      <c r="EW8" s="933"/>
      <c r="EX8" s="933"/>
      <c r="EY8" s="933"/>
      <c r="EZ8" s="933"/>
      <c r="FA8" s="933"/>
      <c r="FB8" s="933"/>
      <c r="FC8" s="934"/>
      <c r="FD8" s="934"/>
      <c r="FE8" s="934"/>
      <c r="FF8" s="934"/>
      <c r="FG8" s="933" t="s">
        <v>52</v>
      </c>
      <c r="FH8" s="933"/>
      <c r="FI8" s="933"/>
      <c r="FJ8" s="933"/>
      <c r="FK8" s="933"/>
      <c r="FL8" s="933"/>
      <c r="FM8" s="933"/>
      <c r="FN8" s="933"/>
      <c r="FO8" s="933"/>
      <c r="FP8" s="933"/>
      <c r="FQ8" s="933"/>
      <c r="FR8" s="933"/>
      <c r="FS8" s="933"/>
      <c r="FT8" s="933"/>
      <c r="FU8" s="934"/>
      <c r="FV8" s="934"/>
      <c r="FW8" s="934"/>
      <c r="FX8" s="934"/>
      <c r="FY8" s="933" t="s">
        <v>52</v>
      </c>
      <c r="FZ8" s="933"/>
      <c r="GA8" s="933"/>
      <c r="GB8" s="933"/>
      <c r="GC8" s="933"/>
      <c r="GD8" s="933"/>
      <c r="GE8" s="933"/>
      <c r="GF8" s="933"/>
      <c r="GG8" s="933"/>
      <c r="GH8" s="933"/>
      <c r="GI8" s="933"/>
      <c r="GJ8" s="933"/>
      <c r="GK8" s="933"/>
      <c r="GL8" s="933"/>
      <c r="GM8" s="934"/>
      <c r="GN8" s="934"/>
      <c r="GO8" s="934"/>
      <c r="GP8" s="934"/>
      <c r="GQ8" s="933" t="s">
        <v>52</v>
      </c>
      <c r="GR8" s="933"/>
      <c r="GS8" s="933"/>
      <c r="GT8" s="933"/>
      <c r="GU8" s="933"/>
      <c r="GV8" s="933"/>
      <c r="GW8" s="933"/>
      <c r="GX8" s="933"/>
      <c r="GY8" s="933"/>
      <c r="GZ8" s="933"/>
      <c r="HA8" s="933"/>
      <c r="HB8" s="933"/>
      <c r="HC8" s="933"/>
      <c r="HD8" s="933"/>
    </row>
    <row r="9" spans="1:212" customFormat="1" x14ac:dyDescent="0.25">
      <c r="A9" s="933" t="s">
        <v>51</v>
      </c>
      <c r="B9" s="933"/>
      <c r="C9" s="933"/>
      <c r="D9" s="933"/>
      <c r="E9" s="933"/>
      <c r="F9" s="933"/>
      <c r="G9" s="933"/>
      <c r="H9" s="933"/>
      <c r="I9" s="933"/>
      <c r="J9" s="933"/>
      <c r="K9" s="933"/>
      <c r="L9" s="933"/>
      <c r="M9" s="933"/>
      <c r="N9" s="933"/>
      <c r="O9" s="934"/>
      <c r="P9" s="934"/>
      <c r="Q9" s="934"/>
      <c r="R9" s="934"/>
      <c r="S9" s="935"/>
      <c r="T9" s="935"/>
      <c r="U9" s="935"/>
      <c r="V9" s="935"/>
      <c r="W9" s="935"/>
      <c r="X9" s="935"/>
      <c r="Y9" s="935"/>
      <c r="Z9" s="935"/>
      <c r="AA9" s="935"/>
      <c r="AB9" s="935"/>
      <c r="AC9" s="935"/>
      <c r="AD9" s="935"/>
      <c r="AE9" s="935"/>
      <c r="AF9" s="935"/>
      <c r="AG9" s="936"/>
      <c r="AH9" s="936"/>
      <c r="AI9" s="936"/>
      <c r="AJ9" s="936"/>
      <c r="AK9" s="933" t="s">
        <v>51</v>
      </c>
      <c r="AL9" s="933"/>
      <c r="AM9" s="933"/>
      <c r="AN9" s="933"/>
      <c r="AO9" s="933"/>
      <c r="AP9" s="933"/>
      <c r="AQ9" s="933"/>
      <c r="AR9" s="933"/>
      <c r="AS9" s="933"/>
      <c r="AT9" s="933"/>
      <c r="AU9" s="933"/>
      <c r="AV9" s="933"/>
      <c r="AW9" s="933"/>
      <c r="AX9" s="933"/>
      <c r="AY9" s="934"/>
      <c r="AZ9" s="934"/>
      <c r="BA9" s="934"/>
      <c r="BB9" s="934"/>
      <c r="BC9" s="933" t="s">
        <v>51</v>
      </c>
      <c r="BD9" s="933"/>
      <c r="BE9" s="933"/>
      <c r="BF9" s="933"/>
      <c r="BG9" s="933"/>
      <c r="BH9" s="933"/>
      <c r="BI9" s="933"/>
      <c r="BJ9" s="933"/>
      <c r="BK9" s="933"/>
      <c r="BL9" s="933"/>
      <c r="BM9" s="933"/>
      <c r="BN9" s="933"/>
      <c r="BO9" s="933"/>
      <c r="BP9" s="933"/>
      <c r="BQ9" s="934"/>
      <c r="BR9" s="934"/>
      <c r="BS9" s="934"/>
      <c r="BT9" s="934"/>
      <c r="BU9" s="933" t="s">
        <v>51</v>
      </c>
      <c r="BV9" s="933"/>
      <c r="BW9" s="933"/>
      <c r="BX9" s="933"/>
      <c r="BY9" s="933"/>
      <c r="BZ9" s="933"/>
      <c r="CA9" s="933"/>
      <c r="CB9" s="933"/>
      <c r="CC9" s="933"/>
      <c r="CD9" s="933"/>
      <c r="CE9" s="933"/>
      <c r="CF9" s="933"/>
      <c r="CG9" s="933"/>
      <c r="CH9" s="933"/>
      <c r="CI9" s="934"/>
      <c r="CJ9" s="934"/>
      <c r="CK9" s="934"/>
      <c r="CL9" s="934"/>
      <c r="CM9" s="933" t="s">
        <v>51</v>
      </c>
      <c r="CN9" s="933"/>
      <c r="CO9" s="933"/>
      <c r="CP9" s="933"/>
      <c r="CQ9" s="933"/>
      <c r="CR9" s="933"/>
      <c r="CS9" s="933"/>
      <c r="CT9" s="933"/>
      <c r="CU9" s="933"/>
      <c r="CV9" s="933"/>
      <c r="CW9" s="933"/>
      <c r="CX9" s="933"/>
      <c r="CY9" s="933"/>
      <c r="CZ9" s="933"/>
      <c r="DA9" s="934"/>
      <c r="DB9" s="934"/>
      <c r="DC9" s="934"/>
      <c r="DD9" s="934"/>
      <c r="DE9" s="933" t="s">
        <v>51</v>
      </c>
      <c r="DF9" s="933"/>
      <c r="DG9" s="933"/>
      <c r="DH9" s="933"/>
      <c r="DI9" s="933"/>
      <c r="DJ9" s="933"/>
      <c r="DK9" s="933"/>
      <c r="DL9" s="933"/>
      <c r="DM9" s="933"/>
      <c r="DN9" s="933"/>
      <c r="DO9" s="933"/>
      <c r="DP9" s="933"/>
      <c r="DQ9" s="933"/>
      <c r="DR9" s="933"/>
      <c r="DS9" s="934"/>
      <c r="DT9" s="934"/>
      <c r="DU9" s="934"/>
      <c r="DV9" s="934"/>
      <c r="DW9" s="933" t="s">
        <v>51</v>
      </c>
      <c r="DX9" s="933"/>
      <c r="DY9" s="933"/>
      <c r="DZ9" s="933"/>
      <c r="EA9" s="933"/>
      <c r="EB9" s="933"/>
      <c r="EC9" s="933"/>
      <c r="ED9" s="933"/>
      <c r="EE9" s="933"/>
      <c r="EF9" s="933"/>
      <c r="EG9" s="933"/>
      <c r="EH9" s="933"/>
      <c r="EI9" s="933"/>
      <c r="EJ9" s="933"/>
      <c r="EK9" s="934"/>
      <c r="EL9" s="934"/>
      <c r="EM9" s="934"/>
      <c r="EN9" s="934"/>
      <c r="EO9" s="933" t="s">
        <v>51</v>
      </c>
      <c r="EP9" s="933"/>
      <c r="EQ9" s="933"/>
      <c r="ER9" s="933"/>
      <c r="ES9" s="933"/>
      <c r="ET9" s="933"/>
      <c r="EU9" s="933"/>
      <c r="EV9" s="933"/>
      <c r="EW9" s="933"/>
      <c r="EX9" s="933"/>
      <c r="EY9" s="933"/>
      <c r="EZ9" s="933"/>
      <c r="FA9" s="933"/>
      <c r="FB9" s="933"/>
      <c r="FC9" s="934"/>
      <c r="FD9" s="934"/>
      <c r="FE9" s="934"/>
      <c r="FF9" s="934"/>
      <c r="FG9" s="933" t="s">
        <v>51</v>
      </c>
      <c r="FH9" s="933"/>
      <c r="FI9" s="933"/>
      <c r="FJ9" s="933"/>
      <c r="FK9" s="933"/>
      <c r="FL9" s="933"/>
      <c r="FM9" s="933"/>
      <c r="FN9" s="933"/>
      <c r="FO9" s="933"/>
      <c r="FP9" s="933"/>
      <c r="FQ9" s="933"/>
      <c r="FR9" s="933"/>
      <c r="FS9" s="933"/>
      <c r="FT9" s="933"/>
      <c r="FU9" s="934"/>
      <c r="FV9" s="934"/>
      <c r="FW9" s="934"/>
      <c r="FX9" s="934"/>
      <c r="FY9" s="933" t="s">
        <v>51</v>
      </c>
      <c r="FZ9" s="933"/>
      <c r="GA9" s="933"/>
      <c r="GB9" s="933"/>
      <c r="GC9" s="933"/>
      <c r="GD9" s="933"/>
      <c r="GE9" s="933"/>
      <c r="GF9" s="933"/>
      <c r="GG9" s="933"/>
      <c r="GH9" s="933"/>
      <c r="GI9" s="933"/>
      <c r="GJ9" s="933"/>
      <c r="GK9" s="933"/>
      <c r="GL9" s="933"/>
      <c r="GM9" s="934"/>
      <c r="GN9" s="934"/>
      <c r="GO9" s="934"/>
      <c r="GP9" s="934"/>
      <c r="GQ9" s="933" t="s">
        <v>51</v>
      </c>
      <c r="GR9" s="933"/>
      <c r="GS9" s="933"/>
      <c r="GT9" s="933"/>
      <c r="GU9" s="933"/>
      <c r="GV9" s="933"/>
      <c r="GW9" s="933"/>
      <c r="GX9" s="933"/>
      <c r="GY9" s="933"/>
      <c r="GZ9" s="933"/>
      <c r="HA9" s="933"/>
      <c r="HB9" s="933"/>
      <c r="HC9" s="933"/>
      <c r="HD9" s="933"/>
    </row>
    <row r="10" spans="1:212" s="1" customFormat="1" ht="12.75" x14ac:dyDescent="0.2">
      <c r="B10" s="488"/>
      <c r="C10" s="8"/>
      <c r="D10" s="481" t="s">
        <v>179</v>
      </c>
      <c r="F10" s="482" t="s">
        <v>180</v>
      </c>
      <c r="H10" s="481" t="s">
        <v>180</v>
      </c>
      <c r="I10" s="102"/>
      <c r="J10" s="481" t="s">
        <v>180</v>
      </c>
      <c r="L10" s="482" t="s">
        <v>179</v>
      </c>
      <c r="N10" s="481" t="s">
        <v>179</v>
      </c>
      <c r="O10" s="481"/>
      <c r="P10" s="481" t="s">
        <v>179</v>
      </c>
      <c r="Q10" s="102"/>
      <c r="R10" s="481" t="s">
        <v>179</v>
      </c>
      <c r="S10" s="20"/>
      <c r="T10" s="923"/>
      <c r="U10" s="924"/>
      <c r="V10" s="937"/>
      <c r="W10" s="20"/>
      <c r="X10" s="937"/>
      <c r="Y10" s="20"/>
      <c r="Z10" s="937"/>
      <c r="AA10" s="20"/>
      <c r="AB10" s="937"/>
      <c r="AC10" s="20"/>
      <c r="AD10" s="937"/>
      <c r="AE10" s="20"/>
      <c r="AF10" s="937"/>
      <c r="AG10" s="937"/>
      <c r="AH10" s="937"/>
      <c r="AI10" s="20"/>
      <c r="AJ10" s="937"/>
      <c r="AL10" s="488"/>
      <c r="AM10" s="8"/>
      <c r="AN10" s="481" t="s">
        <v>179</v>
      </c>
      <c r="AP10" s="482" t="s">
        <v>180</v>
      </c>
      <c r="AR10" s="481" t="s">
        <v>180</v>
      </c>
      <c r="AS10" s="102"/>
      <c r="AT10" s="481" t="s">
        <v>180</v>
      </c>
      <c r="AU10" s="102"/>
      <c r="AV10" s="481" t="s">
        <v>179</v>
      </c>
      <c r="AW10" s="102"/>
      <c r="AX10" s="481" t="s">
        <v>179</v>
      </c>
      <c r="AY10" s="481"/>
      <c r="AZ10" s="481" t="s">
        <v>179</v>
      </c>
      <c r="BA10" s="102"/>
      <c r="BB10" s="481" t="s">
        <v>179</v>
      </c>
      <c r="BC10" s="488"/>
      <c r="BD10" s="488"/>
      <c r="BE10" s="8"/>
      <c r="BF10" s="481" t="s">
        <v>179</v>
      </c>
      <c r="BH10" s="482" t="s">
        <v>180</v>
      </c>
      <c r="BJ10" s="481" t="s">
        <v>180</v>
      </c>
      <c r="BK10" s="102"/>
      <c r="BL10" s="481" t="s">
        <v>180</v>
      </c>
      <c r="BM10" s="102"/>
      <c r="BN10" s="481" t="s">
        <v>179</v>
      </c>
      <c r="BO10" s="102"/>
      <c r="BP10" s="481" t="s">
        <v>179</v>
      </c>
      <c r="BQ10" s="481"/>
      <c r="BR10" s="481" t="s">
        <v>179</v>
      </c>
      <c r="BS10" s="102"/>
      <c r="BT10" s="481" t="s">
        <v>179</v>
      </c>
      <c r="BU10" s="488"/>
      <c r="BV10" s="8"/>
      <c r="BW10" s="8"/>
      <c r="BX10" s="481" t="s">
        <v>179</v>
      </c>
      <c r="BZ10" s="482" t="s">
        <v>180</v>
      </c>
      <c r="CB10" s="481" t="s">
        <v>180</v>
      </c>
      <c r="CC10" s="102"/>
      <c r="CD10" s="481" t="s">
        <v>180</v>
      </c>
      <c r="CE10" s="102"/>
      <c r="CF10" s="481" t="s">
        <v>179</v>
      </c>
      <c r="CG10" s="102"/>
      <c r="CH10" s="481" t="s">
        <v>179</v>
      </c>
      <c r="CI10" s="481"/>
      <c r="CJ10" s="481" t="s">
        <v>179</v>
      </c>
      <c r="CK10" s="102"/>
      <c r="CL10" s="481" t="s">
        <v>179</v>
      </c>
      <c r="CM10" s="488"/>
      <c r="CN10" s="8"/>
      <c r="CO10" s="8"/>
      <c r="CP10" s="481" t="s">
        <v>179</v>
      </c>
      <c r="CR10" s="482" t="s">
        <v>180</v>
      </c>
      <c r="CT10" s="481" t="s">
        <v>180</v>
      </c>
      <c r="CU10" s="102"/>
      <c r="CV10" s="481" t="s">
        <v>180</v>
      </c>
      <c r="CW10" s="102"/>
      <c r="CX10" s="481" t="s">
        <v>179</v>
      </c>
      <c r="CY10" s="102"/>
      <c r="CZ10" s="481" t="s">
        <v>179</v>
      </c>
      <c r="DA10" s="481"/>
      <c r="DB10" s="481" t="s">
        <v>179</v>
      </c>
      <c r="DC10" s="102"/>
      <c r="DD10" s="481" t="s">
        <v>179</v>
      </c>
      <c r="DE10" s="488"/>
      <c r="DF10" s="8"/>
      <c r="DG10" s="8"/>
      <c r="DH10" s="481" t="s">
        <v>179</v>
      </c>
      <c r="DJ10" s="482" t="s">
        <v>180</v>
      </c>
      <c r="DL10" s="481" t="s">
        <v>180</v>
      </c>
      <c r="DM10" s="102"/>
      <c r="DN10" s="481" t="s">
        <v>180</v>
      </c>
      <c r="DO10" s="102"/>
      <c r="DP10" s="481" t="s">
        <v>179</v>
      </c>
      <c r="DQ10" s="102"/>
      <c r="DR10" s="481" t="s">
        <v>179</v>
      </c>
      <c r="DS10" s="481"/>
      <c r="DT10" s="481" t="s">
        <v>179</v>
      </c>
      <c r="DU10" s="102"/>
      <c r="DV10" s="481" t="s">
        <v>179</v>
      </c>
      <c r="DW10" s="488"/>
      <c r="DX10" s="488"/>
      <c r="DY10" s="8"/>
      <c r="DZ10" s="481" t="s">
        <v>179</v>
      </c>
      <c r="EB10" s="482" t="s">
        <v>180</v>
      </c>
      <c r="ED10" s="481" t="s">
        <v>180</v>
      </c>
      <c r="EE10" s="102"/>
      <c r="EF10" s="481" t="s">
        <v>180</v>
      </c>
      <c r="EG10" s="102"/>
      <c r="EH10" s="481" t="s">
        <v>179</v>
      </c>
      <c r="EI10" s="102"/>
      <c r="EJ10" s="481" t="s">
        <v>179</v>
      </c>
      <c r="EK10" s="481"/>
      <c r="EL10" s="481" t="s">
        <v>179</v>
      </c>
      <c r="EM10" s="102"/>
      <c r="EN10" s="481" t="s">
        <v>179</v>
      </c>
      <c r="EO10" s="482"/>
      <c r="EP10" s="8"/>
      <c r="EQ10" s="8"/>
      <c r="ER10" s="481" t="s">
        <v>179</v>
      </c>
      <c r="ET10" s="482" t="s">
        <v>180</v>
      </c>
      <c r="EV10" s="481" t="s">
        <v>180</v>
      </c>
      <c r="EW10" s="102"/>
      <c r="EX10" s="481" t="s">
        <v>180</v>
      </c>
      <c r="EY10" s="102"/>
      <c r="EZ10" s="481" t="s">
        <v>179</v>
      </c>
      <c r="FA10" s="102"/>
      <c r="FB10" s="481" t="s">
        <v>179</v>
      </c>
      <c r="FC10" s="481"/>
      <c r="FD10" s="481" t="s">
        <v>179</v>
      </c>
      <c r="FE10" s="102"/>
      <c r="FF10" s="481" t="s">
        <v>179</v>
      </c>
      <c r="FG10" s="488"/>
      <c r="FH10" s="488"/>
      <c r="FI10" s="8"/>
      <c r="FJ10" s="481" t="s">
        <v>179</v>
      </c>
      <c r="FL10" s="482" t="s">
        <v>180</v>
      </c>
      <c r="FN10" s="481" t="s">
        <v>180</v>
      </c>
      <c r="FO10" s="102"/>
      <c r="FP10" s="481" t="s">
        <v>180</v>
      </c>
      <c r="FQ10" s="102"/>
      <c r="FR10" s="481" t="s">
        <v>179</v>
      </c>
      <c r="FS10" s="102"/>
      <c r="FT10" s="481" t="s">
        <v>179</v>
      </c>
      <c r="FU10" s="481"/>
      <c r="FV10" s="481" t="s">
        <v>179</v>
      </c>
      <c r="FW10" s="102"/>
      <c r="FX10" s="481" t="s">
        <v>179</v>
      </c>
      <c r="FY10" s="482"/>
      <c r="FZ10" s="8"/>
      <c r="GA10" s="8"/>
      <c r="GB10" s="481" t="s">
        <v>179</v>
      </c>
      <c r="GD10" s="482" t="s">
        <v>180</v>
      </c>
      <c r="GF10" s="481" t="s">
        <v>180</v>
      </c>
      <c r="GG10" s="102"/>
      <c r="GH10" s="481" t="s">
        <v>180</v>
      </c>
      <c r="GI10" s="102"/>
      <c r="GJ10" s="481" t="s">
        <v>179</v>
      </c>
      <c r="GK10" s="102"/>
      <c r="GL10" s="481" t="s">
        <v>179</v>
      </c>
      <c r="GM10" s="481"/>
      <c r="GN10" s="481" t="s">
        <v>179</v>
      </c>
      <c r="GO10" s="102"/>
      <c r="GP10" s="481" t="s">
        <v>179</v>
      </c>
      <c r="GT10" s="481" t="s">
        <v>179</v>
      </c>
      <c r="GV10" s="482" t="s">
        <v>180</v>
      </c>
      <c r="GX10" s="481" t="s">
        <v>180</v>
      </c>
      <c r="GY10" s="102"/>
      <c r="GZ10" s="481" t="s">
        <v>180</v>
      </c>
      <c r="HA10" s="102"/>
      <c r="HB10" s="481" t="s">
        <v>179</v>
      </c>
      <c r="HC10" s="102"/>
      <c r="HD10" s="481" t="s">
        <v>179</v>
      </c>
    </row>
    <row r="11" spans="1:212" s="1" customFormat="1" ht="12.75" x14ac:dyDescent="0.2">
      <c r="B11" s="488"/>
      <c r="C11" s="8"/>
      <c r="D11" s="483"/>
      <c r="E11" s="484"/>
      <c r="F11" s="484"/>
      <c r="G11" s="484"/>
      <c r="H11" s="484"/>
      <c r="I11" s="484"/>
      <c r="J11" s="109"/>
      <c r="K11" s="109"/>
      <c r="L11" s="109"/>
      <c r="M11" s="109"/>
      <c r="N11" s="110"/>
      <c r="O11" s="109"/>
      <c r="P11" s="109"/>
      <c r="Q11" s="109"/>
      <c r="R11" s="110"/>
      <c r="S11" s="20"/>
      <c r="T11" s="923"/>
      <c r="U11" s="924"/>
      <c r="V11" s="938"/>
      <c r="W11" s="924"/>
      <c r="X11" s="924"/>
      <c r="Y11" s="924"/>
      <c r="Z11" s="924"/>
      <c r="AA11" s="924"/>
      <c r="AB11" s="924"/>
      <c r="AC11" s="924"/>
      <c r="AD11" s="924"/>
      <c r="AE11" s="924"/>
      <c r="AF11" s="924"/>
      <c r="AG11" s="924"/>
      <c r="AH11" s="924"/>
      <c r="AI11" s="924"/>
      <c r="AJ11" s="924"/>
      <c r="AL11" s="488"/>
      <c r="AM11" s="8"/>
      <c r="AN11" s="483"/>
      <c r="AO11" s="484"/>
      <c r="AP11" s="484"/>
      <c r="AQ11" s="484"/>
      <c r="AR11" s="484"/>
      <c r="AS11" s="484"/>
      <c r="AT11" s="109"/>
      <c r="AU11" s="109"/>
      <c r="AV11" s="109"/>
      <c r="AW11" s="109"/>
      <c r="AX11" s="110"/>
      <c r="AY11" s="109"/>
      <c r="AZ11" s="109"/>
      <c r="BA11" s="109"/>
      <c r="BB11" s="110"/>
      <c r="BC11" s="488"/>
      <c r="BD11" s="488"/>
      <c r="BE11" s="8"/>
      <c r="BF11" s="483"/>
      <c r="BG11" s="484"/>
      <c r="BH11" s="484"/>
      <c r="BI11" s="484"/>
      <c r="BJ11" s="484"/>
      <c r="BK11" s="484"/>
      <c r="BL11" s="109"/>
      <c r="BM11" s="109"/>
      <c r="BN11" s="109"/>
      <c r="BO11" s="109"/>
      <c r="BP11" s="110"/>
      <c r="BQ11" s="109"/>
      <c r="BR11" s="109"/>
      <c r="BS11" s="109"/>
      <c r="BT11" s="110"/>
      <c r="BU11" s="488"/>
      <c r="BV11" s="8"/>
      <c r="BW11" s="8"/>
      <c r="BX11" s="483"/>
      <c r="BY11" s="484"/>
      <c r="BZ11" s="484"/>
      <c r="CA11" s="484"/>
      <c r="CB11" s="484"/>
      <c r="CC11" s="484"/>
      <c r="CD11" s="109"/>
      <c r="CE11" s="484"/>
      <c r="CF11" s="109"/>
      <c r="CG11" s="484"/>
      <c r="CH11" s="110"/>
      <c r="CI11" s="109"/>
      <c r="CJ11" s="109"/>
      <c r="CK11" s="109"/>
      <c r="CL11" s="110"/>
      <c r="CM11" s="488"/>
      <c r="CN11" s="8"/>
      <c r="CO11" s="8"/>
      <c r="CP11" s="483"/>
      <c r="CQ11" s="484"/>
      <c r="CR11" s="484"/>
      <c r="CS11" s="484"/>
      <c r="CT11" s="484"/>
      <c r="CU11" s="484"/>
      <c r="CV11" s="109"/>
      <c r="CW11" s="109"/>
      <c r="CX11" s="109"/>
      <c r="CY11" s="109"/>
      <c r="CZ11" s="110"/>
      <c r="DA11" s="109"/>
      <c r="DB11" s="109"/>
      <c r="DC11" s="109"/>
      <c r="DD11" s="110"/>
      <c r="DE11" s="488"/>
      <c r="DF11" s="8"/>
      <c r="DG11" s="8"/>
      <c r="DH11" s="483"/>
      <c r="DI11" s="484"/>
      <c r="DJ11" s="484"/>
      <c r="DK11" s="484"/>
      <c r="DL11" s="484"/>
      <c r="DM11" s="484"/>
      <c r="DN11" s="109"/>
      <c r="DO11" s="109"/>
      <c r="DP11" s="109"/>
      <c r="DQ11" s="109"/>
      <c r="DR11" s="110"/>
      <c r="DS11" s="109"/>
      <c r="DT11" s="109"/>
      <c r="DU11" s="109"/>
      <c r="DV11" s="110"/>
      <c r="DW11" s="488"/>
      <c r="DX11" s="488"/>
      <c r="DY11" s="8"/>
      <c r="DZ11" s="483"/>
      <c r="EA11" s="484"/>
      <c r="EB11" s="484"/>
      <c r="EC11" s="484"/>
      <c r="ED11" s="484"/>
      <c r="EE11" s="484"/>
      <c r="EF11" s="109"/>
      <c r="EG11" s="109"/>
      <c r="EH11" s="109"/>
      <c r="EI11" s="109"/>
      <c r="EJ11" s="110"/>
      <c r="EK11" s="109"/>
      <c r="EL11" s="109"/>
      <c r="EM11" s="109"/>
      <c r="EN11" s="110"/>
      <c r="EO11" s="482"/>
      <c r="EP11" s="8"/>
      <c r="EQ11" s="8"/>
      <c r="ER11" s="483"/>
      <c r="ES11" s="484"/>
      <c r="ET11" s="484"/>
      <c r="EU11" s="484"/>
      <c r="EV11" s="484"/>
      <c r="EW11" s="484"/>
      <c r="EX11" s="109"/>
      <c r="EY11" s="109"/>
      <c r="EZ11" s="109"/>
      <c r="FA11" s="109"/>
      <c r="FB11" s="110"/>
      <c r="FC11" s="109"/>
      <c r="FD11" s="109"/>
      <c r="FE11" s="109"/>
      <c r="FF11" s="110"/>
      <c r="FG11" s="488"/>
      <c r="FH11" s="488"/>
      <c r="FI11" s="8"/>
      <c r="FJ11" s="483"/>
      <c r="FK11" s="484"/>
      <c r="FL11" s="484"/>
      <c r="FM11" s="484"/>
      <c r="FN11" s="484"/>
      <c r="FO11" s="484"/>
      <c r="FP11" s="109"/>
      <c r="FQ11" s="109"/>
      <c r="FR11" s="109"/>
      <c r="FS11" s="109"/>
      <c r="FT11" s="110"/>
      <c r="FU11" s="109"/>
      <c r="FV11" s="109"/>
      <c r="FW11" s="109"/>
      <c r="FX11" s="110"/>
      <c r="FY11" s="482"/>
      <c r="FZ11" s="8"/>
      <c r="GA11" s="8"/>
      <c r="GB11" s="483"/>
      <c r="GC11" s="484"/>
      <c r="GD11" s="484"/>
      <c r="GE11" s="484"/>
      <c r="GF11" s="484"/>
      <c r="GG11" s="484"/>
      <c r="GH11" s="109"/>
      <c r="GI11" s="109"/>
      <c r="GJ11" s="109"/>
      <c r="GK11" s="109"/>
      <c r="GL11" s="110"/>
      <c r="GM11" s="109"/>
      <c r="GN11" s="109"/>
      <c r="GO11" s="109"/>
      <c r="GP11" s="110"/>
      <c r="GT11" s="483"/>
      <c r="GU11" s="484"/>
      <c r="GV11" s="484"/>
      <c r="GW11" s="484"/>
      <c r="GX11" s="484"/>
      <c r="GY11" s="484"/>
      <c r="GZ11" s="109"/>
      <c r="HA11" s="109"/>
      <c r="HB11" s="109"/>
      <c r="HC11" s="109"/>
      <c r="HD11" s="110"/>
    </row>
    <row r="12" spans="1:212" s="1" customFormat="1" ht="12.75" x14ac:dyDescent="0.2">
      <c r="B12" s="488"/>
      <c r="C12" s="8"/>
      <c r="D12" s="117"/>
      <c r="E12" s="118"/>
      <c r="F12" s="259"/>
      <c r="G12" s="485"/>
      <c r="H12" s="121" t="s">
        <v>61</v>
      </c>
      <c r="I12" s="122">
        <v>2024</v>
      </c>
      <c r="J12" s="123" t="s">
        <v>62</v>
      </c>
      <c r="K12" s="486">
        <v>2025</v>
      </c>
      <c r="L12" s="123" t="s">
        <v>62</v>
      </c>
      <c r="M12" s="486">
        <v>2026</v>
      </c>
      <c r="N12" s="124" t="s">
        <v>62</v>
      </c>
      <c r="O12" s="486"/>
      <c r="P12" s="123"/>
      <c r="Q12" s="486"/>
      <c r="R12" s="124"/>
      <c r="S12" s="20"/>
      <c r="T12" s="923"/>
      <c r="U12" s="924"/>
      <c r="V12" s="20"/>
      <c r="W12" s="20"/>
      <c r="X12" s="20"/>
      <c r="Y12" s="939"/>
      <c r="Z12" s="94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L12" s="488"/>
      <c r="AM12" s="8"/>
      <c r="AN12" s="117"/>
      <c r="AO12" s="118"/>
      <c r="AP12" s="259"/>
      <c r="AQ12" s="485"/>
      <c r="AR12" s="121" t="s">
        <v>61</v>
      </c>
      <c r="AS12" s="122">
        <v>2024</v>
      </c>
      <c r="AT12" s="123" t="s">
        <v>62</v>
      </c>
      <c r="AU12" s="486">
        <v>2025</v>
      </c>
      <c r="AV12" s="123" t="s">
        <v>62</v>
      </c>
      <c r="AW12" s="486">
        <v>2026</v>
      </c>
      <c r="AX12" s="123" t="s">
        <v>62</v>
      </c>
      <c r="AY12" s="486">
        <v>2027</v>
      </c>
      <c r="AZ12" s="123" t="s">
        <v>62</v>
      </c>
      <c r="BA12" s="486">
        <v>2028</v>
      </c>
      <c r="BB12" s="136" t="s">
        <v>62</v>
      </c>
      <c r="BC12" s="941"/>
      <c r="BD12" s="941"/>
      <c r="BE12" s="941"/>
      <c r="BF12" s="117"/>
      <c r="BG12" s="118"/>
      <c r="BH12" s="259"/>
      <c r="BI12" s="485"/>
      <c r="BJ12" s="121" t="s">
        <v>61</v>
      </c>
      <c r="BK12" s="122">
        <v>2024</v>
      </c>
      <c r="BL12" s="123" t="s">
        <v>62</v>
      </c>
      <c r="BM12" s="486">
        <v>2025</v>
      </c>
      <c r="BN12" s="123" t="s">
        <v>62</v>
      </c>
      <c r="BO12" s="486">
        <v>2026</v>
      </c>
      <c r="BP12" s="123" t="s">
        <v>62</v>
      </c>
      <c r="BQ12" s="486">
        <v>2027</v>
      </c>
      <c r="BR12" s="123" t="s">
        <v>62</v>
      </c>
      <c r="BS12" s="486">
        <v>2028</v>
      </c>
      <c r="BT12" s="136" t="s">
        <v>62</v>
      </c>
      <c r="BU12" s="941"/>
      <c r="BV12" s="941"/>
      <c r="BW12" s="941"/>
      <c r="BX12" s="117"/>
      <c r="BY12" s="118"/>
      <c r="BZ12" s="259"/>
      <c r="CA12" s="259"/>
      <c r="CB12" s="121" t="s">
        <v>61</v>
      </c>
      <c r="CC12" s="121">
        <v>2024</v>
      </c>
      <c r="CD12" s="123" t="s">
        <v>62</v>
      </c>
      <c r="CE12" s="121">
        <v>2025</v>
      </c>
      <c r="CF12" s="123" t="s">
        <v>62</v>
      </c>
      <c r="CG12" s="121">
        <v>2026</v>
      </c>
      <c r="CH12" s="123" t="s">
        <v>62</v>
      </c>
      <c r="CI12" s="486">
        <v>2027</v>
      </c>
      <c r="CJ12" s="123" t="s">
        <v>62</v>
      </c>
      <c r="CK12" s="486">
        <v>2028</v>
      </c>
      <c r="CL12" s="136" t="s">
        <v>62</v>
      </c>
      <c r="CN12" s="488"/>
      <c r="CO12" s="8"/>
      <c r="CP12" s="117"/>
      <c r="CQ12" s="118"/>
      <c r="CR12" s="259"/>
      <c r="CS12" s="485"/>
      <c r="CT12" s="121" t="s">
        <v>61</v>
      </c>
      <c r="CU12" s="122">
        <v>2024</v>
      </c>
      <c r="CV12" s="123" t="s">
        <v>62</v>
      </c>
      <c r="CW12" s="486">
        <v>2025</v>
      </c>
      <c r="CX12" s="123" t="s">
        <v>62</v>
      </c>
      <c r="CY12" s="486">
        <v>2026</v>
      </c>
      <c r="CZ12" s="123" t="s">
        <v>62</v>
      </c>
      <c r="DA12" s="486">
        <v>2027</v>
      </c>
      <c r="DB12" s="123" t="s">
        <v>62</v>
      </c>
      <c r="DC12" s="486">
        <v>2028</v>
      </c>
      <c r="DD12" s="136" t="s">
        <v>62</v>
      </c>
      <c r="DF12" s="488"/>
      <c r="DG12" s="8"/>
      <c r="DH12" s="117"/>
      <c r="DI12" s="118"/>
      <c r="DJ12" s="259"/>
      <c r="DK12" s="485"/>
      <c r="DL12" s="121" t="s">
        <v>61</v>
      </c>
      <c r="DM12" s="122">
        <v>2024</v>
      </c>
      <c r="DN12" s="123" t="s">
        <v>62</v>
      </c>
      <c r="DO12" s="486">
        <v>2025</v>
      </c>
      <c r="DP12" s="123" t="s">
        <v>62</v>
      </c>
      <c r="DQ12" s="486">
        <v>2026</v>
      </c>
      <c r="DR12" s="123" t="s">
        <v>62</v>
      </c>
      <c r="DS12" s="486">
        <v>2027</v>
      </c>
      <c r="DT12" s="123" t="s">
        <v>62</v>
      </c>
      <c r="DU12" s="486">
        <v>2028</v>
      </c>
      <c r="DV12" s="136" t="s">
        <v>62</v>
      </c>
      <c r="DX12" s="488"/>
      <c r="DY12" s="8"/>
      <c r="DZ12" s="117"/>
      <c r="EA12" s="118"/>
      <c r="EB12" s="259"/>
      <c r="EC12" s="485"/>
      <c r="ED12" s="121" t="s">
        <v>61</v>
      </c>
      <c r="EE12" s="122">
        <v>2024</v>
      </c>
      <c r="EF12" s="123" t="s">
        <v>62</v>
      </c>
      <c r="EG12" s="486">
        <v>2025</v>
      </c>
      <c r="EH12" s="123" t="s">
        <v>62</v>
      </c>
      <c r="EI12" s="486">
        <v>2026</v>
      </c>
      <c r="EJ12" s="123" t="s">
        <v>62</v>
      </c>
      <c r="EK12" s="486">
        <v>2027</v>
      </c>
      <c r="EL12" s="123" t="s">
        <v>62</v>
      </c>
      <c r="EM12" s="486">
        <v>2028</v>
      </c>
      <c r="EN12" s="136" t="s">
        <v>62</v>
      </c>
      <c r="EP12" s="488"/>
      <c r="EQ12" s="8"/>
      <c r="ER12" s="117"/>
      <c r="ES12" s="118"/>
      <c r="ET12" s="259"/>
      <c r="EU12" s="485"/>
      <c r="EV12" s="121" t="s">
        <v>61</v>
      </c>
      <c r="EW12" s="122">
        <v>2024</v>
      </c>
      <c r="EX12" s="123" t="s">
        <v>62</v>
      </c>
      <c r="EY12" s="486">
        <v>2025</v>
      </c>
      <c r="EZ12" s="123" t="s">
        <v>62</v>
      </c>
      <c r="FA12" s="486">
        <v>2026</v>
      </c>
      <c r="FB12" s="123" t="s">
        <v>62</v>
      </c>
      <c r="FC12" s="486">
        <v>2027</v>
      </c>
      <c r="FD12" s="123" t="s">
        <v>62</v>
      </c>
      <c r="FE12" s="486">
        <v>2028</v>
      </c>
      <c r="FF12" s="136" t="s">
        <v>62</v>
      </c>
      <c r="FH12" s="488"/>
      <c r="FI12" s="8"/>
      <c r="FJ12" s="117"/>
      <c r="FK12" s="118"/>
      <c r="FL12" s="259"/>
      <c r="FM12" s="485"/>
      <c r="FN12" s="121" t="s">
        <v>61</v>
      </c>
      <c r="FO12" s="122">
        <v>2024</v>
      </c>
      <c r="FP12" s="123" t="s">
        <v>62</v>
      </c>
      <c r="FQ12" s="486">
        <v>2025</v>
      </c>
      <c r="FR12" s="123" t="s">
        <v>62</v>
      </c>
      <c r="FS12" s="486">
        <v>2026</v>
      </c>
      <c r="FT12" s="123" t="s">
        <v>62</v>
      </c>
      <c r="FU12" s="486">
        <v>2027</v>
      </c>
      <c r="FV12" s="123" t="s">
        <v>62</v>
      </c>
      <c r="FW12" s="486">
        <v>2028</v>
      </c>
      <c r="FX12" s="136" t="s">
        <v>62</v>
      </c>
      <c r="FZ12" s="488"/>
      <c r="GA12" s="8"/>
      <c r="GB12" s="117"/>
      <c r="GC12" s="118"/>
      <c r="GD12" s="259"/>
      <c r="GE12" s="485"/>
      <c r="GF12" s="121" t="s">
        <v>61</v>
      </c>
      <c r="GG12" s="122">
        <v>2024</v>
      </c>
      <c r="GH12" s="123" t="s">
        <v>62</v>
      </c>
      <c r="GI12" s="486">
        <v>2025</v>
      </c>
      <c r="GJ12" s="123" t="s">
        <v>62</v>
      </c>
      <c r="GK12" s="486">
        <v>2026</v>
      </c>
      <c r="GL12" s="123" t="s">
        <v>62</v>
      </c>
      <c r="GM12" s="486">
        <v>2027</v>
      </c>
      <c r="GN12" s="123" t="s">
        <v>62</v>
      </c>
      <c r="GO12" s="486">
        <v>2028</v>
      </c>
      <c r="GP12" s="136" t="s">
        <v>62</v>
      </c>
      <c r="GT12" s="117"/>
      <c r="GU12" s="118"/>
      <c r="GV12" s="259"/>
      <c r="GW12" s="485"/>
      <c r="GX12" s="121" t="s">
        <v>61</v>
      </c>
      <c r="GY12" s="122">
        <v>2024</v>
      </c>
      <c r="GZ12" s="123" t="s">
        <v>62</v>
      </c>
      <c r="HA12" s="486">
        <v>2025</v>
      </c>
      <c r="HB12" s="123" t="s">
        <v>62</v>
      </c>
      <c r="HC12" s="486">
        <v>2026</v>
      </c>
      <c r="HD12" s="123" t="s">
        <v>62</v>
      </c>
    </row>
    <row r="13" spans="1:212" s="1" customFormat="1" ht="12.75" x14ac:dyDescent="0.2">
      <c r="C13" s="487"/>
      <c r="D13" s="132" t="s">
        <v>63</v>
      </c>
      <c r="E13" s="133"/>
      <c r="F13" s="138" t="s">
        <v>64</v>
      </c>
      <c r="G13" s="139" t="s">
        <v>70</v>
      </c>
      <c r="H13" s="136" t="s">
        <v>62</v>
      </c>
      <c r="I13" s="137" t="s">
        <v>71</v>
      </c>
      <c r="J13" s="134" t="s">
        <v>66</v>
      </c>
      <c r="K13" s="135" t="s">
        <v>9</v>
      </c>
      <c r="L13" s="134" t="s">
        <v>66</v>
      </c>
      <c r="M13" s="135" t="s">
        <v>10</v>
      </c>
      <c r="N13" s="138" t="s">
        <v>66</v>
      </c>
      <c r="O13" s="135"/>
      <c r="P13" s="134"/>
      <c r="Q13" s="135"/>
      <c r="R13" s="138"/>
      <c r="S13" s="20"/>
      <c r="T13" s="487"/>
      <c r="U13" s="20"/>
      <c r="V13" s="100"/>
      <c r="W13" s="942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M13" s="487"/>
      <c r="AN13" s="132" t="s">
        <v>63</v>
      </c>
      <c r="AO13" s="133"/>
      <c r="AP13" s="138" t="s">
        <v>64</v>
      </c>
      <c r="AQ13" s="139" t="s">
        <v>70</v>
      </c>
      <c r="AR13" s="136" t="s">
        <v>62</v>
      </c>
      <c r="AS13" s="137" t="s">
        <v>71</v>
      </c>
      <c r="AT13" s="134" t="s">
        <v>66</v>
      </c>
      <c r="AU13" s="135" t="s">
        <v>9</v>
      </c>
      <c r="AV13" s="134" t="s">
        <v>66</v>
      </c>
      <c r="AW13" s="135" t="s">
        <v>10</v>
      </c>
      <c r="AX13" s="134" t="s">
        <v>66</v>
      </c>
      <c r="AY13" s="135" t="s">
        <v>10</v>
      </c>
      <c r="AZ13" s="134" t="s">
        <v>66</v>
      </c>
      <c r="BA13" s="135" t="s">
        <v>11</v>
      </c>
      <c r="BB13" s="136" t="s">
        <v>66</v>
      </c>
      <c r="BC13" s="943"/>
      <c r="BD13" s="944"/>
      <c r="BE13" s="490"/>
      <c r="BF13" s="132" t="s">
        <v>63</v>
      </c>
      <c r="BG13" s="133"/>
      <c r="BH13" s="138" t="s">
        <v>64</v>
      </c>
      <c r="BI13" s="139" t="s">
        <v>70</v>
      </c>
      <c r="BJ13" s="136" t="s">
        <v>62</v>
      </c>
      <c r="BK13" s="137" t="s">
        <v>71</v>
      </c>
      <c r="BL13" s="134" t="s">
        <v>66</v>
      </c>
      <c r="BM13" s="135" t="s">
        <v>9</v>
      </c>
      <c r="BN13" s="134" t="s">
        <v>66</v>
      </c>
      <c r="BO13" s="135" t="s">
        <v>10</v>
      </c>
      <c r="BP13" s="134" t="s">
        <v>66</v>
      </c>
      <c r="BQ13" s="135" t="s">
        <v>10</v>
      </c>
      <c r="BR13" s="134" t="s">
        <v>66</v>
      </c>
      <c r="BS13" s="135" t="s">
        <v>11</v>
      </c>
      <c r="BT13" s="136" t="s">
        <v>66</v>
      </c>
      <c r="BU13" s="943"/>
      <c r="BV13" s="944"/>
      <c r="BW13" s="490"/>
      <c r="BX13" s="132" t="s">
        <v>63</v>
      </c>
      <c r="BY13" s="133"/>
      <c r="BZ13" s="138" t="s">
        <v>64</v>
      </c>
      <c r="CA13" s="138" t="s">
        <v>70</v>
      </c>
      <c r="CB13" s="136" t="s">
        <v>62</v>
      </c>
      <c r="CC13" s="136" t="s">
        <v>71</v>
      </c>
      <c r="CD13" s="134" t="s">
        <v>66</v>
      </c>
      <c r="CE13" s="136" t="s">
        <v>9</v>
      </c>
      <c r="CF13" s="134" t="s">
        <v>66</v>
      </c>
      <c r="CG13" s="136" t="s">
        <v>10</v>
      </c>
      <c r="CH13" s="134" t="s">
        <v>66</v>
      </c>
      <c r="CI13" s="135" t="s">
        <v>10</v>
      </c>
      <c r="CJ13" s="134" t="s">
        <v>66</v>
      </c>
      <c r="CK13" s="135" t="s">
        <v>11</v>
      </c>
      <c r="CL13" s="136" t="s">
        <v>66</v>
      </c>
      <c r="CO13" s="487"/>
      <c r="CP13" s="132" t="s">
        <v>63</v>
      </c>
      <c r="CQ13" s="133"/>
      <c r="CR13" s="138" t="s">
        <v>64</v>
      </c>
      <c r="CS13" s="139" t="s">
        <v>70</v>
      </c>
      <c r="CT13" s="136" t="s">
        <v>62</v>
      </c>
      <c r="CU13" s="137" t="s">
        <v>71</v>
      </c>
      <c r="CV13" s="134" t="s">
        <v>66</v>
      </c>
      <c r="CW13" s="135" t="s">
        <v>9</v>
      </c>
      <c r="CX13" s="134" t="s">
        <v>66</v>
      </c>
      <c r="CY13" s="135" t="s">
        <v>10</v>
      </c>
      <c r="CZ13" s="134" t="s">
        <v>66</v>
      </c>
      <c r="DA13" s="135" t="s">
        <v>10</v>
      </c>
      <c r="DB13" s="134" t="s">
        <v>66</v>
      </c>
      <c r="DC13" s="135" t="s">
        <v>11</v>
      </c>
      <c r="DD13" s="136" t="s">
        <v>66</v>
      </c>
      <c r="DG13" s="487"/>
      <c r="DH13" s="132" t="s">
        <v>63</v>
      </c>
      <c r="DI13" s="133"/>
      <c r="DJ13" s="138" t="s">
        <v>64</v>
      </c>
      <c r="DK13" s="139" t="s">
        <v>70</v>
      </c>
      <c r="DL13" s="136" t="s">
        <v>62</v>
      </c>
      <c r="DM13" s="137" t="s">
        <v>71</v>
      </c>
      <c r="DN13" s="134" t="s">
        <v>66</v>
      </c>
      <c r="DO13" s="135" t="s">
        <v>9</v>
      </c>
      <c r="DP13" s="134" t="s">
        <v>66</v>
      </c>
      <c r="DQ13" s="135" t="s">
        <v>10</v>
      </c>
      <c r="DR13" s="134" t="s">
        <v>66</v>
      </c>
      <c r="DS13" s="135" t="s">
        <v>10</v>
      </c>
      <c r="DT13" s="134" t="s">
        <v>66</v>
      </c>
      <c r="DU13" s="135" t="s">
        <v>11</v>
      </c>
      <c r="DV13" s="136" t="s">
        <v>66</v>
      </c>
      <c r="DY13" s="487"/>
      <c r="DZ13" s="132" t="s">
        <v>63</v>
      </c>
      <c r="EA13" s="133"/>
      <c r="EB13" s="138" t="s">
        <v>64</v>
      </c>
      <c r="EC13" s="139" t="s">
        <v>70</v>
      </c>
      <c r="ED13" s="136" t="s">
        <v>62</v>
      </c>
      <c r="EE13" s="137" t="s">
        <v>71</v>
      </c>
      <c r="EF13" s="134" t="s">
        <v>66</v>
      </c>
      <c r="EG13" s="135" t="s">
        <v>9</v>
      </c>
      <c r="EH13" s="134" t="s">
        <v>66</v>
      </c>
      <c r="EI13" s="135" t="s">
        <v>10</v>
      </c>
      <c r="EJ13" s="134" t="s">
        <v>66</v>
      </c>
      <c r="EK13" s="135" t="s">
        <v>10</v>
      </c>
      <c r="EL13" s="134" t="s">
        <v>66</v>
      </c>
      <c r="EM13" s="135" t="s">
        <v>11</v>
      </c>
      <c r="EN13" s="136" t="s">
        <v>66</v>
      </c>
      <c r="EQ13" s="487"/>
      <c r="ER13" s="132" t="s">
        <v>63</v>
      </c>
      <c r="ES13" s="133"/>
      <c r="ET13" s="138" t="s">
        <v>64</v>
      </c>
      <c r="EU13" s="139" t="s">
        <v>70</v>
      </c>
      <c r="EV13" s="136" t="s">
        <v>62</v>
      </c>
      <c r="EW13" s="137" t="s">
        <v>71</v>
      </c>
      <c r="EX13" s="134" t="s">
        <v>66</v>
      </c>
      <c r="EY13" s="135" t="s">
        <v>9</v>
      </c>
      <c r="EZ13" s="134" t="s">
        <v>66</v>
      </c>
      <c r="FA13" s="135" t="s">
        <v>10</v>
      </c>
      <c r="FB13" s="134" t="s">
        <v>66</v>
      </c>
      <c r="FC13" s="135" t="s">
        <v>10</v>
      </c>
      <c r="FD13" s="134" t="s">
        <v>66</v>
      </c>
      <c r="FE13" s="135" t="s">
        <v>11</v>
      </c>
      <c r="FF13" s="136" t="s">
        <v>66</v>
      </c>
      <c r="FI13" s="487"/>
      <c r="FJ13" s="132" t="s">
        <v>63</v>
      </c>
      <c r="FK13" s="133"/>
      <c r="FL13" s="138" t="s">
        <v>64</v>
      </c>
      <c r="FM13" s="139" t="s">
        <v>70</v>
      </c>
      <c r="FN13" s="136" t="s">
        <v>62</v>
      </c>
      <c r="FO13" s="137" t="s">
        <v>71</v>
      </c>
      <c r="FP13" s="134" t="s">
        <v>66</v>
      </c>
      <c r="FQ13" s="135" t="s">
        <v>9</v>
      </c>
      <c r="FR13" s="134" t="s">
        <v>66</v>
      </c>
      <c r="FS13" s="135" t="s">
        <v>10</v>
      </c>
      <c r="FT13" s="134" t="s">
        <v>66</v>
      </c>
      <c r="FU13" s="135" t="s">
        <v>10</v>
      </c>
      <c r="FV13" s="134" t="s">
        <v>66</v>
      </c>
      <c r="FW13" s="135" t="s">
        <v>11</v>
      </c>
      <c r="FX13" s="136" t="s">
        <v>66</v>
      </c>
      <c r="FY13" s="1" t="s">
        <v>4</v>
      </c>
      <c r="GA13" s="487"/>
      <c r="GB13" s="132" t="s">
        <v>63</v>
      </c>
      <c r="GC13" s="133"/>
      <c r="GD13" s="138" t="s">
        <v>64</v>
      </c>
      <c r="GE13" s="139" t="s">
        <v>70</v>
      </c>
      <c r="GF13" s="136" t="s">
        <v>62</v>
      </c>
      <c r="GG13" s="137" t="s">
        <v>71</v>
      </c>
      <c r="GH13" s="134" t="s">
        <v>66</v>
      </c>
      <c r="GI13" s="135" t="s">
        <v>9</v>
      </c>
      <c r="GJ13" s="134" t="s">
        <v>66</v>
      </c>
      <c r="GK13" s="135" t="s">
        <v>10</v>
      </c>
      <c r="GL13" s="134" t="s">
        <v>66</v>
      </c>
      <c r="GM13" s="135" t="s">
        <v>10</v>
      </c>
      <c r="GN13" s="134" t="s">
        <v>66</v>
      </c>
      <c r="GO13" s="135" t="s">
        <v>11</v>
      </c>
      <c r="GP13" s="136" t="s">
        <v>66</v>
      </c>
      <c r="GT13" s="132" t="s">
        <v>63</v>
      </c>
      <c r="GU13" s="133"/>
      <c r="GV13" s="138" t="s">
        <v>64</v>
      </c>
      <c r="GW13" s="139" t="s">
        <v>70</v>
      </c>
      <c r="GX13" s="136" t="s">
        <v>62</v>
      </c>
      <c r="GY13" s="137" t="s">
        <v>71</v>
      </c>
      <c r="GZ13" s="134" t="s">
        <v>66</v>
      </c>
      <c r="HA13" s="135" t="s">
        <v>9</v>
      </c>
      <c r="HB13" s="134" t="s">
        <v>66</v>
      </c>
      <c r="HC13" s="135" t="s">
        <v>10</v>
      </c>
      <c r="HD13" s="134" t="s">
        <v>66</v>
      </c>
    </row>
    <row r="14" spans="1:212" s="1" customFormat="1" ht="12.75" x14ac:dyDescent="0.2">
      <c r="A14" s="14" t="s">
        <v>4</v>
      </c>
      <c r="B14" s="14"/>
      <c r="C14" s="489"/>
      <c r="D14" s="132" t="s">
        <v>67</v>
      </c>
      <c r="E14" s="135" t="s">
        <v>68</v>
      </c>
      <c r="F14" s="138" t="s">
        <v>69</v>
      </c>
      <c r="G14" s="139" t="s">
        <v>182</v>
      </c>
      <c r="H14" s="136" t="s">
        <v>69</v>
      </c>
      <c r="I14" s="137" t="s">
        <v>183</v>
      </c>
      <c r="J14" s="134" t="s">
        <v>72</v>
      </c>
      <c r="K14" s="135" t="s">
        <v>183</v>
      </c>
      <c r="L14" s="134" t="s">
        <v>73</v>
      </c>
      <c r="M14" s="135" t="s">
        <v>183</v>
      </c>
      <c r="N14" s="138" t="s">
        <v>73</v>
      </c>
      <c r="O14" s="135"/>
      <c r="P14" s="134"/>
      <c r="Q14" s="135"/>
      <c r="R14" s="138"/>
      <c r="S14" s="514"/>
      <c r="T14" s="515"/>
      <c r="U14" s="2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4" t="s">
        <v>4</v>
      </c>
      <c r="AL14" s="14"/>
      <c r="AM14" s="489"/>
      <c r="AN14" s="132" t="s">
        <v>67</v>
      </c>
      <c r="AO14" s="135" t="s">
        <v>68</v>
      </c>
      <c r="AP14" s="138" t="s">
        <v>69</v>
      </c>
      <c r="AQ14" s="139" t="s">
        <v>182</v>
      </c>
      <c r="AR14" s="136" t="s">
        <v>69</v>
      </c>
      <c r="AS14" s="137" t="s">
        <v>183</v>
      </c>
      <c r="AT14" s="134" t="s">
        <v>72</v>
      </c>
      <c r="AU14" s="135" t="s">
        <v>183</v>
      </c>
      <c r="AV14" s="134" t="s">
        <v>73</v>
      </c>
      <c r="AW14" s="135" t="s">
        <v>183</v>
      </c>
      <c r="AX14" s="134" t="s">
        <v>73</v>
      </c>
      <c r="AY14" s="135" t="s">
        <v>183</v>
      </c>
      <c r="AZ14" s="134" t="s">
        <v>73</v>
      </c>
      <c r="BA14" s="135" t="s">
        <v>183</v>
      </c>
      <c r="BB14" s="136" t="s">
        <v>73</v>
      </c>
      <c r="BC14" s="945" t="s">
        <v>4</v>
      </c>
      <c r="BD14" s="943"/>
      <c r="BE14" s="491"/>
      <c r="BF14" s="132" t="s">
        <v>67</v>
      </c>
      <c r="BG14" s="135" t="s">
        <v>68</v>
      </c>
      <c r="BH14" s="138" t="s">
        <v>69</v>
      </c>
      <c r="BI14" s="139" t="s">
        <v>182</v>
      </c>
      <c r="BJ14" s="136" t="s">
        <v>69</v>
      </c>
      <c r="BK14" s="137" t="s">
        <v>183</v>
      </c>
      <c r="BL14" s="134" t="s">
        <v>72</v>
      </c>
      <c r="BM14" s="135" t="s">
        <v>183</v>
      </c>
      <c r="BN14" s="134" t="s">
        <v>73</v>
      </c>
      <c r="BO14" s="135" t="s">
        <v>183</v>
      </c>
      <c r="BP14" s="134" t="s">
        <v>73</v>
      </c>
      <c r="BQ14" s="135" t="s">
        <v>183</v>
      </c>
      <c r="BR14" s="134" t="s">
        <v>73</v>
      </c>
      <c r="BS14" s="135" t="s">
        <v>183</v>
      </c>
      <c r="BT14" s="136" t="s">
        <v>73</v>
      </c>
      <c r="BU14" s="945" t="s">
        <v>4</v>
      </c>
      <c r="BV14" s="943"/>
      <c r="BW14" s="491"/>
      <c r="BX14" s="132" t="s">
        <v>67</v>
      </c>
      <c r="BY14" s="135" t="s">
        <v>68</v>
      </c>
      <c r="BZ14" s="138" t="s">
        <v>69</v>
      </c>
      <c r="CA14" s="138" t="s">
        <v>182</v>
      </c>
      <c r="CB14" s="136" t="s">
        <v>69</v>
      </c>
      <c r="CC14" s="136" t="s">
        <v>183</v>
      </c>
      <c r="CD14" s="134" t="s">
        <v>72</v>
      </c>
      <c r="CE14" s="136" t="s">
        <v>183</v>
      </c>
      <c r="CF14" s="134" t="s">
        <v>73</v>
      </c>
      <c r="CG14" s="136" t="s">
        <v>183</v>
      </c>
      <c r="CH14" s="134" t="s">
        <v>73</v>
      </c>
      <c r="CI14" s="135" t="s">
        <v>183</v>
      </c>
      <c r="CJ14" s="134" t="s">
        <v>73</v>
      </c>
      <c r="CK14" s="135" t="s">
        <v>183</v>
      </c>
      <c r="CL14" s="136" t="s">
        <v>73</v>
      </c>
      <c r="CM14" s="14" t="s">
        <v>4</v>
      </c>
      <c r="CN14" s="14"/>
      <c r="CO14" s="489"/>
      <c r="CP14" s="132" t="s">
        <v>67</v>
      </c>
      <c r="CQ14" s="135" t="s">
        <v>68</v>
      </c>
      <c r="CR14" s="138" t="s">
        <v>69</v>
      </c>
      <c r="CS14" s="139" t="s">
        <v>182</v>
      </c>
      <c r="CT14" s="136" t="s">
        <v>69</v>
      </c>
      <c r="CU14" s="137" t="s">
        <v>183</v>
      </c>
      <c r="CV14" s="134" t="s">
        <v>72</v>
      </c>
      <c r="CW14" s="135" t="s">
        <v>183</v>
      </c>
      <c r="CX14" s="134" t="s">
        <v>73</v>
      </c>
      <c r="CY14" s="135" t="s">
        <v>183</v>
      </c>
      <c r="CZ14" s="134" t="s">
        <v>73</v>
      </c>
      <c r="DA14" s="135" t="s">
        <v>183</v>
      </c>
      <c r="DB14" s="134" t="s">
        <v>73</v>
      </c>
      <c r="DC14" s="135" t="s">
        <v>183</v>
      </c>
      <c r="DD14" s="136" t="s">
        <v>73</v>
      </c>
      <c r="DE14" s="14" t="s">
        <v>4</v>
      </c>
      <c r="DF14" s="14"/>
      <c r="DG14" s="489"/>
      <c r="DH14" s="132" t="s">
        <v>67</v>
      </c>
      <c r="DI14" s="135" t="s">
        <v>68</v>
      </c>
      <c r="DJ14" s="138" t="s">
        <v>69</v>
      </c>
      <c r="DK14" s="139" t="s">
        <v>182</v>
      </c>
      <c r="DL14" s="136" t="s">
        <v>69</v>
      </c>
      <c r="DM14" s="137" t="s">
        <v>183</v>
      </c>
      <c r="DN14" s="134" t="s">
        <v>72</v>
      </c>
      <c r="DO14" s="135" t="s">
        <v>183</v>
      </c>
      <c r="DP14" s="134" t="s">
        <v>73</v>
      </c>
      <c r="DQ14" s="135" t="s">
        <v>183</v>
      </c>
      <c r="DR14" s="134" t="s">
        <v>73</v>
      </c>
      <c r="DS14" s="135" t="s">
        <v>183</v>
      </c>
      <c r="DT14" s="134" t="s">
        <v>73</v>
      </c>
      <c r="DU14" s="135" t="s">
        <v>183</v>
      </c>
      <c r="DV14" s="136" t="s">
        <v>73</v>
      </c>
      <c r="DW14" s="14" t="s">
        <v>4</v>
      </c>
      <c r="DX14" s="14"/>
      <c r="DY14" s="489"/>
      <c r="DZ14" s="132" t="s">
        <v>67</v>
      </c>
      <c r="EA14" s="135" t="s">
        <v>68</v>
      </c>
      <c r="EB14" s="138" t="s">
        <v>69</v>
      </c>
      <c r="EC14" s="139" t="s">
        <v>182</v>
      </c>
      <c r="ED14" s="136" t="s">
        <v>69</v>
      </c>
      <c r="EE14" s="137" t="s">
        <v>183</v>
      </c>
      <c r="EF14" s="134" t="s">
        <v>72</v>
      </c>
      <c r="EG14" s="135" t="s">
        <v>183</v>
      </c>
      <c r="EH14" s="134" t="s">
        <v>73</v>
      </c>
      <c r="EI14" s="135" t="s">
        <v>183</v>
      </c>
      <c r="EJ14" s="134" t="s">
        <v>73</v>
      </c>
      <c r="EK14" s="135" t="s">
        <v>183</v>
      </c>
      <c r="EL14" s="134" t="s">
        <v>73</v>
      </c>
      <c r="EM14" s="135" t="s">
        <v>183</v>
      </c>
      <c r="EN14" s="136" t="s">
        <v>73</v>
      </c>
      <c r="EO14" s="14" t="s">
        <v>4</v>
      </c>
      <c r="EP14" s="14"/>
      <c r="EQ14" s="489"/>
      <c r="ER14" s="132" t="s">
        <v>67</v>
      </c>
      <c r="ES14" s="135" t="s">
        <v>68</v>
      </c>
      <c r="ET14" s="138" t="s">
        <v>69</v>
      </c>
      <c r="EU14" s="139" t="s">
        <v>182</v>
      </c>
      <c r="EV14" s="136" t="s">
        <v>69</v>
      </c>
      <c r="EW14" s="137" t="s">
        <v>183</v>
      </c>
      <c r="EX14" s="134" t="s">
        <v>72</v>
      </c>
      <c r="EY14" s="135" t="s">
        <v>183</v>
      </c>
      <c r="EZ14" s="134" t="s">
        <v>73</v>
      </c>
      <c r="FA14" s="135" t="s">
        <v>183</v>
      </c>
      <c r="FB14" s="134" t="s">
        <v>73</v>
      </c>
      <c r="FC14" s="135" t="s">
        <v>183</v>
      </c>
      <c r="FD14" s="134" t="s">
        <v>73</v>
      </c>
      <c r="FE14" s="135" t="s">
        <v>183</v>
      </c>
      <c r="FF14" s="136" t="s">
        <v>73</v>
      </c>
      <c r="FG14" s="14" t="s">
        <v>4</v>
      </c>
      <c r="FH14" s="14"/>
      <c r="FI14" s="489"/>
      <c r="FJ14" s="132" t="s">
        <v>67</v>
      </c>
      <c r="FK14" s="135" t="s">
        <v>68</v>
      </c>
      <c r="FL14" s="138" t="s">
        <v>69</v>
      </c>
      <c r="FM14" s="139" t="s">
        <v>182</v>
      </c>
      <c r="FN14" s="136" t="s">
        <v>69</v>
      </c>
      <c r="FO14" s="137" t="s">
        <v>183</v>
      </c>
      <c r="FP14" s="134" t="s">
        <v>72</v>
      </c>
      <c r="FQ14" s="135" t="s">
        <v>183</v>
      </c>
      <c r="FR14" s="134" t="s">
        <v>73</v>
      </c>
      <c r="FS14" s="135" t="s">
        <v>183</v>
      </c>
      <c r="FT14" s="134" t="s">
        <v>73</v>
      </c>
      <c r="FU14" s="135" t="s">
        <v>183</v>
      </c>
      <c r="FV14" s="134" t="s">
        <v>73</v>
      </c>
      <c r="FW14" s="135" t="s">
        <v>183</v>
      </c>
      <c r="FX14" s="136" t="s">
        <v>73</v>
      </c>
      <c r="FY14" s="14" t="s">
        <v>7</v>
      </c>
      <c r="FZ14" s="14" t="s">
        <v>8</v>
      </c>
      <c r="GA14" s="13" t="s">
        <v>184</v>
      </c>
      <c r="GB14" s="132" t="s">
        <v>67</v>
      </c>
      <c r="GC14" s="135" t="s">
        <v>68</v>
      </c>
      <c r="GD14" s="138" t="s">
        <v>69</v>
      </c>
      <c r="GE14" s="139" t="s">
        <v>182</v>
      </c>
      <c r="GF14" s="136" t="s">
        <v>69</v>
      </c>
      <c r="GG14" s="137" t="s">
        <v>183</v>
      </c>
      <c r="GH14" s="134" t="s">
        <v>72</v>
      </c>
      <c r="GI14" s="135" t="s">
        <v>183</v>
      </c>
      <c r="GJ14" s="134" t="s">
        <v>73</v>
      </c>
      <c r="GK14" s="135" t="s">
        <v>183</v>
      </c>
      <c r="GL14" s="134" t="s">
        <v>73</v>
      </c>
      <c r="GM14" s="135" t="s">
        <v>183</v>
      </c>
      <c r="GN14" s="134" t="s">
        <v>73</v>
      </c>
      <c r="GO14" s="135" t="s">
        <v>183</v>
      </c>
      <c r="GP14" s="136" t="s">
        <v>73</v>
      </c>
      <c r="GQ14" s="1" t="s">
        <v>4</v>
      </c>
      <c r="GT14" s="132" t="s">
        <v>67</v>
      </c>
      <c r="GU14" s="135" t="s">
        <v>68</v>
      </c>
      <c r="GV14" s="138" t="s">
        <v>69</v>
      </c>
      <c r="GW14" s="139" t="s">
        <v>182</v>
      </c>
      <c r="GX14" s="136" t="s">
        <v>69</v>
      </c>
      <c r="GY14" s="137" t="s">
        <v>183</v>
      </c>
      <c r="GZ14" s="134" t="s">
        <v>72</v>
      </c>
      <c r="HA14" s="135" t="s">
        <v>183</v>
      </c>
      <c r="HB14" s="134" t="s">
        <v>73</v>
      </c>
      <c r="HC14" s="135" t="s">
        <v>183</v>
      </c>
      <c r="HD14" s="134" t="s">
        <v>73</v>
      </c>
    </row>
    <row r="15" spans="1:212" s="1" customFormat="1" ht="12.75" x14ac:dyDescent="0.2">
      <c r="A15" s="16" t="s">
        <v>7</v>
      </c>
      <c r="B15" s="15" t="s">
        <v>8</v>
      </c>
      <c r="C15" s="500" t="s">
        <v>184</v>
      </c>
      <c r="D15" s="146" t="s">
        <v>74</v>
      </c>
      <c r="E15" s="147" t="s">
        <v>75</v>
      </c>
      <c r="F15" s="151" t="s">
        <v>76</v>
      </c>
      <c r="G15" s="152" t="s">
        <v>75</v>
      </c>
      <c r="H15" s="149" t="s">
        <v>76</v>
      </c>
      <c r="I15" s="150" t="s">
        <v>75</v>
      </c>
      <c r="J15" s="148" t="s">
        <v>9</v>
      </c>
      <c r="K15" s="147" t="s">
        <v>75</v>
      </c>
      <c r="L15" s="148" t="s">
        <v>9</v>
      </c>
      <c r="M15" s="147" t="s">
        <v>75</v>
      </c>
      <c r="N15" s="151" t="s">
        <v>10</v>
      </c>
      <c r="O15" s="147"/>
      <c r="P15" s="148"/>
      <c r="Q15" s="147"/>
      <c r="R15" s="151"/>
      <c r="S15" s="514"/>
      <c r="T15" s="514"/>
      <c r="U15" s="946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6" t="s">
        <v>7</v>
      </c>
      <c r="AL15" s="15" t="s">
        <v>8</v>
      </c>
      <c r="AM15" s="500" t="s">
        <v>184</v>
      </c>
      <c r="AN15" s="146" t="s">
        <v>74</v>
      </c>
      <c r="AO15" s="147" t="s">
        <v>75</v>
      </c>
      <c r="AP15" s="151" t="s">
        <v>76</v>
      </c>
      <c r="AQ15" s="152" t="s">
        <v>75</v>
      </c>
      <c r="AR15" s="149" t="s">
        <v>76</v>
      </c>
      <c r="AS15" s="150" t="s">
        <v>75</v>
      </c>
      <c r="AT15" s="148" t="s">
        <v>9</v>
      </c>
      <c r="AU15" s="147" t="s">
        <v>75</v>
      </c>
      <c r="AV15" s="148" t="s">
        <v>9</v>
      </c>
      <c r="AW15" s="147" t="s">
        <v>75</v>
      </c>
      <c r="AX15" s="148" t="s">
        <v>10</v>
      </c>
      <c r="AY15" s="147" t="s">
        <v>75</v>
      </c>
      <c r="AZ15" s="148" t="s">
        <v>11</v>
      </c>
      <c r="BA15" s="147" t="s">
        <v>75</v>
      </c>
      <c r="BB15" s="149" t="s">
        <v>12</v>
      </c>
      <c r="BC15" s="947" t="s">
        <v>7</v>
      </c>
      <c r="BD15" s="948" t="s">
        <v>8</v>
      </c>
      <c r="BE15" s="503" t="s">
        <v>184</v>
      </c>
      <c r="BF15" s="146" t="s">
        <v>74</v>
      </c>
      <c r="BG15" s="147" t="s">
        <v>75</v>
      </c>
      <c r="BH15" s="151" t="s">
        <v>76</v>
      </c>
      <c r="BI15" s="152" t="s">
        <v>75</v>
      </c>
      <c r="BJ15" s="149" t="s">
        <v>76</v>
      </c>
      <c r="BK15" s="150" t="s">
        <v>75</v>
      </c>
      <c r="BL15" s="148" t="s">
        <v>9</v>
      </c>
      <c r="BM15" s="147" t="s">
        <v>75</v>
      </c>
      <c r="BN15" s="148" t="s">
        <v>9</v>
      </c>
      <c r="BO15" s="147" t="s">
        <v>75</v>
      </c>
      <c r="BP15" s="148" t="s">
        <v>10</v>
      </c>
      <c r="BQ15" s="147" t="s">
        <v>75</v>
      </c>
      <c r="BR15" s="148" t="s">
        <v>11</v>
      </c>
      <c r="BS15" s="147" t="s">
        <v>75</v>
      </c>
      <c r="BT15" s="149" t="s">
        <v>12</v>
      </c>
      <c r="BU15" s="947" t="s">
        <v>7</v>
      </c>
      <c r="BV15" s="948" t="s">
        <v>8</v>
      </c>
      <c r="BW15" s="503" t="s">
        <v>184</v>
      </c>
      <c r="BX15" s="146" t="s">
        <v>74</v>
      </c>
      <c r="BY15" s="147" t="s">
        <v>75</v>
      </c>
      <c r="BZ15" s="151" t="s">
        <v>76</v>
      </c>
      <c r="CA15" s="151" t="s">
        <v>75</v>
      </c>
      <c r="CB15" s="149" t="s">
        <v>76</v>
      </c>
      <c r="CC15" s="149" t="s">
        <v>75</v>
      </c>
      <c r="CD15" s="148" t="s">
        <v>9</v>
      </c>
      <c r="CE15" s="149" t="s">
        <v>75</v>
      </c>
      <c r="CF15" s="148" t="s">
        <v>9</v>
      </c>
      <c r="CG15" s="149" t="s">
        <v>75</v>
      </c>
      <c r="CH15" s="148" t="s">
        <v>10</v>
      </c>
      <c r="CI15" s="147" t="s">
        <v>75</v>
      </c>
      <c r="CJ15" s="148" t="s">
        <v>11</v>
      </c>
      <c r="CK15" s="147" t="s">
        <v>75</v>
      </c>
      <c r="CL15" s="149" t="s">
        <v>12</v>
      </c>
      <c r="CM15" s="16" t="s">
        <v>7</v>
      </c>
      <c r="CN15" s="15" t="s">
        <v>8</v>
      </c>
      <c r="CO15" s="500" t="s">
        <v>184</v>
      </c>
      <c r="CP15" s="146" t="s">
        <v>74</v>
      </c>
      <c r="CQ15" s="147" t="s">
        <v>75</v>
      </c>
      <c r="CR15" s="151" t="s">
        <v>76</v>
      </c>
      <c r="CS15" s="152" t="s">
        <v>75</v>
      </c>
      <c r="CT15" s="149" t="s">
        <v>76</v>
      </c>
      <c r="CU15" s="150" t="s">
        <v>75</v>
      </c>
      <c r="CV15" s="148" t="s">
        <v>9</v>
      </c>
      <c r="CW15" s="147" t="s">
        <v>75</v>
      </c>
      <c r="CX15" s="148" t="s">
        <v>9</v>
      </c>
      <c r="CY15" s="147" t="s">
        <v>75</v>
      </c>
      <c r="CZ15" s="148" t="s">
        <v>10</v>
      </c>
      <c r="DA15" s="147" t="s">
        <v>75</v>
      </c>
      <c r="DB15" s="148" t="s">
        <v>11</v>
      </c>
      <c r="DC15" s="147" t="s">
        <v>75</v>
      </c>
      <c r="DD15" s="149" t="s">
        <v>12</v>
      </c>
      <c r="DE15" s="16" t="s">
        <v>7</v>
      </c>
      <c r="DF15" s="15" t="s">
        <v>8</v>
      </c>
      <c r="DG15" s="500" t="s">
        <v>184</v>
      </c>
      <c r="DH15" s="146" t="s">
        <v>74</v>
      </c>
      <c r="DI15" s="147" t="s">
        <v>75</v>
      </c>
      <c r="DJ15" s="151" t="s">
        <v>76</v>
      </c>
      <c r="DK15" s="152" t="s">
        <v>75</v>
      </c>
      <c r="DL15" s="149" t="s">
        <v>76</v>
      </c>
      <c r="DM15" s="150" t="s">
        <v>75</v>
      </c>
      <c r="DN15" s="148" t="s">
        <v>9</v>
      </c>
      <c r="DO15" s="147" t="s">
        <v>75</v>
      </c>
      <c r="DP15" s="148" t="s">
        <v>9</v>
      </c>
      <c r="DQ15" s="147" t="s">
        <v>75</v>
      </c>
      <c r="DR15" s="148" t="s">
        <v>10</v>
      </c>
      <c r="DS15" s="147" t="s">
        <v>75</v>
      </c>
      <c r="DT15" s="148" t="s">
        <v>11</v>
      </c>
      <c r="DU15" s="147" t="s">
        <v>75</v>
      </c>
      <c r="DV15" s="149" t="s">
        <v>12</v>
      </c>
      <c r="DW15" s="16" t="s">
        <v>7</v>
      </c>
      <c r="DX15" s="15" t="s">
        <v>8</v>
      </c>
      <c r="DY15" s="500" t="s">
        <v>184</v>
      </c>
      <c r="DZ15" s="146" t="s">
        <v>74</v>
      </c>
      <c r="EA15" s="147" t="s">
        <v>75</v>
      </c>
      <c r="EB15" s="151" t="s">
        <v>76</v>
      </c>
      <c r="EC15" s="152" t="s">
        <v>75</v>
      </c>
      <c r="ED15" s="149" t="s">
        <v>76</v>
      </c>
      <c r="EE15" s="150" t="s">
        <v>75</v>
      </c>
      <c r="EF15" s="148" t="s">
        <v>9</v>
      </c>
      <c r="EG15" s="147" t="s">
        <v>75</v>
      </c>
      <c r="EH15" s="148" t="s">
        <v>9</v>
      </c>
      <c r="EI15" s="147" t="s">
        <v>75</v>
      </c>
      <c r="EJ15" s="148" t="s">
        <v>10</v>
      </c>
      <c r="EK15" s="147" t="s">
        <v>75</v>
      </c>
      <c r="EL15" s="148" t="s">
        <v>11</v>
      </c>
      <c r="EM15" s="147" t="s">
        <v>75</v>
      </c>
      <c r="EN15" s="149" t="s">
        <v>12</v>
      </c>
      <c r="EO15" s="16" t="s">
        <v>7</v>
      </c>
      <c r="EP15" s="15" t="s">
        <v>8</v>
      </c>
      <c r="EQ15" s="500" t="s">
        <v>184</v>
      </c>
      <c r="ER15" s="146" t="s">
        <v>74</v>
      </c>
      <c r="ES15" s="147" t="s">
        <v>75</v>
      </c>
      <c r="ET15" s="151" t="s">
        <v>76</v>
      </c>
      <c r="EU15" s="152" t="s">
        <v>75</v>
      </c>
      <c r="EV15" s="149" t="s">
        <v>76</v>
      </c>
      <c r="EW15" s="150" t="s">
        <v>75</v>
      </c>
      <c r="EX15" s="148" t="s">
        <v>9</v>
      </c>
      <c r="EY15" s="147" t="s">
        <v>75</v>
      </c>
      <c r="EZ15" s="148" t="s">
        <v>9</v>
      </c>
      <c r="FA15" s="147" t="s">
        <v>75</v>
      </c>
      <c r="FB15" s="148" t="s">
        <v>10</v>
      </c>
      <c r="FC15" s="147" t="s">
        <v>75</v>
      </c>
      <c r="FD15" s="148" t="s">
        <v>11</v>
      </c>
      <c r="FE15" s="147" t="s">
        <v>75</v>
      </c>
      <c r="FF15" s="149" t="s">
        <v>12</v>
      </c>
      <c r="FG15" s="16" t="s">
        <v>7</v>
      </c>
      <c r="FH15" s="15" t="s">
        <v>8</v>
      </c>
      <c r="FI15" s="500" t="s">
        <v>184</v>
      </c>
      <c r="FJ15" s="146" t="s">
        <v>74</v>
      </c>
      <c r="FK15" s="147" t="s">
        <v>75</v>
      </c>
      <c r="FL15" s="151" t="s">
        <v>76</v>
      </c>
      <c r="FM15" s="152" t="s">
        <v>75</v>
      </c>
      <c r="FN15" s="149" t="s">
        <v>76</v>
      </c>
      <c r="FO15" s="150" t="s">
        <v>75</v>
      </c>
      <c r="FP15" s="148" t="s">
        <v>9</v>
      </c>
      <c r="FQ15" s="147" t="s">
        <v>75</v>
      </c>
      <c r="FR15" s="148" t="s">
        <v>9</v>
      </c>
      <c r="FS15" s="147" t="s">
        <v>75</v>
      </c>
      <c r="FT15" s="148" t="s">
        <v>10</v>
      </c>
      <c r="FU15" s="147" t="s">
        <v>75</v>
      </c>
      <c r="FV15" s="148" t="s">
        <v>11</v>
      </c>
      <c r="FW15" s="147" t="s">
        <v>75</v>
      </c>
      <c r="FX15" s="149" t="s">
        <v>12</v>
      </c>
      <c r="FY15" s="16"/>
      <c r="FZ15" s="15"/>
      <c r="GA15" s="500"/>
      <c r="GB15" s="146" t="s">
        <v>74</v>
      </c>
      <c r="GC15" s="147" t="s">
        <v>75</v>
      </c>
      <c r="GD15" s="151" t="s">
        <v>76</v>
      </c>
      <c r="GE15" s="152" t="s">
        <v>75</v>
      </c>
      <c r="GF15" s="149" t="s">
        <v>76</v>
      </c>
      <c r="GG15" s="150" t="s">
        <v>75</v>
      </c>
      <c r="GH15" s="148" t="s">
        <v>9</v>
      </c>
      <c r="GI15" s="147" t="s">
        <v>75</v>
      </c>
      <c r="GJ15" s="148" t="s">
        <v>9</v>
      </c>
      <c r="GK15" s="147" t="s">
        <v>75</v>
      </c>
      <c r="GL15" s="148" t="s">
        <v>10</v>
      </c>
      <c r="GM15" s="147" t="s">
        <v>75</v>
      </c>
      <c r="GN15" s="148" t="s">
        <v>11</v>
      </c>
      <c r="GO15" s="147" t="s">
        <v>75</v>
      </c>
      <c r="GP15" s="149" t="s">
        <v>12</v>
      </c>
      <c r="GQ15" s="1" t="s">
        <v>7</v>
      </c>
      <c r="GR15" s="1" t="s">
        <v>8</v>
      </c>
      <c r="GT15" s="146" t="s">
        <v>74</v>
      </c>
      <c r="GU15" s="147" t="s">
        <v>75</v>
      </c>
      <c r="GV15" s="151" t="s">
        <v>76</v>
      </c>
      <c r="GW15" s="152" t="s">
        <v>75</v>
      </c>
      <c r="GX15" s="149" t="s">
        <v>76</v>
      </c>
      <c r="GY15" s="150" t="s">
        <v>75</v>
      </c>
      <c r="GZ15" s="148" t="s">
        <v>9</v>
      </c>
      <c r="HA15" s="147" t="s">
        <v>75</v>
      </c>
      <c r="HB15" s="148" t="s">
        <v>9</v>
      </c>
      <c r="HC15" s="147" t="s">
        <v>75</v>
      </c>
      <c r="HD15" s="148" t="s">
        <v>10</v>
      </c>
    </row>
    <row r="16" spans="1:212" s="1" customFormat="1" x14ac:dyDescent="0.25"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100"/>
      <c r="AL16" s="530"/>
      <c r="AM16" s="530"/>
      <c r="AN16" s="949" t="s">
        <v>204</v>
      </c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Z16" s="950" t="s">
        <v>185</v>
      </c>
      <c r="EP16" s="951"/>
      <c r="EQ16" s="952"/>
      <c r="ER16" s="953" t="s">
        <v>451</v>
      </c>
      <c r="ES16" s="952"/>
      <c r="ET16" s="952"/>
      <c r="EU16" s="952"/>
      <c r="EV16" s="952"/>
      <c r="EW16" s="952"/>
      <c r="EX16" s="952"/>
      <c r="EY16" s="952"/>
      <c r="EZ16" s="952"/>
      <c r="FA16" s="952"/>
      <c r="FB16" s="952"/>
      <c r="FC16" s="952"/>
      <c r="FD16" s="952"/>
      <c r="FE16" s="952"/>
      <c r="FF16" s="952"/>
      <c r="FJ16" s="950" t="s">
        <v>452</v>
      </c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 s="1">
        <f>ROW()</f>
        <v>16</v>
      </c>
    </row>
    <row r="17" spans="1:212" s="1" customFormat="1" x14ac:dyDescent="0.25">
      <c r="A17" s="22">
        <f>ROW()</f>
        <v>17</v>
      </c>
      <c r="B17" s="842" t="s">
        <v>453</v>
      </c>
      <c r="C17" s="842"/>
      <c r="D17" s="539"/>
      <c r="E17" s="954"/>
      <c r="F17" s="954"/>
      <c r="G17" s="955"/>
      <c r="H17" s="954"/>
      <c r="I17" s="954"/>
      <c r="J17" s="954"/>
      <c r="K17" s="954"/>
      <c r="L17" s="954"/>
      <c r="M17" s="954"/>
      <c r="N17" s="954"/>
      <c r="O17" s="954"/>
      <c r="P17" s="954"/>
      <c r="Q17" s="954"/>
      <c r="R17" s="954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56"/>
      <c r="AH17" s="956"/>
      <c r="AI17" s="956"/>
      <c r="AJ17" s="956"/>
      <c r="AK17" s="22">
        <f>ROW()</f>
        <v>17</v>
      </c>
      <c r="AL17" s="530" t="s">
        <v>454</v>
      </c>
      <c r="AM17" s="530"/>
      <c r="AN17" s="539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2">
        <f>ROW()</f>
        <v>17</v>
      </c>
      <c r="BD17" s="957" t="s">
        <v>455</v>
      </c>
      <c r="BE17" s="20"/>
      <c r="BF17" s="21">
        <v>6885833.6500000013</v>
      </c>
      <c r="BG17" s="21">
        <v>1252545.0316666653</v>
      </c>
      <c r="BH17" s="21">
        <f>+BF17+BG17</f>
        <v>8138378.6816666666</v>
      </c>
      <c r="BI17" s="21">
        <v>0</v>
      </c>
      <c r="BJ17" s="21">
        <f>+BI17+BH17</f>
        <v>8138378.6816666666</v>
      </c>
      <c r="BK17" s="21">
        <v>0</v>
      </c>
      <c r="BL17" s="21">
        <f>+BK17+BJ17</f>
        <v>8138378.6816666666</v>
      </c>
      <c r="BM17" s="21">
        <v>925761.26378605142</v>
      </c>
      <c r="BN17" s="21">
        <f>+BM17+BL17</f>
        <v>9064139.9454527181</v>
      </c>
      <c r="BO17" s="21">
        <v>0</v>
      </c>
      <c r="BP17" s="21">
        <f>+BO17+BN17</f>
        <v>9064139.9454527181</v>
      </c>
      <c r="BQ17" s="21">
        <v>0</v>
      </c>
      <c r="BR17" s="21"/>
      <c r="BS17" s="21">
        <v>0</v>
      </c>
      <c r="BT17" s="21">
        <f>+BS17+BR17</f>
        <v>0</v>
      </c>
      <c r="BU17" s="22">
        <f>ROW()</f>
        <v>17</v>
      </c>
      <c r="BV17" s="958" t="s">
        <v>456</v>
      </c>
      <c r="BW17" s="562"/>
      <c r="BX17" s="573"/>
      <c r="BY17" s="573"/>
      <c r="BZ17" s="573"/>
      <c r="CA17" s="573"/>
      <c r="CB17" s="573"/>
      <c r="CC17" s="573"/>
      <c r="CD17" s="573"/>
      <c r="CE17" s="573"/>
      <c r="CF17" s="573"/>
      <c r="CG17" s="573"/>
      <c r="CH17" s="573"/>
      <c r="CI17" s="573"/>
      <c r="CJ17" s="573"/>
      <c r="CK17" s="573"/>
      <c r="CL17" s="573"/>
      <c r="CM17" s="22">
        <f>ROW()</f>
        <v>17</v>
      </c>
      <c r="CN17" s="530" t="s">
        <v>457</v>
      </c>
      <c r="CO17" s="530"/>
      <c r="CP17" s="539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2">
        <f>ROW()</f>
        <v>17</v>
      </c>
      <c r="DF17" s="957"/>
      <c r="DG17" s="20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2">
        <f>ROW()</f>
        <v>17</v>
      </c>
      <c r="DX17" s="522" t="s">
        <v>458</v>
      </c>
      <c r="DY17" s="959"/>
      <c r="DZ17" s="102"/>
      <c r="EA17" s="960"/>
      <c r="EB17" s="102"/>
      <c r="EC17" s="102"/>
      <c r="ED17" s="102"/>
      <c r="EE17" s="102"/>
      <c r="EF17" s="102"/>
      <c r="EG17" s="102"/>
      <c r="EH17" s="102"/>
      <c r="EI17" s="102"/>
      <c r="EJ17" s="102"/>
      <c r="EK17" s="616"/>
      <c r="EL17" s="616"/>
      <c r="EM17" s="616"/>
      <c r="EN17" s="616"/>
      <c r="EO17" s="22">
        <f>ROW()</f>
        <v>17</v>
      </c>
      <c r="EP17" s="958" t="s">
        <v>459</v>
      </c>
      <c r="EQ17" s="961"/>
      <c r="ER17" s="937"/>
      <c r="ES17" s="937"/>
      <c r="ET17" s="937"/>
      <c r="EU17" s="937"/>
      <c r="EV17" s="937"/>
      <c r="EW17" s="937"/>
      <c r="EX17" s="937"/>
      <c r="EY17" s="937"/>
      <c r="EZ17" s="937"/>
      <c r="FA17" s="937"/>
      <c r="FB17" s="937"/>
      <c r="FC17" s="937"/>
      <c r="FD17" s="937"/>
      <c r="FE17" s="19"/>
      <c r="FF17" s="19"/>
      <c r="FG17" s="22">
        <f>ROW()</f>
        <v>17</v>
      </c>
      <c r="FI17" s="959"/>
      <c r="FJ17" s="962"/>
      <c r="FK17" s="963"/>
      <c r="FL17" s="102"/>
      <c r="FM17" s="102"/>
      <c r="FN17" s="102"/>
      <c r="FO17" s="102"/>
      <c r="FP17" s="102"/>
      <c r="FQ17" s="102"/>
      <c r="FR17" s="102"/>
      <c r="FS17" s="102"/>
      <c r="FT17" s="102"/>
      <c r="FY17" s="22">
        <f>ROW()</f>
        <v>17</v>
      </c>
      <c r="FZ17" s="961"/>
      <c r="GA17" s="961"/>
      <c r="GB17" s="964" t="s">
        <v>460</v>
      </c>
      <c r="GC17" s="964" t="s">
        <v>461</v>
      </c>
      <c r="GD17" s="964" t="s">
        <v>462</v>
      </c>
      <c r="GE17" s="964" t="s">
        <v>463</v>
      </c>
      <c r="GF17" s="964" t="s">
        <v>464</v>
      </c>
      <c r="GG17" s="964" t="s">
        <v>160</v>
      </c>
      <c r="GH17" s="964" t="s">
        <v>465</v>
      </c>
      <c r="GI17" s="964" t="s">
        <v>466</v>
      </c>
      <c r="GJ17" s="964" t="s">
        <v>467</v>
      </c>
      <c r="GK17" s="964" t="s">
        <v>79</v>
      </c>
      <c r="GL17" s="964" t="s">
        <v>80</v>
      </c>
      <c r="GM17" s="964"/>
      <c r="GN17" s="964"/>
      <c r="GO17" s="964" t="s">
        <v>77</v>
      </c>
      <c r="GP17" s="964" t="s">
        <v>78</v>
      </c>
      <c r="GQ17" s="1">
        <f>ROW()</f>
        <v>17</v>
      </c>
      <c r="GR17" s="522" t="s">
        <v>468</v>
      </c>
      <c r="GS17" s="858"/>
    </row>
    <row r="18" spans="1:212" s="1" customFormat="1" x14ac:dyDescent="0.25">
      <c r="A18" s="22">
        <f>ROW()</f>
        <v>18</v>
      </c>
      <c r="B18" s="965" t="s">
        <v>469</v>
      </c>
      <c r="C18" s="965"/>
      <c r="D18" s="966">
        <v>60116086.649999999</v>
      </c>
      <c r="E18" s="966">
        <v>0</v>
      </c>
      <c r="F18" s="966">
        <f t="shared" ref="F18:F26" si="0">SUM(D18:E18)</f>
        <v>60116086.649999999</v>
      </c>
      <c r="G18" s="966">
        <v>0</v>
      </c>
      <c r="H18" s="966">
        <f t="shared" ref="H18:H26" si="1">SUM(F18:G18)</f>
        <v>60116086.649999999</v>
      </c>
      <c r="I18" s="966">
        <v>0</v>
      </c>
      <c r="J18" s="966">
        <f>SUM(H18:I18)</f>
        <v>60116086.649999999</v>
      </c>
      <c r="K18" s="967">
        <v>-6418502.9951764494</v>
      </c>
      <c r="L18" s="967">
        <f>SUM(J18:K18)</f>
        <v>53697583.654823549</v>
      </c>
      <c r="M18" s="967">
        <v>-53697583.654823549</v>
      </c>
      <c r="N18" s="966">
        <f>SUM(L18:M18)</f>
        <v>0</v>
      </c>
      <c r="O18" s="968"/>
      <c r="P18" s="968"/>
      <c r="Q18" s="968"/>
      <c r="R18" s="968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69"/>
      <c r="AH18" s="969"/>
      <c r="AI18" s="969"/>
      <c r="AJ18" s="969"/>
      <c r="AK18" s="22">
        <f>ROW()</f>
        <v>18</v>
      </c>
      <c r="AL18" s="970" t="s">
        <v>470</v>
      </c>
      <c r="AM18" s="970"/>
      <c r="AN18" s="659">
        <v>4539303</v>
      </c>
      <c r="AO18" s="659">
        <v>-4539303</v>
      </c>
      <c r="AP18" s="659">
        <f>AN18+AO18</f>
        <v>0</v>
      </c>
      <c r="AQ18" s="659">
        <v>0</v>
      </c>
      <c r="AR18" s="659">
        <f>AP18+AQ18</f>
        <v>0</v>
      </c>
      <c r="AS18" s="659">
        <v>0</v>
      </c>
      <c r="AT18" s="659">
        <f>AR18+AS18</f>
        <v>0</v>
      </c>
      <c r="AU18" s="659">
        <v>0</v>
      </c>
      <c r="AV18" s="659">
        <f>AT18+AU18</f>
        <v>0</v>
      </c>
      <c r="AW18" s="659">
        <v>0</v>
      </c>
      <c r="AX18" s="659">
        <f>AV18+AW18</f>
        <v>0</v>
      </c>
      <c r="AY18" s="659"/>
      <c r="AZ18" s="659">
        <f>AX18+AY18</f>
        <v>0</v>
      </c>
      <c r="BA18" s="659"/>
      <c r="BB18" s="659">
        <f>AZ18+BA18</f>
        <v>0</v>
      </c>
      <c r="BC18" s="22">
        <f>ROW()</f>
        <v>18</v>
      </c>
      <c r="BD18" s="957" t="s">
        <v>471</v>
      </c>
      <c r="BE18" s="20"/>
      <c r="BF18" s="42">
        <v>725842.97000000009</v>
      </c>
      <c r="BG18" s="42">
        <v>114433.49999999977</v>
      </c>
      <c r="BH18" s="42">
        <f>+BF18+BG18</f>
        <v>840276.46999999986</v>
      </c>
      <c r="BI18" s="42">
        <v>0</v>
      </c>
      <c r="BJ18" s="42">
        <f>+BI18+BH18</f>
        <v>840276.46999999986</v>
      </c>
      <c r="BK18" s="42">
        <v>0</v>
      </c>
      <c r="BL18" s="42">
        <f>+BK18+BJ18</f>
        <v>840276.46999999986</v>
      </c>
      <c r="BM18" s="42">
        <v>95583.584547281731</v>
      </c>
      <c r="BN18" s="42">
        <f>+BM18+BL18</f>
        <v>935860.05454728159</v>
      </c>
      <c r="BO18" s="42">
        <v>0</v>
      </c>
      <c r="BP18" s="42">
        <f>+BO18+BN18</f>
        <v>935860.05454728159</v>
      </c>
      <c r="BQ18" s="42">
        <v>0</v>
      </c>
      <c r="BR18" s="42"/>
      <c r="BS18" s="42">
        <v>0</v>
      </c>
      <c r="BT18" s="42">
        <f>+BS18+BR18</f>
        <v>0</v>
      </c>
      <c r="BU18" s="22">
        <f>ROW()</f>
        <v>18</v>
      </c>
      <c r="BV18" s="971" t="s">
        <v>472</v>
      </c>
      <c r="BW18" s="480"/>
      <c r="BX18" s="972"/>
      <c r="BY18" s="972"/>
      <c r="BZ18" s="78">
        <v>3857254.4899999998</v>
      </c>
      <c r="CA18" s="78">
        <f>CB18-BZ18</f>
        <v>-1139595.0491381357</v>
      </c>
      <c r="CB18" s="78">
        <v>2717659.440861864</v>
      </c>
      <c r="CC18" s="78">
        <f>CD18-CB18</f>
        <v>-2279191.08</v>
      </c>
      <c r="CD18" s="78">
        <v>438468.36086186382</v>
      </c>
      <c r="CE18" s="78">
        <f>CF18-CD18</f>
        <v>-394603.94196611742</v>
      </c>
      <c r="CF18" s="78">
        <v>43864.418895746399</v>
      </c>
      <c r="CG18" s="78">
        <f t="shared" ref="CG18:CG30" si="2">CH18-CF18</f>
        <v>-43864.418895746399</v>
      </c>
      <c r="CH18" s="78">
        <v>0</v>
      </c>
      <c r="CI18" s="78"/>
      <c r="CJ18" s="78"/>
      <c r="CK18" s="78"/>
      <c r="CL18" s="78"/>
      <c r="CM18" s="22">
        <f>ROW()</f>
        <v>18</v>
      </c>
      <c r="CN18" s="970" t="s">
        <v>470</v>
      </c>
      <c r="CO18" s="970"/>
      <c r="CP18" s="659">
        <v>341605.68000000005</v>
      </c>
      <c r="CQ18" s="659">
        <v>-341605.68000000005</v>
      </c>
      <c r="CR18" s="659">
        <f>CP18+CQ18</f>
        <v>0</v>
      </c>
      <c r="CS18" s="659"/>
      <c r="CT18" s="659">
        <f>CR18+CS18</f>
        <v>0</v>
      </c>
      <c r="CU18" s="659"/>
      <c r="CV18" s="659">
        <f>CT18+CU18</f>
        <v>0</v>
      </c>
      <c r="CW18" s="659"/>
      <c r="CX18" s="659">
        <f>CV18+CW18</f>
        <v>0</v>
      </c>
      <c r="CY18" s="659"/>
      <c r="CZ18" s="659">
        <f>CX18+CY18</f>
        <v>0</v>
      </c>
      <c r="DA18" s="659"/>
      <c r="DB18" s="659">
        <f>CZ18+DA18</f>
        <v>0</v>
      </c>
      <c r="DC18" s="659"/>
      <c r="DD18" s="659">
        <f>DB18+DC18</f>
        <v>0</v>
      </c>
      <c r="DE18" s="22">
        <f>ROW()</f>
        <v>18</v>
      </c>
      <c r="DF18" s="957"/>
      <c r="DG18" s="20"/>
      <c r="DH18" s="42"/>
      <c r="DI18" s="42"/>
      <c r="DJ18" s="42"/>
      <c r="DK18" s="42"/>
      <c r="DL18" s="42"/>
      <c r="DM18" s="21"/>
      <c r="DN18" s="42"/>
      <c r="DO18" s="21"/>
      <c r="DP18" s="42"/>
      <c r="DQ18" s="21"/>
      <c r="DR18" s="42"/>
      <c r="DS18" s="42"/>
      <c r="DT18" s="42"/>
      <c r="DU18" s="21"/>
      <c r="DV18" s="42"/>
      <c r="DW18" s="22">
        <f>ROW()</f>
        <v>18</v>
      </c>
      <c r="DX18" s="102" t="s">
        <v>264</v>
      </c>
      <c r="DY18" s="959"/>
      <c r="DZ18" s="571">
        <v>531269628.93000001</v>
      </c>
      <c r="EA18" s="973">
        <v>-531269628.93000001</v>
      </c>
      <c r="EB18" s="571">
        <f>DZ18+EA18</f>
        <v>0</v>
      </c>
      <c r="EC18" s="571"/>
      <c r="ED18" s="571">
        <f>EB18+EC18</f>
        <v>0</v>
      </c>
      <c r="EE18" s="571"/>
      <c r="EF18" s="571">
        <f>ED18+EE18</f>
        <v>0</v>
      </c>
      <c r="EG18" s="571"/>
      <c r="EH18" s="571">
        <f>EF18+EG18</f>
        <v>0</v>
      </c>
      <c r="EI18" s="571"/>
      <c r="EJ18" s="571">
        <f>EH18+EI18</f>
        <v>0</v>
      </c>
      <c r="EK18" s="653"/>
      <c r="EL18" s="653"/>
      <c r="EM18" s="653"/>
      <c r="EN18" s="653"/>
      <c r="EO18" s="22">
        <f>ROW()</f>
        <v>18</v>
      </c>
      <c r="EP18" s="958" t="s">
        <v>473</v>
      </c>
      <c r="EQ18" s="961"/>
      <c r="ER18" s="67"/>
      <c r="ES18" s="67"/>
      <c r="ET18" s="67"/>
      <c r="EU18" s="974"/>
      <c r="EV18" s="67"/>
      <c r="EW18" s="67"/>
      <c r="EX18" s="67"/>
      <c r="EY18" s="19"/>
      <c r="EZ18" s="19"/>
      <c r="FA18" s="19"/>
      <c r="FB18" s="19"/>
      <c r="FC18" s="19"/>
      <c r="FD18" s="19"/>
      <c r="FE18" s="19"/>
      <c r="FF18" s="19"/>
      <c r="FG18" s="22">
        <f>ROW()</f>
        <v>18</v>
      </c>
      <c r="FH18" s="522" t="s">
        <v>474</v>
      </c>
      <c r="FI18" s="975"/>
      <c r="FJ18" s="962">
        <v>2017272.7200000002</v>
      </c>
      <c r="FK18" s="571">
        <v>-2017272.7200000002</v>
      </c>
      <c r="FL18" s="571">
        <f>FJ18+FK18</f>
        <v>0</v>
      </c>
      <c r="FM18" s="571"/>
      <c r="FN18" s="571">
        <f>FL18+FM18</f>
        <v>0</v>
      </c>
      <c r="FO18" s="571"/>
      <c r="FP18" s="571">
        <f>FN18+FO18</f>
        <v>0</v>
      </c>
      <c r="FQ18" s="571"/>
      <c r="FR18" s="571">
        <f>FP18+FQ18</f>
        <v>0</v>
      </c>
      <c r="FS18" s="571"/>
      <c r="FT18" s="571">
        <f>FR18+FS18</f>
        <v>0</v>
      </c>
      <c r="FU18" s="64"/>
      <c r="FV18" s="64">
        <f>FT18+FU18</f>
        <v>0</v>
      </c>
      <c r="FW18" s="64"/>
      <c r="FX18" s="64">
        <f>FV18+FW18</f>
        <v>0</v>
      </c>
      <c r="FY18" s="22">
        <f>ROW()</f>
        <v>18</v>
      </c>
      <c r="FZ18" s="562" t="s">
        <v>250</v>
      </c>
      <c r="GA18" s="562"/>
      <c r="GB18" s="561"/>
      <c r="GC18" s="561"/>
      <c r="GD18" s="561"/>
      <c r="GE18" s="561"/>
      <c r="GF18" s="561"/>
      <c r="GG18" s="549"/>
      <c r="GH18" s="561"/>
      <c r="GI18" s="549"/>
      <c r="GJ18" s="561"/>
      <c r="GK18" s="549"/>
      <c r="GL18" s="561"/>
      <c r="GM18" s="937"/>
      <c r="GN18" s="937"/>
      <c r="GO18" s="937"/>
      <c r="GP18" s="937"/>
      <c r="GQ18" s="1">
        <f>ROW()</f>
        <v>18</v>
      </c>
      <c r="GR18" s="858" t="s">
        <v>475</v>
      </c>
      <c r="GS18" s="858"/>
      <c r="GT18" s="611">
        <v>40290</v>
      </c>
      <c r="GU18" s="611">
        <v>-40290</v>
      </c>
      <c r="GV18" s="579">
        <f>GT18+GU18</f>
        <v>0</v>
      </c>
      <c r="GW18" s="611"/>
      <c r="GX18" s="611"/>
      <c r="GY18" s="611"/>
      <c r="GZ18" s="611"/>
      <c r="HA18" s="611"/>
      <c r="HB18" s="611"/>
      <c r="HC18" s="611"/>
      <c r="HD18" s="611"/>
    </row>
    <row r="19" spans="1:212" s="1" customFormat="1" x14ac:dyDescent="0.25">
      <c r="A19" s="22">
        <f>ROW()</f>
        <v>19</v>
      </c>
      <c r="B19" s="965" t="s">
        <v>476</v>
      </c>
      <c r="D19" s="976">
        <v>395302192.16000003</v>
      </c>
      <c r="E19" s="976">
        <v>0</v>
      </c>
      <c r="F19" s="976">
        <f t="shared" si="0"/>
        <v>395302192.16000003</v>
      </c>
      <c r="G19" s="976">
        <v>0</v>
      </c>
      <c r="H19" s="976">
        <f t="shared" si="1"/>
        <v>395302192.16000003</v>
      </c>
      <c r="I19" s="976">
        <v>0</v>
      </c>
      <c r="J19" s="976">
        <f t="shared" ref="J19:N26" si="3">SUM(H19:I19)</f>
        <v>395302192.16000003</v>
      </c>
      <c r="K19" s="977">
        <v>73650409.034391761</v>
      </c>
      <c r="L19" s="977">
        <f t="shared" si="3"/>
        <v>468952601.19439179</v>
      </c>
      <c r="M19" s="977">
        <v>77122458.463474691</v>
      </c>
      <c r="N19" s="977">
        <f t="shared" si="3"/>
        <v>546075059.65786648</v>
      </c>
      <c r="O19" s="978"/>
      <c r="P19" s="978"/>
      <c r="Q19" s="978"/>
      <c r="R19" s="978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42"/>
      <c r="AH19" s="42"/>
      <c r="AI19" s="42"/>
      <c r="AJ19" s="42"/>
      <c r="AK19" s="22">
        <f>ROW()</f>
        <v>19</v>
      </c>
      <c r="AL19" s="970" t="s">
        <v>477</v>
      </c>
      <c r="AM19" s="970"/>
      <c r="AN19" s="659">
        <v>-2970263</v>
      </c>
      <c r="AO19" s="659">
        <v>2970263</v>
      </c>
      <c r="AP19" s="659">
        <f>AN19+AO19</f>
        <v>0</v>
      </c>
      <c r="AQ19" s="659">
        <v>109783.00000000093</v>
      </c>
      <c r="AR19" s="659">
        <f>AP19+AQ19</f>
        <v>109783.00000000093</v>
      </c>
      <c r="AS19" s="659">
        <v>219566.00000000186</v>
      </c>
      <c r="AT19" s="659">
        <f>AR19+AS19</f>
        <v>329349.00000000279</v>
      </c>
      <c r="AU19" s="659">
        <v>109783.00000000093</v>
      </c>
      <c r="AV19" s="659">
        <f>AT19+AU19</f>
        <v>439132.00000000373</v>
      </c>
      <c r="AW19" s="659">
        <v>109783.0000000014</v>
      </c>
      <c r="AX19" s="659">
        <f>AV19+AW19</f>
        <v>548915.00000000512</v>
      </c>
      <c r="AY19" s="659"/>
      <c r="AZ19" s="659">
        <f>AX19+AY19</f>
        <v>548915.00000000512</v>
      </c>
      <c r="BA19" s="659"/>
      <c r="BB19" s="659">
        <f>AZ19+BA19</f>
        <v>548915.00000000512</v>
      </c>
      <c r="BC19" s="22">
        <f>ROW()</f>
        <v>19</v>
      </c>
      <c r="BD19" s="957" t="s">
        <v>478</v>
      </c>
      <c r="BE19" s="20"/>
      <c r="BF19" s="42">
        <v>274589.21000000002</v>
      </c>
      <c r="BG19" s="42">
        <v>83596.114999999991</v>
      </c>
      <c r="BH19" s="42">
        <f>+BF19+BG19</f>
        <v>358185.32500000001</v>
      </c>
      <c r="BI19" s="42">
        <v>0</v>
      </c>
      <c r="BJ19" s="42">
        <f>+BI19+BH19</f>
        <v>358185.32500000001</v>
      </c>
      <c r="BK19" s="42">
        <v>0</v>
      </c>
      <c r="BL19" s="42">
        <f>+BK19+BJ19</f>
        <v>358185.32500000001</v>
      </c>
      <c r="BM19" s="42">
        <v>0</v>
      </c>
      <c r="BN19" s="42">
        <f>+BM19+BL19</f>
        <v>358185.32500000001</v>
      </c>
      <c r="BO19" s="42">
        <v>0</v>
      </c>
      <c r="BP19" s="42">
        <f>+BO19+BN19</f>
        <v>358185.32500000001</v>
      </c>
      <c r="BQ19" s="42">
        <v>0</v>
      </c>
      <c r="BR19" s="42"/>
      <c r="BS19" s="42">
        <v>0</v>
      </c>
      <c r="BT19" s="42">
        <f>+BS19+BR19</f>
        <v>0</v>
      </c>
      <c r="BU19" s="22">
        <f>ROW()</f>
        <v>19</v>
      </c>
      <c r="BV19" s="971" t="s">
        <v>479</v>
      </c>
      <c r="BW19" s="480"/>
      <c r="BX19" s="972"/>
      <c r="BY19" s="972"/>
      <c r="BZ19" s="78">
        <v>54450714.839999996</v>
      </c>
      <c r="CA19" s="78">
        <f t="shared" ref="CA19:CA30" si="4">CB19-BZ19</f>
        <v>-3267037.1583089307</v>
      </c>
      <c r="CB19" s="78">
        <v>51183677.681691065</v>
      </c>
      <c r="CC19" s="78">
        <f t="shared" ref="CC19:CE30" si="5">CD19-CB19</f>
        <v>-6534071.8157049492</v>
      </c>
      <c r="CD19" s="78">
        <v>44649605.865986116</v>
      </c>
      <c r="CE19" s="78">
        <f t="shared" si="5"/>
        <v>-3267035.907852456</v>
      </c>
      <c r="CF19" s="78">
        <v>41382569.95813366</v>
      </c>
      <c r="CG19" s="78">
        <f t="shared" si="2"/>
        <v>-6534071.8157049492</v>
      </c>
      <c r="CH19" s="78">
        <v>34848498.142428711</v>
      </c>
      <c r="CI19" s="78"/>
      <c r="CJ19" s="78"/>
      <c r="CK19" s="78"/>
      <c r="CL19" s="78"/>
      <c r="CM19" s="22">
        <f>ROW()</f>
        <v>19</v>
      </c>
      <c r="CN19" s="970" t="s">
        <v>477</v>
      </c>
      <c r="CO19" s="970"/>
      <c r="CP19" s="659">
        <v>-241970.68999999992</v>
      </c>
      <c r="CQ19" s="659">
        <v>241970.68999999992</v>
      </c>
      <c r="CR19" s="659">
        <f t="shared" ref="CR19:DD20" si="6">CP19+CQ19</f>
        <v>0</v>
      </c>
      <c r="CS19" s="659"/>
      <c r="CT19" s="659">
        <f t="shared" si="6"/>
        <v>0</v>
      </c>
      <c r="CU19" s="659"/>
      <c r="CV19" s="659">
        <f t="shared" si="6"/>
        <v>0</v>
      </c>
      <c r="CW19" s="659"/>
      <c r="CX19" s="659">
        <f t="shared" si="6"/>
        <v>0</v>
      </c>
      <c r="CY19" s="659"/>
      <c r="CZ19" s="659">
        <f t="shared" si="6"/>
        <v>0</v>
      </c>
      <c r="DA19" s="659"/>
      <c r="DB19" s="659">
        <f t="shared" si="6"/>
        <v>0</v>
      </c>
      <c r="DC19" s="659"/>
      <c r="DD19" s="659">
        <f t="shared" si="6"/>
        <v>0</v>
      </c>
      <c r="DE19" s="22">
        <f>ROW()</f>
        <v>19</v>
      </c>
      <c r="DF19" s="957"/>
      <c r="DG19" s="20"/>
      <c r="DH19" s="42"/>
      <c r="DI19" s="42"/>
      <c r="DJ19" s="42"/>
      <c r="DK19" s="42"/>
      <c r="DL19" s="42"/>
      <c r="DM19" s="21"/>
      <c r="DN19" s="42"/>
      <c r="DO19" s="21"/>
      <c r="DP19" s="42"/>
      <c r="DQ19" s="21"/>
      <c r="DR19" s="42"/>
      <c r="DS19" s="42"/>
      <c r="DT19" s="42"/>
      <c r="DU19" s="21"/>
      <c r="DV19" s="42"/>
      <c r="DW19" s="22">
        <f>ROW()</f>
        <v>19</v>
      </c>
      <c r="DX19" s="476" t="s">
        <v>480</v>
      </c>
      <c r="DY19" s="959"/>
      <c r="DZ19" s="979">
        <v>-449376609.27875495</v>
      </c>
      <c r="EA19" s="979">
        <v>449376609.27875495</v>
      </c>
      <c r="EB19" s="607">
        <f t="shared" ref="EB19:ED20" si="7">DZ19+EA19</f>
        <v>0</v>
      </c>
      <c r="EC19" s="607"/>
      <c r="ED19" s="607">
        <f t="shared" si="7"/>
        <v>0</v>
      </c>
      <c r="EE19" s="607"/>
      <c r="EF19" s="607">
        <f>ED19+EE19</f>
        <v>0</v>
      </c>
      <c r="EG19" s="607"/>
      <c r="EH19" s="607">
        <f>EF19+EG19</f>
        <v>0</v>
      </c>
      <c r="EI19" s="607"/>
      <c r="EJ19" s="607">
        <f>EH19+EI19</f>
        <v>0</v>
      </c>
      <c r="EK19" s="674"/>
      <c r="EL19" s="674"/>
      <c r="EM19" s="674"/>
      <c r="EN19" s="674"/>
      <c r="EO19" s="22">
        <f>ROW()</f>
        <v>19</v>
      </c>
      <c r="EP19" s="75" t="s">
        <v>473</v>
      </c>
      <c r="EQ19" s="961"/>
      <c r="ER19" s="980"/>
      <c r="ES19" s="980"/>
      <c r="ET19" s="980"/>
      <c r="EU19" s="980"/>
      <c r="EV19" s="980"/>
      <c r="EW19" s="980"/>
      <c r="EX19" s="980"/>
      <c r="EY19" s="980"/>
      <c r="EZ19" s="980"/>
      <c r="FA19" s="980"/>
      <c r="FB19" s="980"/>
      <c r="FC19" s="980"/>
      <c r="FD19" s="980"/>
      <c r="FE19" s="19"/>
      <c r="FF19" s="19"/>
      <c r="FG19" s="22">
        <f>ROW()</f>
        <v>19</v>
      </c>
      <c r="FH19" s="981" t="s">
        <v>481</v>
      </c>
      <c r="FI19" s="975"/>
      <c r="FJ19" s="982">
        <f>SUM(FJ18)</f>
        <v>2017272.7200000002</v>
      </c>
      <c r="FK19" s="982">
        <f>SUM(FK18)</f>
        <v>-2017272.7200000002</v>
      </c>
      <c r="FL19" s="982">
        <f t="shared" ref="FL19:FT19" si="8">SUM(FL18:FL18)</f>
        <v>0</v>
      </c>
      <c r="FM19" s="982">
        <f>SUM(FM18:FM18)</f>
        <v>0</v>
      </c>
      <c r="FN19" s="982">
        <f t="shared" si="8"/>
        <v>0</v>
      </c>
      <c r="FO19" s="982">
        <f t="shared" si="8"/>
        <v>0</v>
      </c>
      <c r="FP19" s="982">
        <f t="shared" si="8"/>
        <v>0</v>
      </c>
      <c r="FQ19" s="982">
        <f t="shared" si="8"/>
        <v>0</v>
      </c>
      <c r="FR19" s="982">
        <f t="shared" si="8"/>
        <v>0</v>
      </c>
      <c r="FS19" s="982">
        <f t="shared" si="8"/>
        <v>0</v>
      </c>
      <c r="FT19" s="982">
        <f t="shared" si="8"/>
        <v>0</v>
      </c>
      <c r="FU19" s="64"/>
      <c r="FV19" s="64">
        <f t="shared" ref="FV19:FX21" si="9">FT19+FU19</f>
        <v>0</v>
      </c>
      <c r="FW19" s="64"/>
      <c r="FX19" s="64">
        <f t="shared" si="9"/>
        <v>0</v>
      </c>
      <c r="FY19" s="22">
        <f>ROW()</f>
        <v>19</v>
      </c>
      <c r="FZ19" s="562" t="s">
        <v>482</v>
      </c>
      <c r="GA19" s="644"/>
      <c r="GB19" s="63"/>
      <c r="GC19" s="63"/>
      <c r="GD19" s="63"/>
      <c r="GE19" s="63"/>
      <c r="GF19" s="63"/>
      <c r="GG19" s="50"/>
      <c r="GH19" s="63"/>
      <c r="GI19" s="50"/>
      <c r="GJ19" s="63"/>
      <c r="GK19" s="50"/>
      <c r="GL19" s="63"/>
      <c r="GM19" s="19"/>
      <c r="GN19" s="19"/>
      <c r="GO19" s="19"/>
      <c r="GP19" s="19"/>
      <c r="GQ19" s="1">
        <f>ROW()</f>
        <v>19</v>
      </c>
      <c r="GR19" s="858"/>
      <c r="GS19" s="858"/>
      <c r="GT19" s="611"/>
      <c r="GU19" s="611"/>
      <c r="GV19" s="579"/>
      <c r="GW19" s="611"/>
      <c r="GX19" s="611"/>
      <c r="GY19" s="611"/>
      <c r="GZ19" s="611"/>
      <c r="HA19" s="611"/>
      <c r="HB19" s="611"/>
      <c r="HC19" s="611"/>
      <c r="HD19" s="611"/>
    </row>
    <row r="20" spans="1:212" s="1" customFormat="1" x14ac:dyDescent="0.25">
      <c r="A20" s="22">
        <f>ROW()</f>
        <v>20</v>
      </c>
      <c r="B20" s="965" t="s">
        <v>483</v>
      </c>
      <c r="C20" s="965"/>
      <c r="D20" s="976">
        <v>1353664889.1700001</v>
      </c>
      <c r="E20" s="976">
        <v>-75079566.110425472</v>
      </c>
      <c r="F20" s="976">
        <f t="shared" si="0"/>
        <v>1278585323.0595746</v>
      </c>
      <c r="G20" s="976">
        <v>0</v>
      </c>
      <c r="H20" s="976">
        <f t="shared" si="1"/>
        <v>1278585323.0595746</v>
      </c>
      <c r="I20" s="976">
        <v>0</v>
      </c>
      <c r="J20" s="976">
        <f t="shared" si="3"/>
        <v>1278585323.0595746</v>
      </c>
      <c r="K20" s="977">
        <v>-221623572.04095638</v>
      </c>
      <c r="L20" s="977">
        <f t="shared" si="3"/>
        <v>1056961751.0186182</v>
      </c>
      <c r="M20" s="977">
        <v>-206592027.08689117</v>
      </c>
      <c r="N20" s="977">
        <f t="shared" si="3"/>
        <v>850369723.93172705</v>
      </c>
      <c r="O20" s="978"/>
      <c r="P20" s="978"/>
      <c r="Q20" s="978"/>
      <c r="R20" s="978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42"/>
      <c r="AH20" s="42"/>
      <c r="AI20" s="42"/>
      <c r="AJ20" s="42"/>
      <c r="AK20" s="22">
        <f>ROW()</f>
        <v>20</v>
      </c>
      <c r="AL20" s="970" t="s">
        <v>484</v>
      </c>
      <c r="AM20" s="970"/>
      <c r="AN20" s="659">
        <v>-447521.22770833335</v>
      </c>
      <c r="AO20" s="659">
        <v>447521.22770833335</v>
      </c>
      <c r="AP20" s="659">
        <f>AN20+AO20</f>
        <v>0</v>
      </c>
      <c r="AQ20" s="659">
        <v>-56233.40499999997</v>
      </c>
      <c r="AR20" s="659">
        <f>AP20+AQ20</f>
        <v>-56233.40499999997</v>
      </c>
      <c r="AS20" s="659">
        <v>-133767.71499999997</v>
      </c>
      <c r="AT20" s="659">
        <f>AR20+AS20</f>
        <v>-190001.11999999994</v>
      </c>
      <c r="AU20" s="659">
        <v>-66883.857499999867</v>
      </c>
      <c r="AV20" s="659">
        <f>AT20+AU20</f>
        <v>-256884.9774999998</v>
      </c>
      <c r="AW20" s="659">
        <v>-66883.857500000013</v>
      </c>
      <c r="AX20" s="659">
        <f>AV20+AW20</f>
        <v>-323768.83499999985</v>
      </c>
      <c r="AY20" s="659"/>
      <c r="AZ20" s="659">
        <f>AX20+AY20</f>
        <v>-323768.83499999985</v>
      </c>
      <c r="BA20" s="659"/>
      <c r="BB20" s="659">
        <f>AZ20+BA20</f>
        <v>-323768.83499999985</v>
      </c>
      <c r="BC20" s="22">
        <f>ROW()</f>
        <v>20</v>
      </c>
      <c r="BD20" s="957" t="s">
        <v>485</v>
      </c>
      <c r="BE20" s="983"/>
      <c r="BF20" s="42">
        <v>81461.449999999983</v>
      </c>
      <c r="BG20" s="42">
        <v>17757.793333333349</v>
      </c>
      <c r="BH20" s="42">
        <f>+BF20+BG20</f>
        <v>99219.243333333332</v>
      </c>
      <c r="BI20" s="42">
        <v>0</v>
      </c>
      <c r="BJ20" s="700">
        <f>+BI20+BH20</f>
        <v>99219.243333333332</v>
      </c>
      <c r="BK20" s="42">
        <v>0</v>
      </c>
      <c r="BL20" s="700">
        <f>+BK20+BJ20</f>
        <v>99219.243333333332</v>
      </c>
      <c r="BM20" s="42">
        <v>0</v>
      </c>
      <c r="BN20" s="700">
        <f>+BM20+BL20</f>
        <v>99219.243333333332</v>
      </c>
      <c r="BO20" s="42">
        <v>0</v>
      </c>
      <c r="BP20" s="700">
        <f>+BO20+BN20</f>
        <v>99219.243333333332</v>
      </c>
      <c r="BQ20" s="42">
        <v>0</v>
      </c>
      <c r="BR20" s="700"/>
      <c r="BS20" s="42">
        <v>0</v>
      </c>
      <c r="BT20" s="700">
        <f>+BS20+BR20</f>
        <v>0</v>
      </c>
      <c r="BU20" s="22">
        <f>ROW()</f>
        <v>20</v>
      </c>
      <c r="BV20" s="971" t="s">
        <v>486</v>
      </c>
      <c r="BW20" s="480"/>
      <c r="BX20" s="972"/>
      <c r="BY20" s="972"/>
      <c r="BZ20" s="78">
        <v>18500000</v>
      </c>
      <c r="CA20" s="78">
        <f t="shared" si="4"/>
        <v>0</v>
      </c>
      <c r="CB20" s="78">
        <v>18500000</v>
      </c>
      <c r="CC20" s="78">
        <f t="shared" si="5"/>
        <v>0</v>
      </c>
      <c r="CD20" s="78">
        <v>18500000</v>
      </c>
      <c r="CE20" s="78">
        <f t="shared" si="5"/>
        <v>0</v>
      </c>
      <c r="CF20" s="78">
        <v>18500000</v>
      </c>
      <c r="CG20" s="78">
        <f t="shared" si="2"/>
        <v>0</v>
      </c>
      <c r="CH20" s="78">
        <v>18500000</v>
      </c>
      <c r="CI20" s="78"/>
      <c r="CJ20" s="78"/>
      <c r="CK20" s="78"/>
      <c r="CL20" s="78"/>
      <c r="CM20" s="22">
        <f>ROW()</f>
        <v>20</v>
      </c>
      <c r="CN20" s="970" t="s">
        <v>484</v>
      </c>
      <c r="CO20" s="970"/>
      <c r="CP20" s="659">
        <v>-7472.624249999998</v>
      </c>
      <c r="CQ20" s="659">
        <v>7472.624249999998</v>
      </c>
      <c r="CR20" s="659">
        <f t="shared" si="6"/>
        <v>0</v>
      </c>
      <c r="CS20" s="659"/>
      <c r="CT20" s="659">
        <f t="shared" si="6"/>
        <v>0</v>
      </c>
      <c r="CU20" s="659"/>
      <c r="CV20" s="659">
        <f t="shared" si="6"/>
        <v>0</v>
      </c>
      <c r="CW20" s="659"/>
      <c r="CX20" s="659">
        <f t="shared" si="6"/>
        <v>0</v>
      </c>
      <c r="CY20" s="659"/>
      <c r="CZ20" s="659">
        <f t="shared" si="6"/>
        <v>0</v>
      </c>
      <c r="DA20" s="659"/>
      <c r="DB20" s="659">
        <f t="shared" si="6"/>
        <v>0</v>
      </c>
      <c r="DC20" s="659"/>
      <c r="DD20" s="659">
        <f t="shared" si="6"/>
        <v>0</v>
      </c>
      <c r="DE20" s="22">
        <f>ROW()</f>
        <v>20</v>
      </c>
      <c r="DF20" s="957"/>
      <c r="DG20" s="983"/>
      <c r="DH20" s="42"/>
      <c r="DI20" s="42"/>
      <c r="DJ20" s="42"/>
      <c r="DK20" s="42"/>
      <c r="DL20" s="700"/>
      <c r="DM20" s="984"/>
      <c r="DN20" s="700"/>
      <c r="DO20" s="984"/>
      <c r="DP20" s="700"/>
      <c r="DQ20" s="984"/>
      <c r="DR20" s="700"/>
      <c r="DS20" s="700"/>
      <c r="DT20" s="700"/>
      <c r="DU20" s="984"/>
      <c r="DV20" s="700"/>
      <c r="DW20" s="22">
        <f>ROW()</f>
        <v>20</v>
      </c>
      <c r="DX20" s="476" t="s">
        <v>107</v>
      </c>
      <c r="DY20" s="959"/>
      <c r="DZ20" s="979">
        <v>-21534310.368832793</v>
      </c>
      <c r="EA20" s="979">
        <v>21534310.368832793</v>
      </c>
      <c r="EB20" s="607">
        <f t="shared" si="7"/>
        <v>0</v>
      </c>
      <c r="EC20" s="607"/>
      <c r="ED20" s="607">
        <f t="shared" si="7"/>
        <v>0</v>
      </c>
      <c r="EE20" s="607"/>
      <c r="EF20" s="607">
        <f>ED20+EE20</f>
        <v>0</v>
      </c>
      <c r="EG20" s="607"/>
      <c r="EH20" s="607">
        <f>EF20+EG20</f>
        <v>0</v>
      </c>
      <c r="EI20" s="607"/>
      <c r="EJ20" s="607">
        <f>EH20+EI20</f>
        <v>0</v>
      </c>
      <c r="EK20" s="674"/>
      <c r="EL20" s="674"/>
      <c r="EM20" s="674"/>
      <c r="EN20" s="674"/>
      <c r="EO20" s="22">
        <f>ROW()</f>
        <v>20</v>
      </c>
      <c r="EP20" s="75" t="s">
        <v>487</v>
      </c>
      <c r="EQ20" s="961"/>
      <c r="ER20" s="980">
        <v>76622596.840000018</v>
      </c>
      <c r="ES20" s="980">
        <v>0</v>
      </c>
      <c r="ET20" s="980">
        <v>76622596.840000018</v>
      </c>
      <c r="EU20" s="980">
        <v>0</v>
      </c>
      <c r="EV20" s="980">
        <v>76622596.840000018</v>
      </c>
      <c r="EW20" s="980">
        <v>0</v>
      </c>
      <c r="EX20" s="980">
        <v>76622596.840000018</v>
      </c>
      <c r="EY20" s="980">
        <v>0</v>
      </c>
      <c r="EZ20" s="980">
        <v>76622596.840000018</v>
      </c>
      <c r="FA20" s="980">
        <v>0</v>
      </c>
      <c r="FB20" s="980">
        <v>76622596.840000018</v>
      </c>
      <c r="FC20" s="980"/>
      <c r="FD20" s="980"/>
      <c r="FE20" s="19"/>
      <c r="FF20" s="19"/>
      <c r="FG20" s="22">
        <f>ROW()</f>
        <v>20</v>
      </c>
      <c r="FH20" s="981"/>
      <c r="FI20" s="985"/>
      <c r="FJ20" s="986"/>
      <c r="FK20" s="986"/>
      <c r="FL20" s="986"/>
      <c r="FM20" s="986"/>
      <c r="FN20" s="986"/>
      <c r="FO20" s="986"/>
      <c r="FP20" s="986"/>
      <c r="FQ20" s="986"/>
      <c r="FR20" s="986"/>
      <c r="FS20" s="986"/>
      <c r="FT20" s="986"/>
      <c r="FU20" s="64"/>
      <c r="FV20" s="64">
        <f t="shared" si="9"/>
        <v>0</v>
      </c>
      <c r="FW20" s="64"/>
      <c r="FX20" s="64">
        <f t="shared" si="9"/>
        <v>0</v>
      </c>
      <c r="FY20" s="22">
        <f>ROW()</f>
        <v>20</v>
      </c>
      <c r="FZ20" s="75" t="s">
        <v>488</v>
      </c>
      <c r="GA20" s="75"/>
      <c r="GB20" s="987"/>
      <c r="GC20" s="987"/>
      <c r="GD20" s="988">
        <v>0</v>
      </c>
      <c r="GE20" s="988">
        <v>863169.48</v>
      </c>
      <c r="GF20" s="987">
        <f>SUM(GD20:GE20)</f>
        <v>863169.48</v>
      </c>
      <c r="GG20" s="988">
        <v>0</v>
      </c>
      <c r="GH20" s="987">
        <f>SUM(GF20:GG20)</f>
        <v>863169.48</v>
      </c>
      <c r="GI20" s="988">
        <v>0</v>
      </c>
      <c r="GJ20" s="987">
        <f>SUM(GH20:GI20)</f>
        <v>863169.48</v>
      </c>
      <c r="GK20" s="988">
        <v>0</v>
      </c>
      <c r="GL20" s="987">
        <f>SUM(GJ20:GK20)</f>
        <v>863169.48</v>
      </c>
      <c r="GM20" s="980"/>
      <c r="GN20" s="980"/>
      <c r="GO20" s="980"/>
      <c r="GP20" s="980"/>
      <c r="GQ20" s="1">
        <f>ROW()</f>
        <v>20</v>
      </c>
      <c r="GR20" s="689" t="s">
        <v>404</v>
      </c>
      <c r="GS20" s="690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</row>
    <row r="21" spans="1:212" s="1" customFormat="1" ht="15.75" x14ac:dyDescent="0.25">
      <c r="A21" s="22">
        <f>ROW()</f>
        <v>21</v>
      </c>
      <c r="B21" s="1" t="s">
        <v>489</v>
      </c>
      <c r="D21" s="976">
        <v>0</v>
      </c>
      <c r="E21" s="976">
        <v>0</v>
      </c>
      <c r="F21" s="976">
        <f t="shared" si="0"/>
        <v>0</v>
      </c>
      <c r="G21" s="976">
        <v>0</v>
      </c>
      <c r="H21" s="976">
        <f t="shared" si="1"/>
        <v>0</v>
      </c>
      <c r="I21" s="976">
        <v>0</v>
      </c>
      <c r="J21" s="976">
        <f t="shared" si="3"/>
        <v>0</v>
      </c>
      <c r="K21" s="976">
        <v>16618234.449275365</v>
      </c>
      <c r="L21" s="976">
        <f t="shared" si="3"/>
        <v>16618234.449275365</v>
      </c>
      <c r="M21" s="976">
        <v>464534.89072463475</v>
      </c>
      <c r="N21" s="976">
        <f t="shared" si="3"/>
        <v>17082769.34</v>
      </c>
      <c r="O21" s="978"/>
      <c r="P21" s="978"/>
      <c r="Q21" s="978"/>
      <c r="R21" s="978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42"/>
      <c r="AH21" s="42"/>
      <c r="AI21" s="42"/>
      <c r="AJ21" s="42"/>
      <c r="AK21" s="22">
        <f>ROW()</f>
        <v>21</v>
      </c>
      <c r="AL21" s="603" t="s">
        <v>490</v>
      </c>
      <c r="AM21" s="603"/>
      <c r="AN21" s="989">
        <f t="shared" ref="AN21:BA21" si="10">SUM(AN18:AN20)</f>
        <v>1121518.7722916666</v>
      </c>
      <c r="AO21" s="989">
        <f t="shared" si="10"/>
        <v>-1121518.7722916666</v>
      </c>
      <c r="AP21" s="989">
        <f t="shared" si="10"/>
        <v>0</v>
      </c>
      <c r="AQ21" s="989">
        <f t="shared" si="10"/>
        <v>53549.595000000962</v>
      </c>
      <c r="AR21" s="989">
        <f t="shared" si="10"/>
        <v>53549.595000000962</v>
      </c>
      <c r="AS21" s="989">
        <f t="shared" si="10"/>
        <v>85798.285000001895</v>
      </c>
      <c r="AT21" s="989">
        <f t="shared" si="10"/>
        <v>139347.88000000286</v>
      </c>
      <c r="AU21" s="989">
        <f t="shared" si="10"/>
        <v>42899.142500001064</v>
      </c>
      <c r="AV21" s="989">
        <f t="shared" si="10"/>
        <v>182247.02250000392</v>
      </c>
      <c r="AW21" s="989">
        <f t="shared" si="10"/>
        <v>42899.142500001384</v>
      </c>
      <c r="AX21" s="989">
        <f t="shared" si="10"/>
        <v>225146.16500000528</v>
      </c>
      <c r="AY21" s="989">
        <f t="shared" si="10"/>
        <v>0</v>
      </c>
      <c r="AZ21" s="989">
        <f>SUM(AZ18:AZ20)</f>
        <v>225146.16500000528</v>
      </c>
      <c r="BA21" s="989">
        <f t="shared" si="10"/>
        <v>0</v>
      </c>
      <c r="BB21" s="989">
        <f>SUM(BB18:BB20)</f>
        <v>225146.16500000528</v>
      </c>
      <c r="BC21" s="22">
        <f>ROW()</f>
        <v>21</v>
      </c>
      <c r="BD21" s="990"/>
      <c r="BE21" s="23"/>
      <c r="BF21" s="69"/>
      <c r="BG21" s="69"/>
      <c r="BH21" s="69"/>
      <c r="BI21" s="69"/>
      <c r="BJ21" s="991"/>
      <c r="BK21" s="69"/>
      <c r="BL21" s="991"/>
      <c r="BM21" s="69"/>
      <c r="BN21" s="991"/>
      <c r="BO21" s="69"/>
      <c r="BP21" s="991"/>
      <c r="BQ21" s="991"/>
      <c r="BR21" s="991"/>
      <c r="BS21" s="69"/>
      <c r="BT21" s="991"/>
      <c r="BU21" s="22">
        <f>ROW()</f>
        <v>21</v>
      </c>
      <c r="BV21" s="971" t="s">
        <v>491</v>
      </c>
      <c r="BW21" s="480"/>
      <c r="BX21" s="972"/>
      <c r="BY21" s="972"/>
      <c r="BZ21" s="78">
        <v>40139887.369999997</v>
      </c>
      <c r="CA21" s="78">
        <f t="shared" si="4"/>
        <v>-2559008.9808289111</v>
      </c>
      <c r="CB21" s="78">
        <v>37580878.389171086</v>
      </c>
      <c r="CC21" s="78">
        <f t="shared" si="5"/>
        <v>-5465855.7524938695</v>
      </c>
      <c r="CD21" s="78">
        <v>32115022.636677217</v>
      </c>
      <c r="CE21" s="78">
        <f t="shared" si="5"/>
        <v>-2832205.5166970454</v>
      </c>
      <c r="CF21" s="78">
        <v>29282817.119980171</v>
      </c>
      <c r="CG21" s="78">
        <f t="shared" si="2"/>
        <v>-6073271.0588138252</v>
      </c>
      <c r="CH21" s="78">
        <v>23209546.061166346</v>
      </c>
      <c r="CI21" s="78"/>
      <c r="CJ21" s="78"/>
      <c r="CK21" s="78"/>
      <c r="CL21" s="78"/>
      <c r="CM21" s="22">
        <f>ROW()</f>
        <v>21</v>
      </c>
      <c r="CN21" s="603" t="s">
        <v>490</v>
      </c>
      <c r="CO21" s="603"/>
      <c r="CP21" s="989">
        <f t="shared" ref="CP21:DD21" si="11">SUM(CP18:CP20)</f>
        <v>92162.365750000143</v>
      </c>
      <c r="CQ21" s="989">
        <f t="shared" si="11"/>
        <v>-92162.365750000143</v>
      </c>
      <c r="CR21" s="989">
        <f t="shared" si="11"/>
        <v>0</v>
      </c>
      <c r="CS21" s="989">
        <f>SUM(CS18:CS20)</f>
        <v>0</v>
      </c>
      <c r="CT21" s="989">
        <f t="shared" si="11"/>
        <v>0</v>
      </c>
      <c r="CU21" s="989">
        <f>SUM(CU18:CU20)</f>
        <v>0</v>
      </c>
      <c r="CV21" s="989">
        <f t="shared" si="11"/>
        <v>0</v>
      </c>
      <c r="CW21" s="989">
        <f>SUM(CW18:CW20)</f>
        <v>0</v>
      </c>
      <c r="CX21" s="989">
        <f t="shared" si="11"/>
        <v>0</v>
      </c>
      <c r="CY21" s="989">
        <f>SUM(CY18:CY20)</f>
        <v>0</v>
      </c>
      <c r="CZ21" s="989">
        <f t="shared" si="11"/>
        <v>0</v>
      </c>
      <c r="DA21" s="989">
        <f t="shared" si="11"/>
        <v>0</v>
      </c>
      <c r="DB21" s="989">
        <f t="shared" si="11"/>
        <v>0</v>
      </c>
      <c r="DC21" s="989">
        <f t="shared" si="11"/>
        <v>0</v>
      </c>
      <c r="DD21" s="989">
        <f t="shared" si="11"/>
        <v>0</v>
      </c>
      <c r="DE21" s="22">
        <f>ROW()</f>
        <v>21</v>
      </c>
      <c r="DF21" s="957"/>
      <c r="DG21" s="983"/>
      <c r="DH21" s="42"/>
      <c r="DI21" s="42"/>
      <c r="DJ21" s="42"/>
      <c r="DK21" s="42"/>
      <c r="DL21" s="700"/>
      <c r="DM21" s="984"/>
      <c r="DN21" s="700"/>
      <c r="DO21" s="984"/>
      <c r="DP21" s="700"/>
      <c r="DQ21" s="984"/>
      <c r="DR21" s="700"/>
      <c r="DS21" s="700"/>
      <c r="DT21" s="700"/>
      <c r="DU21" s="984"/>
      <c r="DV21" s="700"/>
      <c r="DW21" s="22">
        <f>ROW()</f>
        <v>21</v>
      </c>
      <c r="DX21" s="522" t="s">
        <v>492</v>
      </c>
      <c r="DY21" s="959"/>
      <c r="DZ21" s="982">
        <f t="shared" ref="DZ21:EJ21" si="12">SUM(DZ18:DZ20)</f>
        <v>60358709.282412261</v>
      </c>
      <c r="EA21" s="992">
        <f t="shared" si="12"/>
        <v>-60358709.282412261</v>
      </c>
      <c r="EB21" s="982">
        <f t="shared" si="12"/>
        <v>0</v>
      </c>
      <c r="EC21" s="982">
        <f t="shared" si="12"/>
        <v>0</v>
      </c>
      <c r="ED21" s="982">
        <f t="shared" si="12"/>
        <v>0</v>
      </c>
      <c r="EE21" s="982">
        <f t="shared" si="12"/>
        <v>0</v>
      </c>
      <c r="EF21" s="982">
        <f t="shared" si="12"/>
        <v>0</v>
      </c>
      <c r="EG21" s="982">
        <f t="shared" si="12"/>
        <v>0</v>
      </c>
      <c r="EH21" s="982">
        <f t="shared" si="12"/>
        <v>0</v>
      </c>
      <c r="EI21" s="982">
        <f t="shared" si="12"/>
        <v>0</v>
      </c>
      <c r="EJ21" s="982">
        <f t="shared" si="12"/>
        <v>0</v>
      </c>
      <c r="EK21" s="993"/>
      <c r="EL21" s="993"/>
      <c r="EM21" s="993"/>
      <c r="EN21" s="993"/>
      <c r="EO21" s="22">
        <f>ROW()</f>
        <v>21</v>
      </c>
      <c r="EP21" s="75" t="s">
        <v>493</v>
      </c>
      <c r="EQ21" s="961"/>
      <c r="ER21" s="994">
        <v>156960790.84</v>
      </c>
      <c r="ES21" s="994">
        <v>0</v>
      </c>
      <c r="ET21" s="980">
        <v>156960790.84</v>
      </c>
      <c r="EU21" s="980">
        <v>0</v>
      </c>
      <c r="EV21" s="980">
        <v>156960790.84</v>
      </c>
      <c r="EW21" s="980">
        <v>0</v>
      </c>
      <c r="EX21" s="980">
        <v>156960790.84</v>
      </c>
      <c r="EY21" s="980">
        <v>0</v>
      </c>
      <c r="EZ21" s="980">
        <v>156960790.83999997</v>
      </c>
      <c r="FA21" s="980">
        <v>0</v>
      </c>
      <c r="FB21" s="980">
        <v>156960790.83999997</v>
      </c>
      <c r="FC21" s="980"/>
      <c r="FD21" s="980"/>
      <c r="FE21" s="980"/>
      <c r="FF21" s="980">
        <f>FD21+FE21</f>
        <v>0</v>
      </c>
      <c r="FG21" s="22">
        <f>ROW()</f>
        <v>21</v>
      </c>
      <c r="FH21" s="981"/>
      <c r="FI21" s="985"/>
      <c r="FJ21" s="986"/>
      <c r="FK21" s="986"/>
      <c r="FL21" s="986"/>
      <c r="FM21" s="986"/>
      <c r="FN21" s="986"/>
      <c r="FO21" s="986"/>
      <c r="FP21" s="986"/>
      <c r="FQ21" s="986"/>
      <c r="FR21" s="986"/>
      <c r="FS21" s="986"/>
      <c r="FT21" s="986"/>
      <c r="FU21" s="64"/>
      <c r="FV21" s="64">
        <f t="shared" si="9"/>
        <v>0</v>
      </c>
      <c r="FW21" s="64"/>
      <c r="FX21" s="64">
        <f t="shared" si="9"/>
        <v>0</v>
      </c>
      <c r="FY21" s="22">
        <f>ROW()</f>
        <v>21</v>
      </c>
      <c r="FZ21" s="75"/>
      <c r="GA21" s="75"/>
      <c r="GB21" s="847"/>
      <c r="GC21" s="847"/>
      <c r="GD21" s="995"/>
      <c r="GE21" s="988"/>
      <c r="GF21" s="847"/>
      <c r="GG21" s="988"/>
      <c r="GH21" s="847"/>
      <c r="GI21" s="988"/>
      <c r="GJ21" s="847"/>
      <c r="GK21" s="988"/>
      <c r="GL21" s="847"/>
      <c r="GM21" s="980"/>
      <c r="GN21" s="980"/>
      <c r="GO21" s="980"/>
      <c r="GP21" s="980"/>
      <c r="GQ21" s="1">
        <f>ROW()</f>
        <v>21</v>
      </c>
      <c r="GR21" s="858" t="s">
        <v>17</v>
      </c>
      <c r="GS21" s="711">
        <f>+'SEF-31'!$E$12</f>
        <v>6.4879999999999998E-3</v>
      </c>
      <c r="GT21" s="78">
        <f>GT18*GS21</f>
        <v>261.40152</v>
      </c>
      <c r="GU21" s="78">
        <f>-GT21</f>
        <v>-261.40152</v>
      </c>
      <c r="GV21" s="78">
        <f>GT21+GU21</f>
        <v>0</v>
      </c>
      <c r="GW21" s="78"/>
      <c r="GX21" s="78"/>
      <c r="GY21" s="78"/>
      <c r="GZ21" s="78"/>
      <c r="HA21" s="78"/>
      <c r="HB21" s="78"/>
      <c r="HC21" s="78"/>
      <c r="HD21" s="78"/>
    </row>
    <row r="22" spans="1:212" s="1" customFormat="1" x14ac:dyDescent="0.25">
      <c r="A22" s="22">
        <f>ROW()</f>
        <v>22</v>
      </c>
      <c r="B22" s="965" t="s">
        <v>494</v>
      </c>
      <c r="C22" s="965"/>
      <c r="D22" s="976">
        <v>-51758723.480000004</v>
      </c>
      <c r="E22" s="976">
        <v>69842283.5</v>
      </c>
      <c r="F22" s="976">
        <f t="shared" si="0"/>
        <v>18083560.019999996</v>
      </c>
      <c r="G22" s="976">
        <v>0</v>
      </c>
      <c r="H22" s="976">
        <f t="shared" si="1"/>
        <v>18083560.019999996</v>
      </c>
      <c r="I22" s="976">
        <v>0</v>
      </c>
      <c r="J22" s="976">
        <f t="shared" si="3"/>
        <v>18083560.019999996</v>
      </c>
      <c r="K22" s="976">
        <v>1149232.8690863177</v>
      </c>
      <c r="L22" s="976">
        <f t="shared" si="3"/>
        <v>19232792.889086314</v>
      </c>
      <c r="M22" s="976">
        <v>962332.9404662177</v>
      </c>
      <c r="N22" s="976">
        <f t="shared" si="3"/>
        <v>20195125.829552531</v>
      </c>
      <c r="O22" s="978"/>
      <c r="P22" s="978"/>
      <c r="Q22" s="978"/>
      <c r="R22" s="978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20"/>
      <c r="AH22" s="20"/>
      <c r="AI22" s="20"/>
      <c r="AJ22" s="20"/>
      <c r="AK22" s="22">
        <f>ROW()</f>
        <v>22</v>
      </c>
      <c r="AL22" s="603"/>
      <c r="AM22" s="603"/>
      <c r="AN22" s="996"/>
      <c r="AO22" s="996"/>
      <c r="AP22" s="997"/>
      <c r="AQ22" s="996"/>
      <c r="AR22" s="997"/>
      <c r="AS22" s="996"/>
      <c r="AT22" s="997"/>
      <c r="AU22" s="996"/>
      <c r="AV22" s="997"/>
      <c r="AW22" s="996"/>
      <c r="AX22" s="997"/>
      <c r="AY22" s="997"/>
      <c r="AZ22" s="997"/>
      <c r="BA22" s="996"/>
      <c r="BB22" s="997"/>
      <c r="BC22" s="22">
        <f>ROW()</f>
        <v>22</v>
      </c>
      <c r="BD22" s="990" t="s">
        <v>495</v>
      </c>
      <c r="BE22" s="23"/>
      <c r="BF22" s="668">
        <f t="shared" ref="BF22:BS22" si="13">SUM(BF17:BF21)</f>
        <v>7967727.2800000012</v>
      </c>
      <c r="BG22" s="668">
        <f t="shared" si="13"/>
        <v>1468332.4399999985</v>
      </c>
      <c r="BH22" s="668">
        <f t="shared" si="13"/>
        <v>9436059.7200000007</v>
      </c>
      <c r="BI22" s="668">
        <f t="shared" si="13"/>
        <v>0</v>
      </c>
      <c r="BJ22" s="668">
        <f t="shared" si="13"/>
        <v>9436059.7200000007</v>
      </c>
      <c r="BK22" s="668">
        <f t="shared" si="13"/>
        <v>0</v>
      </c>
      <c r="BL22" s="668">
        <f t="shared" si="13"/>
        <v>9436059.7200000007</v>
      </c>
      <c r="BM22" s="668">
        <f t="shared" si="13"/>
        <v>1021344.8483333332</v>
      </c>
      <c r="BN22" s="668">
        <f>SUM(BN17:BN21)</f>
        <v>10457404.568333333</v>
      </c>
      <c r="BO22" s="668">
        <f t="shared" si="13"/>
        <v>0</v>
      </c>
      <c r="BP22" s="668">
        <f>SUM(BP17:BP21)</f>
        <v>10457404.568333333</v>
      </c>
      <c r="BQ22" s="668">
        <f t="shared" si="13"/>
        <v>0</v>
      </c>
      <c r="BR22" s="668">
        <f>SUM(BR17:BR21)</f>
        <v>0</v>
      </c>
      <c r="BS22" s="668">
        <f t="shared" si="13"/>
        <v>0</v>
      </c>
      <c r="BT22" s="668">
        <f>SUM(BT17:BT21)</f>
        <v>0</v>
      </c>
      <c r="BU22" s="22">
        <f>ROW()</f>
        <v>22</v>
      </c>
      <c r="BV22" s="971" t="s">
        <v>496</v>
      </c>
      <c r="BW22" s="480"/>
      <c r="BX22" s="972"/>
      <c r="BY22" s="972"/>
      <c r="BZ22" s="78">
        <v>7574988.7000000002</v>
      </c>
      <c r="CA22" s="78">
        <f t="shared" si="4"/>
        <v>-271530.56552565098</v>
      </c>
      <c r="CB22" s="78">
        <v>7303458.1344743492</v>
      </c>
      <c r="CC22" s="78">
        <f t="shared" si="5"/>
        <v>-543061.79999999888</v>
      </c>
      <c r="CD22" s="78">
        <v>6760396.3344743503</v>
      </c>
      <c r="CE22" s="78">
        <f t="shared" si="5"/>
        <v>-271530.89999999758</v>
      </c>
      <c r="CF22" s="78">
        <v>6488865.4344743527</v>
      </c>
      <c r="CG22" s="78">
        <f t="shared" si="2"/>
        <v>-543061.79999999888</v>
      </c>
      <c r="CH22" s="78">
        <v>5945803.6344743539</v>
      </c>
      <c r="CI22" s="78"/>
      <c r="CJ22" s="78"/>
      <c r="CK22" s="78"/>
      <c r="CL22" s="78"/>
      <c r="CM22" s="22">
        <f>ROW()</f>
        <v>22</v>
      </c>
      <c r="CN22" s="603"/>
      <c r="CO22" s="603"/>
      <c r="CP22" s="996"/>
      <c r="CQ22" s="996"/>
      <c r="CR22" s="997"/>
      <c r="CS22" s="996"/>
      <c r="CT22" s="997"/>
      <c r="CU22" s="996"/>
      <c r="CV22" s="997"/>
      <c r="CW22" s="996"/>
      <c r="CX22" s="997"/>
      <c r="CY22" s="996"/>
      <c r="CZ22" s="997"/>
      <c r="DA22" s="997"/>
      <c r="DB22" s="997"/>
      <c r="DC22" s="996"/>
      <c r="DD22" s="997"/>
      <c r="DE22" s="22">
        <f>ROW()</f>
        <v>22</v>
      </c>
      <c r="DF22" s="957"/>
      <c r="DG22" s="983"/>
      <c r="DH22" s="42"/>
      <c r="DI22" s="42"/>
      <c r="DJ22" s="42"/>
      <c r="DK22" s="42"/>
      <c r="DL22" s="700"/>
      <c r="DM22" s="984"/>
      <c r="DN22" s="700"/>
      <c r="DO22" s="984"/>
      <c r="DP22" s="700"/>
      <c r="DQ22" s="984"/>
      <c r="DR22" s="700"/>
      <c r="DS22" s="700"/>
      <c r="DT22" s="700"/>
      <c r="DU22" s="984"/>
      <c r="DV22" s="700"/>
      <c r="DW22" s="22">
        <f>ROW()</f>
        <v>22</v>
      </c>
      <c r="DX22" s="102" t="s">
        <v>306</v>
      </c>
      <c r="DY22" s="959"/>
      <c r="DZ22" s="102"/>
      <c r="EA22" s="998"/>
      <c r="EB22" s="102"/>
      <c r="EC22" s="102"/>
      <c r="ED22" s="102"/>
      <c r="EE22" s="102"/>
      <c r="EF22" s="102"/>
      <c r="EG22" s="102"/>
      <c r="EH22" s="102"/>
      <c r="EI22" s="102"/>
      <c r="EJ22" s="102"/>
      <c r="EK22" s="616"/>
      <c r="EL22" s="616"/>
      <c r="EM22" s="616"/>
      <c r="EN22" s="616"/>
      <c r="EO22" s="22">
        <f>ROW()</f>
        <v>22</v>
      </c>
      <c r="EP22" s="75" t="s">
        <v>497</v>
      </c>
      <c r="EQ22" s="961"/>
      <c r="ER22" s="994">
        <v>31009424.030000001</v>
      </c>
      <c r="ES22" s="994">
        <v>0</v>
      </c>
      <c r="ET22" s="980">
        <v>31009424.030000001</v>
      </c>
      <c r="EU22" s="980">
        <v>0</v>
      </c>
      <c r="EV22" s="980">
        <v>31009424.030000001</v>
      </c>
      <c r="EW22" s="980">
        <v>0</v>
      </c>
      <c r="EX22" s="980">
        <v>31009424.030000001</v>
      </c>
      <c r="EY22" s="980">
        <v>0</v>
      </c>
      <c r="EZ22" s="980">
        <v>31009424.02999999</v>
      </c>
      <c r="FA22" s="980">
        <v>0</v>
      </c>
      <c r="FB22" s="980">
        <v>31009424.02999999</v>
      </c>
      <c r="FC22" s="980"/>
      <c r="FD22" s="980"/>
      <c r="FE22" s="980"/>
      <c r="FF22" s="980">
        <f>FD22+FE22</f>
        <v>0</v>
      </c>
      <c r="FG22" s="22">
        <f>ROW()</f>
        <v>22</v>
      </c>
      <c r="FH22" s="28" t="s">
        <v>300</v>
      </c>
      <c r="FI22" s="37">
        <f>+'SEF-31'!E12</f>
        <v>6.4879999999999998E-3</v>
      </c>
      <c r="FJ22" s="999">
        <v>13088.065407360002</v>
      </c>
      <c r="FK22" s="999">
        <v>-13088.065407360002</v>
      </c>
      <c r="FL22" s="963">
        <f>FK22+FJ22</f>
        <v>0</v>
      </c>
      <c r="FM22" s="986"/>
      <c r="FN22" s="986"/>
      <c r="FO22" s="986"/>
      <c r="FP22" s="986"/>
      <c r="FQ22" s="986"/>
      <c r="FR22" s="986"/>
      <c r="FS22" s="986"/>
      <c r="FT22" s="986"/>
      <c r="FU22" s="68">
        <f>SUM(FU18:FU21)</f>
        <v>0</v>
      </c>
      <c r="FV22" s="68">
        <f>SUM(FV18:FV21)</f>
        <v>0</v>
      </c>
      <c r="FW22" s="68">
        <f>SUM(FW18:FW21)</f>
        <v>0</v>
      </c>
      <c r="FX22" s="68">
        <f>SUM(FX18:FX21)</f>
        <v>0</v>
      </c>
      <c r="FY22" s="22">
        <f>ROW()</f>
        <v>22</v>
      </c>
      <c r="FZ22" s="616" t="s">
        <v>498</v>
      </c>
      <c r="GA22" s="75"/>
      <c r="GB22" s="1000">
        <f>SUM(GB20:GB21)</f>
        <v>0</v>
      </c>
      <c r="GC22" s="1000">
        <f t="shared" ref="GC22:GL22" si="14">SUM(GC20:GC21)</f>
        <v>0</v>
      </c>
      <c r="GD22" s="1000">
        <f t="shared" si="14"/>
        <v>0</v>
      </c>
      <c r="GE22" s="1000">
        <f t="shared" si="14"/>
        <v>863169.48</v>
      </c>
      <c r="GF22" s="1000">
        <f t="shared" si="14"/>
        <v>863169.48</v>
      </c>
      <c r="GG22" s="1000">
        <f t="shared" si="14"/>
        <v>0</v>
      </c>
      <c r="GH22" s="1000">
        <f t="shared" si="14"/>
        <v>863169.48</v>
      </c>
      <c r="GI22" s="1000">
        <f t="shared" si="14"/>
        <v>0</v>
      </c>
      <c r="GJ22" s="1000">
        <f t="shared" si="14"/>
        <v>863169.48</v>
      </c>
      <c r="GK22" s="1000">
        <f t="shared" si="14"/>
        <v>0</v>
      </c>
      <c r="GL22" s="1000">
        <f t="shared" si="14"/>
        <v>863169.48</v>
      </c>
      <c r="GM22" s="980"/>
      <c r="GN22" s="980"/>
      <c r="GO22" s="980"/>
      <c r="GP22" s="980"/>
      <c r="GQ22" s="1">
        <f>ROW()</f>
        <v>22</v>
      </c>
      <c r="GR22" s="858" t="s">
        <v>20</v>
      </c>
      <c r="GS22" s="1151">
        <v>5.0000000000000001E-3</v>
      </c>
      <c r="GT22" s="1001">
        <f>GT18*GS22</f>
        <v>201.45000000000002</v>
      </c>
      <c r="GU22" s="1001">
        <f>-GT22</f>
        <v>-201.45000000000002</v>
      </c>
      <c r="GV22" s="78">
        <f>GT22+GU22</f>
        <v>0</v>
      </c>
      <c r="GW22" s="78"/>
      <c r="GX22" s="78"/>
      <c r="GY22" s="78"/>
      <c r="GZ22" s="78"/>
      <c r="HA22" s="78"/>
      <c r="HB22" s="78"/>
      <c r="HC22" s="78"/>
      <c r="HD22" s="78"/>
    </row>
    <row r="23" spans="1:212" s="1" customFormat="1" x14ac:dyDescent="0.25">
      <c r="A23" s="22">
        <f>ROW()</f>
        <v>23</v>
      </c>
      <c r="B23" s="1" t="s">
        <v>499</v>
      </c>
      <c r="D23" s="976">
        <v>429437.77</v>
      </c>
      <c r="E23" s="976">
        <v>0</v>
      </c>
      <c r="F23" s="976">
        <f t="shared" si="0"/>
        <v>429437.77</v>
      </c>
      <c r="G23" s="976">
        <v>0</v>
      </c>
      <c r="H23" s="976">
        <f t="shared" si="1"/>
        <v>429437.77</v>
      </c>
      <c r="I23" s="976">
        <v>0</v>
      </c>
      <c r="J23" s="976">
        <f t="shared" si="3"/>
        <v>429437.77</v>
      </c>
      <c r="K23" s="976">
        <v>10306.506479999982</v>
      </c>
      <c r="L23" s="976">
        <f t="shared" si="3"/>
        <v>439744.27648</v>
      </c>
      <c r="M23" s="976">
        <v>10553.862635519996</v>
      </c>
      <c r="N23" s="976">
        <f t="shared" si="3"/>
        <v>450298.13911552</v>
      </c>
      <c r="O23" s="978"/>
      <c r="P23" s="978"/>
      <c r="Q23" s="978"/>
      <c r="R23" s="978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42"/>
      <c r="AH23" s="42"/>
      <c r="AI23" s="42"/>
      <c r="AJ23" s="42"/>
      <c r="AK23" s="22">
        <f>ROW()</f>
        <v>23</v>
      </c>
      <c r="AL23" s="530" t="s">
        <v>500</v>
      </c>
      <c r="AM23" s="530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22">
        <f>ROW()</f>
        <v>23</v>
      </c>
      <c r="BD23" s="516"/>
      <c r="BE23" s="23"/>
      <c r="BF23" s="668"/>
      <c r="BG23" s="668"/>
      <c r="BH23" s="668"/>
      <c r="BI23" s="668"/>
      <c r="BJ23" s="63"/>
      <c r="BK23" s="668"/>
      <c r="BL23" s="63"/>
      <c r="BM23" s="668"/>
      <c r="BN23" s="63"/>
      <c r="BO23" s="668"/>
      <c r="BP23" s="63"/>
      <c r="BQ23" s="63"/>
      <c r="BR23" s="63"/>
      <c r="BS23" s="668"/>
      <c r="BT23" s="63"/>
      <c r="BU23" s="22">
        <f>ROW()</f>
        <v>23</v>
      </c>
      <c r="BV23" s="971" t="s">
        <v>501</v>
      </c>
      <c r="BW23" s="480"/>
      <c r="BX23" s="972"/>
      <c r="BY23" s="972"/>
      <c r="BZ23" s="78">
        <v>-929.04</v>
      </c>
      <c r="CA23" s="78">
        <f t="shared" si="4"/>
        <v>0</v>
      </c>
      <c r="CB23" s="78">
        <v>-929.04</v>
      </c>
      <c r="CC23" s="78">
        <f t="shared" si="5"/>
        <v>0</v>
      </c>
      <c r="CD23" s="78">
        <v>-929.04</v>
      </c>
      <c r="CE23" s="78">
        <f t="shared" si="5"/>
        <v>0</v>
      </c>
      <c r="CF23" s="78">
        <v>-929.04</v>
      </c>
      <c r="CG23" s="78">
        <f t="shared" si="2"/>
        <v>0</v>
      </c>
      <c r="CH23" s="78">
        <v>-929.04</v>
      </c>
      <c r="CI23" s="78"/>
      <c r="CJ23" s="78"/>
      <c r="CK23" s="78"/>
      <c r="CL23" s="78"/>
      <c r="CM23" s="22">
        <f>ROW()</f>
        <v>23</v>
      </c>
      <c r="CN23" s="530" t="s">
        <v>502</v>
      </c>
      <c r="CO23" s="530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22">
        <f>ROW()</f>
        <v>23</v>
      </c>
      <c r="DF23" s="516"/>
      <c r="DG23" s="23"/>
      <c r="DH23" s="668"/>
      <c r="DI23" s="668"/>
      <c r="DJ23" s="668"/>
      <c r="DK23" s="668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22">
        <f>ROW()</f>
        <v>23</v>
      </c>
      <c r="DX23" s="477" t="s">
        <v>503</v>
      </c>
      <c r="DY23" s="959"/>
      <c r="DZ23" s="102"/>
      <c r="EA23" s="963"/>
      <c r="EB23" s="102"/>
      <c r="EC23" s="102"/>
      <c r="ED23" s="102"/>
      <c r="EE23" s="102"/>
      <c r="EF23" s="102"/>
      <c r="EG23" s="102"/>
      <c r="EH23" s="102"/>
      <c r="EI23" s="102"/>
      <c r="EJ23" s="102"/>
      <c r="EK23" s="616"/>
      <c r="EL23" s="616"/>
      <c r="EM23" s="616"/>
      <c r="EN23" s="616"/>
      <c r="EO23" s="22">
        <f>ROW()</f>
        <v>23</v>
      </c>
      <c r="EP23" s="75" t="s">
        <v>504</v>
      </c>
      <c r="EQ23" s="961"/>
      <c r="ER23" s="1002">
        <f>SUM(ER20:ER22)</f>
        <v>264592811.71000001</v>
      </c>
      <c r="ES23" s="1002">
        <f t="shared" ref="ES23:FF23" si="15">SUM(ES20:ES22)</f>
        <v>0</v>
      </c>
      <c r="ET23" s="1002">
        <f t="shared" si="15"/>
        <v>264592811.71000001</v>
      </c>
      <c r="EU23" s="1002">
        <f t="shared" si="15"/>
        <v>0</v>
      </c>
      <c r="EV23" s="1002">
        <f t="shared" si="15"/>
        <v>264592811.71000001</v>
      </c>
      <c r="EW23" s="1002">
        <f t="shared" si="15"/>
        <v>0</v>
      </c>
      <c r="EX23" s="1002">
        <f t="shared" si="15"/>
        <v>264592811.71000001</v>
      </c>
      <c r="EY23" s="1002">
        <f t="shared" si="15"/>
        <v>0</v>
      </c>
      <c r="EZ23" s="1002">
        <f t="shared" si="15"/>
        <v>264592811.71000001</v>
      </c>
      <c r="FA23" s="1002">
        <f t="shared" si="15"/>
        <v>0</v>
      </c>
      <c r="FB23" s="1002">
        <f t="shared" si="15"/>
        <v>264592811.71000001</v>
      </c>
      <c r="FC23" s="1002">
        <f t="shared" si="15"/>
        <v>0</v>
      </c>
      <c r="FD23" s="1002">
        <f t="shared" si="15"/>
        <v>0</v>
      </c>
      <c r="FE23" s="1002">
        <f t="shared" si="15"/>
        <v>0</v>
      </c>
      <c r="FF23" s="1002">
        <f t="shared" si="15"/>
        <v>0</v>
      </c>
      <c r="FG23" s="22">
        <f>ROW()</f>
        <v>23</v>
      </c>
      <c r="FH23" s="28" t="s">
        <v>310</v>
      </c>
      <c r="FI23" s="1219">
        <v>5.0000000000000001E-3</v>
      </c>
      <c r="FJ23" s="1003">
        <v>10086.363600000001</v>
      </c>
      <c r="FK23" s="1003">
        <v>-10086.363600000001</v>
      </c>
      <c r="FL23" s="979">
        <f>FK23+FJ23</f>
        <v>0</v>
      </c>
      <c r="FM23" s="986"/>
      <c r="FN23" s="986"/>
      <c r="FO23" s="986"/>
      <c r="FP23" s="986"/>
      <c r="FQ23" s="986"/>
      <c r="FR23" s="986"/>
      <c r="FS23" s="986"/>
      <c r="FT23" s="986"/>
      <c r="FU23" s="68"/>
      <c r="FV23" s="68"/>
      <c r="FW23" s="68"/>
      <c r="FX23" s="68"/>
      <c r="FY23" s="22">
        <f>ROW()</f>
        <v>23</v>
      </c>
      <c r="FZ23" s="616"/>
      <c r="GA23" s="75"/>
      <c r="GB23" s="847"/>
      <c r="GC23" s="847"/>
      <c r="GD23" s="995"/>
      <c r="GE23" s="847"/>
      <c r="GF23" s="847"/>
      <c r="GG23" s="847"/>
      <c r="GH23" s="847"/>
      <c r="GI23" s="847"/>
      <c r="GJ23" s="847"/>
      <c r="GK23" s="847"/>
      <c r="GL23" s="847"/>
      <c r="GM23" s="980"/>
      <c r="GN23" s="980"/>
      <c r="GO23" s="980"/>
      <c r="GP23" s="980"/>
      <c r="GQ23" s="1">
        <f>ROW()</f>
        <v>23</v>
      </c>
      <c r="GR23" s="866" t="s">
        <v>319</v>
      </c>
      <c r="GS23" s="867">
        <f>+'SEF-31'!$E$14</f>
        <v>3.8483000000000003E-2</v>
      </c>
      <c r="GT23" s="651">
        <f>GT18*GS23</f>
        <v>1550.4800700000001</v>
      </c>
      <c r="GU23" s="651">
        <f>-GT23</f>
        <v>-1550.4800700000001</v>
      </c>
      <c r="GV23" s="651">
        <f>GT23+GU23</f>
        <v>0</v>
      </c>
      <c r="GW23" s="651"/>
      <c r="GX23" s="651"/>
      <c r="GY23" s="651"/>
      <c r="GZ23" s="651"/>
      <c r="HA23" s="651"/>
      <c r="HB23" s="651"/>
      <c r="HC23" s="651"/>
      <c r="HD23" s="651"/>
    </row>
    <row r="24" spans="1:212" ht="15.75" thickBot="1" x14ac:dyDescent="0.3">
      <c r="A24" s="22">
        <f>ROW()</f>
        <v>24</v>
      </c>
      <c r="B24" s="965" t="s">
        <v>505</v>
      </c>
      <c r="C24" s="965"/>
      <c r="D24" s="976">
        <v>161536441.13999999</v>
      </c>
      <c r="E24" s="976">
        <v>0</v>
      </c>
      <c r="F24" s="976">
        <f t="shared" si="0"/>
        <v>161536441.13999999</v>
      </c>
      <c r="G24" s="976">
        <v>0</v>
      </c>
      <c r="H24" s="976">
        <f t="shared" si="1"/>
        <v>161536441.13999999</v>
      </c>
      <c r="I24" s="976">
        <v>0</v>
      </c>
      <c r="J24" s="976">
        <f t="shared" si="3"/>
        <v>161536441.13999999</v>
      </c>
      <c r="K24" s="977">
        <v>17329726.182353556</v>
      </c>
      <c r="L24" s="977">
        <f t="shared" si="3"/>
        <v>178866167.32235354</v>
      </c>
      <c r="M24" s="977">
        <v>4343819.612462908</v>
      </c>
      <c r="N24" s="977">
        <f t="shared" si="3"/>
        <v>183209986.93481645</v>
      </c>
      <c r="O24" s="978"/>
      <c r="P24" s="978"/>
      <c r="Q24" s="978"/>
      <c r="R24" s="978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573"/>
      <c r="AH24" s="573"/>
      <c r="AI24" s="573"/>
      <c r="AJ24" s="573"/>
      <c r="AK24" s="22">
        <f>ROW()</f>
        <v>24</v>
      </c>
      <c r="AL24" s="1004" t="s">
        <v>360</v>
      </c>
      <c r="AM24" s="1004"/>
      <c r="AN24" s="659">
        <v>219566</v>
      </c>
      <c r="AO24" s="659">
        <v>-219566</v>
      </c>
      <c r="AP24" s="659">
        <f>AN24+AO24</f>
        <v>0</v>
      </c>
      <c r="AQ24" s="659"/>
      <c r="AR24" s="659">
        <f>AP24+AQ24</f>
        <v>0</v>
      </c>
      <c r="AS24" s="659"/>
      <c r="AT24" s="659">
        <f>AR24+AS24</f>
        <v>0</v>
      </c>
      <c r="AU24" s="659"/>
      <c r="AV24" s="659">
        <f>AT24+AU24</f>
        <v>0</v>
      </c>
      <c r="AW24" s="659"/>
      <c r="AX24" s="659">
        <f>AV24+AW24</f>
        <v>0</v>
      </c>
      <c r="AY24" s="659"/>
      <c r="AZ24" s="659">
        <f>AX24+AY24</f>
        <v>0</v>
      </c>
      <c r="BA24" s="659"/>
      <c r="BB24" s="659">
        <f>AZ24+BA24</f>
        <v>0</v>
      </c>
      <c r="BC24" s="22">
        <f>ROW()</f>
        <v>24</v>
      </c>
      <c r="BD24" s="516"/>
      <c r="BE24" s="23"/>
      <c r="BF24" s="668"/>
      <c r="BG24" s="668"/>
      <c r="BH24" s="668"/>
      <c r="BI24" s="668"/>
      <c r="BJ24" s="63"/>
      <c r="BK24" s="668"/>
      <c r="BL24" s="63"/>
      <c r="BM24" s="668"/>
      <c r="BN24" s="63"/>
      <c r="BO24" s="668"/>
      <c r="BP24" s="63"/>
      <c r="BQ24" s="63"/>
      <c r="BR24" s="63"/>
      <c r="BS24" s="668"/>
      <c r="BT24" s="63"/>
      <c r="BU24" s="22">
        <f>ROW()</f>
        <v>24</v>
      </c>
      <c r="BV24" s="971" t="s">
        <v>506</v>
      </c>
      <c r="BW24" s="480"/>
      <c r="BX24" s="972"/>
      <c r="BY24" s="972"/>
      <c r="BZ24" s="78">
        <v>0</v>
      </c>
      <c r="CA24" s="78">
        <f t="shared" si="4"/>
        <v>0</v>
      </c>
      <c r="CB24" s="78">
        <v>0</v>
      </c>
      <c r="CC24" s="78">
        <f t="shared" si="5"/>
        <v>0</v>
      </c>
      <c r="CD24" s="78">
        <v>0</v>
      </c>
      <c r="CE24" s="78">
        <f t="shared" si="5"/>
        <v>0</v>
      </c>
      <c r="CF24" s="78">
        <v>0</v>
      </c>
      <c r="CG24" s="78">
        <f t="shared" si="2"/>
        <v>0</v>
      </c>
      <c r="CH24" s="78">
        <v>0</v>
      </c>
      <c r="CI24" s="78"/>
      <c r="CJ24" s="78"/>
      <c r="CK24" s="78"/>
      <c r="CL24" s="78"/>
      <c r="CM24" s="22">
        <f>ROW()</f>
        <v>24</v>
      </c>
      <c r="CN24" s="1004" t="s">
        <v>360</v>
      </c>
      <c r="CO24" s="1004"/>
      <c r="CP24" s="659">
        <v>113868.55999999998</v>
      </c>
      <c r="CQ24" s="659">
        <v>-113868.55999999998</v>
      </c>
      <c r="CR24" s="659">
        <f>CP24+CQ24</f>
        <v>0</v>
      </c>
      <c r="CS24" s="659"/>
      <c r="CT24" s="659">
        <f>CR24+CS24</f>
        <v>0</v>
      </c>
      <c r="CU24" s="659"/>
      <c r="CV24" s="659">
        <f>CT24+CU24</f>
        <v>0</v>
      </c>
      <c r="CW24" s="659"/>
      <c r="CX24" s="659">
        <f>CV24+CW24</f>
        <v>0</v>
      </c>
      <c r="CY24" s="659"/>
      <c r="CZ24" s="659">
        <f>CX24+CY24</f>
        <v>0</v>
      </c>
      <c r="DA24" s="659"/>
      <c r="DB24" s="659">
        <f>CZ24+DA24</f>
        <v>0</v>
      </c>
      <c r="DC24" s="659"/>
      <c r="DD24" s="659">
        <f>DB24+DC24</f>
        <v>0</v>
      </c>
      <c r="DE24" s="22">
        <f>ROW()</f>
        <v>24</v>
      </c>
      <c r="DF24" s="516" t="s">
        <v>507</v>
      </c>
      <c r="DG24" s="23"/>
      <c r="DH24" s="21">
        <v>27712466.580645163</v>
      </c>
      <c r="DI24" s="21">
        <v>6532622.449854847</v>
      </c>
      <c r="DJ24" s="729">
        <f>DH24+DI24</f>
        <v>34245089.03050001</v>
      </c>
      <c r="DK24" s="21">
        <v>0</v>
      </c>
      <c r="DL24" s="729">
        <f>DJ24+DK24</f>
        <v>34245089.03050001</v>
      </c>
      <c r="DM24" s="21">
        <v>0</v>
      </c>
      <c r="DN24" s="729">
        <f>DL24+DM24</f>
        <v>34245089.03050001</v>
      </c>
      <c r="DO24" s="21">
        <v>-5309457.8471022025</v>
      </c>
      <c r="DP24" s="729">
        <f>DN24+DO24</f>
        <v>28935631.183397807</v>
      </c>
      <c r="DQ24" s="21">
        <v>-9923258.5858978108</v>
      </c>
      <c r="DR24" s="729">
        <f>DP24+DQ24</f>
        <v>19012372.597499996</v>
      </c>
      <c r="DS24" s="21"/>
      <c r="DT24" s="729"/>
      <c r="DU24" s="21"/>
      <c r="DV24" s="729"/>
      <c r="DW24" s="22">
        <f>ROW()</f>
        <v>24</v>
      </c>
      <c r="DX24" s="1" t="s">
        <v>508</v>
      </c>
      <c r="DY24" s="959"/>
      <c r="DZ24" s="571">
        <v>110972218.59999999</v>
      </c>
      <c r="EA24" s="963">
        <v>-110972218.59999999</v>
      </c>
      <c r="EB24" s="571">
        <f t="shared" ref="EB24:ED28" si="16">DZ24+EA24</f>
        <v>0</v>
      </c>
      <c r="EC24" s="571"/>
      <c r="ED24" s="571">
        <f t="shared" si="16"/>
        <v>0</v>
      </c>
      <c r="EE24" s="571"/>
      <c r="EF24" s="571">
        <f>ED24+EE24</f>
        <v>0</v>
      </c>
      <c r="EG24" s="571"/>
      <c r="EH24" s="571">
        <f>EF24+EG24</f>
        <v>0</v>
      </c>
      <c r="EI24" s="571"/>
      <c r="EJ24" s="571">
        <f>EH24+EI24</f>
        <v>0</v>
      </c>
      <c r="EK24" s="653"/>
      <c r="EL24" s="653"/>
      <c r="EM24" s="653"/>
      <c r="EN24" s="653"/>
      <c r="EO24" s="22">
        <f>ROW()</f>
        <v>24</v>
      </c>
      <c r="EP24" s="75"/>
      <c r="EQ24" s="961"/>
      <c r="ER24" s="980"/>
      <c r="ES24" s="980"/>
      <c r="ET24" s="980"/>
      <c r="EU24" s="980"/>
      <c r="EV24" s="980"/>
      <c r="EW24" s="980"/>
      <c r="EX24" s="980"/>
      <c r="EY24" s="980"/>
      <c r="EZ24" s="980"/>
      <c r="FA24" s="980"/>
      <c r="FB24" s="980"/>
      <c r="FC24" s="980"/>
      <c r="FD24" s="980"/>
      <c r="FE24" s="19"/>
      <c r="FF24" s="19"/>
      <c r="FG24" s="22">
        <f>ROW()</f>
        <v>24</v>
      </c>
      <c r="FH24" s="28" t="s">
        <v>444</v>
      </c>
      <c r="FI24" s="37">
        <f>+'SEF-31'!E14</f>
        <v>3.8483000000000003E-2</v>
      </c>
      <c r="FJ24" s="1005">
        <v>77630.706083760015</v>
      </c>
      <c r="FK24" s="1005">
        <v>-77630.706083760015</v>
      </c>
      <c r="FL24" s="1006">
        <f>FK24+FJ24</f>
        <v>0</v>
      </c>
      <c r="FM24" s="1007"/>
      <c r="FN24" s="1007"/>
      <c r="FO24" s="1007"/>
      <c r="FP24" s="1007"/>
      <c r="FQ24" s="1007"/>
      <c r="FR24" s="1007"/>
      <c r="FS24" s="1007"/>
      <c r="FT24" s="1007"/>
      <c r="FU24" s="839">
        <f>FU22</f>
        <v>0</v>
      </c>
      <c r="FV24" s="839">
        <f>FV22</f>
        <v>0</v>
      </c>
      <c r="FW24" s="839">
        <f>FW22</f>
        <v>0</v>
      </c>
      <c r="FX24" s="839">
        <f>FX22</f>
        <v>0</v>
      </c>
      <c r="FY24" s="22">
        <f>ROW()</f>
        <v>24</v>
      </c>
      <c r="FZ24" s="75" t="s">
        <v>509</v>
      </c>
      <c r="GA24" s="75"/>
      <c r="GB24" s="847"/>
      <c r="GC24" s="847"/>
      <c r="GD24" s="847">
        <v>0</v>
      </c>
      <c r="GE24" s="988">
        <v>0</v>
      </c>
      <c r="GF24" s="847">
        <f>SUM(GD24:GE24)</f>
        <v>0</v>
      </c>
      <c r="GG24" s="988">
        <v>0</v>
      </c>
      <c r="GH24" s="847">
        <f>SUM(GF24:GG24)</f>
        <v>0</v>
      </c>
      <c r="GI24" s="988">
        <v>-215792.37</v>
      </c>
      <c r="GJ24" s="847">
        <f>SUM(GH24:GI24)</f>
        <v>-215792.37</v>
      </c>
      <c r="GK24" s="988">
        <v>-431584.74000000011</v>
      </c>
      <c r="GL24" s="847">
        <f>SUM(GJ24:GK24)</f>
        <v>-647377.1100000001</v>
      </c>
      <c r="GM24" s="64"/>
      <c r="GN24" s="64"/>
      <c r="GO24" s="64"/>
      <c r="GP24" s="64"/>
      <c r="GQ24" s="1">
        <f>ROW()</f>
        <v>24</v>
      </c>
      <c r="GR24" s="690" t="s">
        <v>332</v>
      </c>
      <c r="GS24" s="749"/>
      <c r="GT24" s="638">
        <f>SUM(GT21:GT23)</f>
        <v>2013.3315900000002</v>
      </c>
      <c r="GU24" s="638">
        <f>SUM(GU21:GU23)</f>
        <v>-2013.3315900000002</v>
      </c>
      <c r="GV24" s="78">
        <f>SUM(GV21:GV23)</f>
        <v>0</v>
      </c>
      <c r="GW24" s="78"/>
      <c r="GX24" s="78"/>
      <c r="GY24" s="78"/>
      <c r="GZ24" s="78"/>
      <c r="HA24" s="78"/>
      <c r="HB24" s="78"/>
      <c r="HC24" s="78"/>
      <c r="HD24" s="78"/>
    </row>
    <row r="25" spans="1:212" ht="15.75" thickTop="1" x14ac:dyDescent="0.25">
      <c r="A25" s="22">
        <f>ROW()</f>
        <v>25</v>
      </c>
      <c r="B25" s="965" t="s">
        <v>510</v>
      </c>
      <c r="C25" s="965"/>
      <c r="D25" s="976">
        <v>-763721180.85000002</v>
      </c>
      <c r="E25" s="976">
        <v>0</v>
      </c>
      <c r="F25" s="976">
        <f t="shared" si="0"/>
        <v>-763721180.85000002</v>
      </c>
      <c r="G25" s="976">
        <v>0</v>
      </c>
      <c r="H25" s="976">
        <f t="shared" si="1"/>
        <v>-763721180.85000002</v>
      </c>
      <c r="I25" s="976">
        <v>0</v>
      </c>
      <c r="J25" s="976">
        <f t="shared" si="3"/>
        <v>-763721180.85000002</v>
      </c>
      <c r="K25" s="977">
        <v>247451881.38243538</v>
      </c>
      <c r="L25" s="977">
        <f t="shared" si="3"/>
        <v>-516269299.46756464</v>
      </c>
      <c r="M25" s="977">
        <v>196233863.38509595</v>
      </c>
      <c r="N25" s="977">
        <f t="shared" si="3"/>
        <v>-320035436.08246869</v>
      </c>
      <c r="O25" s="978"/>
      <c r="P25" s="978"/>
      <c r="Q25" s="978"/>
      <c r="R25" s="978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K25" s="22">
        <f>ROW()</f>
        <v>25</v>
      </c>
      <c r="AL25" s="1004"/>
      <c r="AM25" s="1004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22">
        <f>ROW()</f>
        <v>25</v>
      </c>
      <c r="BD25" s="516"/>
      <c r="BE25" s="23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22">
        <f>ROW()</f>
        <v>25</v>
      </c>
      <c r="BV25" s="971" t="s">
        <v>511</v>
      </c>
      <c r="BW25" s="480"/>
      <c r="BX25" s="972"/>
      <c r="BY25" s="972"/>
      <c r="BZ25" s="78">
        <v>-551653.88</v>
      </c>
      <c r="CA25" s="78">
        <f t="shared" si="4"/>
        <v>551653.86450000212</v>
      </c>
      <c r="CB25" s="78">
        <v>-1.5499997869483195E-2</v>
      </c>
      <c r="CC25" s="78">
        <f t="shared" si="5"/>
        <v>1.5499997869483195E-2</v>
      </c>
      <c r="CD25" s="78">
        <v>0</v>
      </c>
      <c r="CE25" s="78">
        <f t="shared" si="5"/>
        <v>0</v>
      </c>
      <c r="CF25" s="78">
        <v>0</v>
      </c>
      <c r="CG25" s="78">
        <f t="shared" si="2"/>
        <v>0</v>
      </c>
      <c r="CH25" s="78">
        <v>0</v>
      </c>
      <c r="CI25" s="78"/>
      <c r="CJ25" s="78"/>
      <c r="CK25" s="78"/>
      <c r="CL25" s="78"/>
      <c r="CM25" s="22">
        <f>ROW()</f>
        <v>25</v>
      </c>
      <c r="CN25" s="1004" t="s">
        <v>512</v>
      </c>
      <c r="CO25" s="1004"/>
      <c r="CP25" s="659">
        <v>4140</v>
      </c>
      <c r="CQ25" s="659">
        <v>-4140</v>
      </c>
      <c r="CR25" s="659">
        <f>CP25+CQ25</f>
        <v>0</v>
      </c>
      <c r="CS25" s="659"/>
      <c r="CT25" s="659">
        <f>CR25+CS25</f>
        <v>0</v>
      </c>
      <c r="CU25" s="659"/>
      <c r="CV25" s="659">
        <f>CT25+CU25</f>
        <v>0</v>
      </c>
      <c r="CW25" s="659"/>
      <c r="CX25" s="659">
        <f>CV25+CW25</f>
        <v>0</v>
      </c>
      <c r="CY25" s="659"/>
      <c r="CZ25" s="659">
        <f>CX25+CY25</f>
        <v>0</v>
      </c>
      <c r="DA25" s="659"/>
      <c r="DB25" s="659">
        <f>CZ25+DA25</f>
        <v>0</v>
      </c>
      <c r="DC25" s="659"/>
      <c r="DD25" s="659">
        <f>DB25+DC25</f>
        <v>0</v>
      </c>
      <c r="DE25" s="22">
        <f>ROW()</f>
        <v>25</v>
      </c>
      <c r="DF25" s="516"/>
      <c r="DG25" s="23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22">
        <f>ROW()</f>
        <v>25</v>
      </c>
      <c r="DX25" s="1" t="s">
        <v>513</v>
      </c>
      <c r="DY25" s="959"/>
      <c r="DZ25" s="979">
        <v>0</v>
      </c>
      <c r="EA25" s="979">
        <v>0</v>
      </c>
      <c r="EB25" s="607">
        <f t="shared" si="16"/>
        <v>0</v>
      </c>
      <c r="EC25" s="607"/>
      <c r="ED25" s="607">
        <f t="shared" si="16"/>
        <v>0</v>
      </c>
      <c r="EE25" s="607"/>
      <c r="EF25" s="607">
        <f>ED25+EE25</f>
        <v>0</v>
      </c>
      <c r="EG25" s="607"/>
      <c r="EH25" s="607">
        <f>EF25+EG25</f>
        <v>0</v>
      </c>
      <c r="EI25" s="607"/>
      <c r="EJ25" s="607">
        <f>EH25+EI25</f>
        <v>0</v>
      </c>
      <c r="EK25" s="674"/>
      <c r="EL25" s="674"/>
      <c r="EM25" s="674"/>
      <c r="EN25" s="674"/>
      <c r="EO25" s="22">
        <f>ROW()</f>
        <v>25</v>
      </c>
      <c r="EP25" s="958" t="s">
        <v>480</v>
      </c>
      <c r="EQ25" s="961"/>
      <c r="ER25" s="980"/>
      <c r="ES25" s="64"/>
      <c r="ET25" s="980"/>
      <c r="EU25" s="64"/>
      <c r="EV25" s="980"/>
      <c r="EW25" s="64"/>
      <c r="EX25" s="980"/>
      <c r="EY25" s="64"/>
      <c r="EZ25" s="980"/>
      <c r="FA25" s="64"/>
      <c r="FB25" s="980"/>
      <c r="FC25" s="64"/>
      <c r="FD25" s="980"/>
      <c r="FE25" s="19"/>
      <c r="FF25" s="19"/>
      <c r="FG25" s="22">
        <f>ROW()</f>
        <v>25</v>
      </c>
      <c r="FH25" s="28" t="s">
        <v>445</v>
      </c>
      <c r="FI25" s="985"/>
      <c r="FJ25" s="1008">
        <f>SUM(FJ22:FJ24)</f>
        <v>100805.13509112001</v>
      </c>
      <c r="FK25" s="1008">
        <f>SUM(FK22:FK24)</f>
        <v>-100805.13509112001</v>
      </c>
      <c r="FL25" s="986">
        <f>SUM(FL22:FL24)</f>
        <v>0</v>
      </c>
      <c r="FM25" s="986"/>
      <c r="FN25" s="986"/>
      <c r="FO25" s="986"/>
      <c r="FP25" s="986"/>
      <c r="FQ25" s="986"/>
      <c r="FR25" s="986"/>
      <c r="FS25" s="986"/>
      <c r="FT25" s="986"/>
      <c r="FY25" s="22">
        <f>ROW()</f>
        <v>25</v>
      </c>
      <c r="FZ25" s="75"/>
      <c r="GA25" s="75"/>
      <c r="GB25" s="847"/>
      <c r="GC25" s="847"/>
      <c r="GD25" s="847"/>
      <c r="GE25" s="988"/>
      <c r="GF25" s="847"/>
      <c r="GG25" s="988"/>
      <c r="GH25" s="847"/>
      <c r="GI25" s="988"/>
      <c r="GJ25" s="847"/>
      <c r="GK25" s="988"/>
      <c r="GL25" s="847"/>
      <c r="GM25" s="980"/>
      <c r="GN25" s="980"/>
      <c r="GO25" s="980"/>
      <c r="GP25" s="980"/>
      <c r="GQ25" s="1">
        <f>ROW()</f>
        <v>25</v>
      </c>
      <c r="GR25" s="858"/>
      <c r="GS25" s="85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</row>
    <row r="26" spans="1:212" x14ac:dyDescent="0.25">
      <c r="A26" s="22">
        <f>ROW()</f>
        <v>26</v>
      </c>
      <c r="B26" s="965" t="s">
        <v>514</v>
      </c>
      <c r="C26" s="965"/>
      <c r="D26" s="976">
        <v>-123136513.55999997</v>
      </c>
      <c r="E26" s="976">
        <v>0</v>
      </c>
      <c r="F26" s="976">
        <f t="shared" si="0"/>
        <v>-123136513.55999997</v>
      </c>
      <c r="G26" s="976">
        <v>0</v>
      </c>
      <c r="H26" s="976">
        <f t="shared" si="1"/>
        <v>-123136513.55999997</v>
      </c>
      <c r="I26" s="976">
        <v>0</v>
      </c>
      <c r="J26" s="976">
        <f t="shared" si="3"/>
        <v>-123136513.55999997</v>
      </c>
      <c r="K26" s="977">
        <v>6902098.2121978998</v>
      </c>
      <c r="L26" s="977">
        <f t="shared" si="3"/>
        <v>-116234415.34780207</v>
      </c>
      <c r="M26" s="977">
        <v>7822887.5999601781</v>
      </c>
      <c r="N26" s="977">
        <f t="shared" si="3"/>
        <v>-108411527.74784189</v>
      </c>
      <c r="O26" s="1009"/>
      <c r="P26" s="1009"/>
      <c r="Q26" s="1009"/>
      <c r="R26" s="1009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K26" s="22">
        <f>ROW()</f>
        <v>26</v>
      </c>
      <c r="AL26" s="4" t="s">
        <v>313</v>
      </c>
      <c r="AM26" s="4"/>
      <c r="AN26" s="989">
        <f>SUM(AN24:AN25)</f>
        <v>219566</v>
      </c>
      <c r="AO26" s="989">
        <f>SUM(AO24:AO25)</f>
        <v>-219566</v>
      </c>
      <c r="AP26" s="989">
        <f t="shared" ref="AP26:BA26" si="17">SUM(AP24:AP25)</f>
        <v>0</v>
      </c>
      <c r="AQ26" s="989">
        <f t="shared" si="17"/>
        <v>0</v>
      </c>
      <c r="AR26" s="989">
        <f t="shared" si="17"/>
        <v>0</v>
      </c>
      <c r="AS26" s="989">
        <f t="shared" si="17"/>
        <v>0</v>
      </c>
      <c r="AT26" s="989">
        <f t="shared" si="17"/>
        <v>0</v>
      </c>
      <c r="AU26" s="989">
        <f t="shared" si="17"/>
        <v>0</v>
      </c>
      <c r="AV26" s="989">
        <f t="shared" si="17"/>
        <v>0</v>
      </c>
      <c r="AW26" s="989">
        <f t="shared" si="17"/>
        <v>0</v>
      </c>
      <c r="AX26" s="989">
        <f t="shared" si="17"/>
        <v>0</v>
      </c>
      <c r="AY26" s="989">
        <f t="shared" si="17"/>
        <v>0</v>
      </c>
      <c r="AZ26" s="989">
        <f>SUM(AZ24:AZ25)</f>
        <v>0</v>
      </c>
      <c r="BA26" s="989">
        <f t="shared" si="17"/>
        <v>0</v>
      </c>
      <c r="BB26" s="989">
        <f>SUM(BB24:BB25)</f>
        <v>0</v>
      </c>
      <c r="BC26" s="22">
        <f>ROW()</f>
        <v>26</v>
      </c>
      <c r="BD26" s="516" t="s">
        <v>243</v>
      </c>
      <c r="BE26" s="23"/>
      <c r="BF26" s="729">
        <f>+BF22</f>
        <v>7967727.2800000012</v>
      </c>
      <c r="BG26" s="729">
        <f t="shared" ref="BG26:BO26" si="18">+BG24+BG22</f>
        <v>1468332.4399999985</v>
      </c>
      <c r="BH26" s="729">
        <f t="shared" si="18"/>
        <v>9436059.7200000007</v>
      </c>
      <c r="BI26" s="729">
        <f t="shared" si="18"/>
        <v>0</v>
      </c>
      <c r="BJ26" s="729">
        <f t="shared" si="18"/>
        <v>9436059.7200000007</v>
      </c>
      <c r="BK26" s="729">
        <f t="shared" si="18"/>
        <v>0</v>
      </c>
      <c r="BL26" s="729">
        <f t="shared" si="18"/>
        <v>9436059.7200000007</v>
      </c>
      <c r="BM26" s="729">
        <f t="shared" si="18"/>
        <v>1021344.8483333332</v>
      </c>
      <c r="BN26" s="729">
        <f>+BN24+BN22</f>
        <v>10457404.568333333</v>
      </c>
      <c r="BO26" s="729">
        <f t="shared" si="18"/>
        <v>0</v>
      </c>
      <c r="BP26" s="729">
        <f>+BP24+BP22</f>
        <v>10457404.568333333</v>
      </c>
      <c r="BQ26" s="729">
        <f>+BQ24+BQ22</f>
        <v>0</v>
      </c>
      <c r="BR26" s="729">
        <f>+BR24+BR22</f>
        <v>0</v>
      </c>
      <c r="BS26" s="729">
        <f>+BS24+BS22</f>
        <v>0</v>
      </c>
      <c r="BT26" s="729">
        <f>+BT24+BT22</f>
        <v>0</v>
      </c>
      <c r="BU26" s="22">
        <f>ROW()</f>
        <v>26</v>
      </c>
      <c r="BV26" s="971" t="s">
        <v>515</v>
      </c>
      <c r="BW26" s="480"/>
      <c r="BX26" s="972"/>
      <c r="BY26" s="972"/>
      <c r="BZ26" s="78">
        <v>-1273860.42</v>
      </c>
      <c r="CA26" s="78">
        <f t="shared" si="4"/>
        <v>1273860.3749000079</v>
      </c>
      <c r="CB26" s="78">
        <v>-4.5099992072209716E-2</v>
      </c>
      <c r="CC26" s="78">
        <f t="shared" si="5"/>
        <v>4.5099992072209716E-2</v>
      </c>
      <c r="CD26" s="78">
        <v>0</v>
      </c>
      <c r="CE26" s="78">
        <f t="shared" si="5"/>
        <v>0</v>
      </c>
      <c r="CF26" s="78">
        <v>0</v>
      </c>
      <c r="CG26" s="78">
        <f t="shared" si="2"/>
        <v>0</v>
      </c>
      <c r="CH26" s="78">
        <v>0</v>
      </c>
      <c r="CI26" s="78"/>
      <c r="CJ26" s="78"/>
      <c r="CK26" s="78"/>
      <c r="CL26" s="78"/>
      <c r="CM26" s="22">
        <f>ROW()</f>
        <v>26</v>
      </c>
      <c r="CN26" s="4" t="s">
        <v>313</v>
      </c>
      <c r="CO26" s="4"/>
      <c r="CP26" s="989">
        <f t="shared" ref="CP26:DD26" si="19">SUM(CP24:CP25)</f>
        <v>118008.55999999998</v>
      </c>
      <c r="CQ26" s="989">
        <f t="shared" si="19"/>
        <v>-118008.55999999998</v>
      </c>
      <c r="CR26" s="989">
        <f t="shared" si="19"/>
        <v>0</v>
      </c>
      <c r="CS26" s="989">
        <f t="shared" si="19"/>
        <v>0</v>
      </c>
      <c r="CT26" s="989">
        <f t="shared" si="19"/>
        <v>0</v>
      </c>
      <c r="CU26" s="989">
        <f t="shared" si="19"/>
        <v>0</v>
      </c>
      <c r="CV26" s="989">
        <f t="shared" si="19"/>
        <v>0</v>
      </c>
      <c r="CW26" s="989">
        <f t="shared" si="19"/>
        <v>0</v>
      </c>
      <c r="CX26" s="989">
        <f t="shared" si="19"/>
        <v>0</v>
      </c>
      <c r="CY26" s="989">
        <f t="shared" si="19"/>
        <v>0</v>
      </c>
      <c r="CZ26" s="989">
        <f t="shared" si="19"/>
        <v>0</v>
      </c>
      <c r="DA26" s="989">
        <f t="shared" si="19"/>
        <v>0</v>
      </c>
      <c r="DB26" s="989">
        <f t="shared" si="19"/>
        <v>0</v>
      </c>
      <c r="DC26" s="989">
        <f t="shared" si="19"/>
        <v>0</v>
      </c>
      <c r="DD26" s="989">
        <f t="shared" si="19"/>
        <v>0</v>
      </c>
      <c r="DE26" s="22">
        <f>ROW()</f>
        <v>26</v>
      </c>
      <c r="DF26" s="516" t="s">
        <v>243</v>
      </c>
      <c r="DG26" s="23"/>
      <c r="DH26" s="729">
        <f t="shared" ref="DH26:DN26" si="20">+DH24+DH22</f>
        <v>27712466.580645163</v>
      </c>
      <c r="DI26" s="729">
        <f t="shared" si="20"/>
        <v>6532622.449854847</v>
      </c>
      <c r="DJ26" s="729">
        <f t="shared" si="20"/>
        <v>34245089.03050001</v>
      </c>
      <c r="DK26" s="729">
        <f t="shared" si="20"/>
        <v>0</v>
      </c>
      <c r="DL26" s="729">
        <f t="shared" si="20"/>
        <v>34245089.03050001</v>
      </c>
      <c r="DM26" s="729">
        <f t="shared" si="20"/>
        <v>0</v>
      </c>
      <c r="DN26" s="729">
        <f t="shared" si="20"/>
        <v>34245089.03050001</v>
      </c>
      <c r="DO26" s="729">
        <f>+DP26-DN26</f>
        <v>-5309457.8471022025</v>
      </c>
      <c r="DP26" s="729">
        <f>+DP24+DP22</f>
        <v>28935631.183397807</v>
      </c>
      <c r="DQ26" s="729">
        <f>+DR26-DP26</f>
        <v>-9923258.5858978108</v>
      </c>
      <c r="DR26" s="729">
        <f>+DR24+DR22</f>
        <v>19012372.597499996</v>
      </c>
      <c r="DS26" s="729"/>
      <c r="DT26" s="729"/>
      <c r="DU26" s="729"/>
      <c r="DV26" s="729"/>
      <c r="DW26" s="22">
        <f>ROW()</f>
        <v>26</v>
      </c>
      <c r="DX26" s="1" t="s">
        <v>516</v>
      </c>
      <c r="DY26" s="959"/>
      <c r="DZ26" s="979">
        <v>684270.87000000104</v>
      </c>
      <c r="EA26" s="979">
        <v>-684270.87000000104</v>
      </c>
      <c r="EB26" s="607"/>
      <c r="EC26" s="607"/>
      <c r="ED26" s="607"/>
      <c r="EE26" s="607"/>
      <c r="EF26" s="607"/>
      <c r="EG26" s="607"/>
      <c r="EH26" s="607"/>
      <c r="EI26" s="607"/>
      <c r="EJ26" s="607"/>
      <c r="EK26" s="674"/>
      <c r="EL26" s="674"/>
      <c r="EM26" s="674"/>
      <c r="EN26" s="674"/>
      <c r="EO26" s="22">
        <f>ROW()</f>
        <v>26</v>
      </c>
      <c r="EP26" s="75" t="s">
        <v>517</v>
      </c>
      <c r="EQ26" s="961"/>
      <c r="ER26" s="980">
        <v>-76622596.840000018</v>
      </c>
      <c r="ES26" s="64">
        <v>0</v>
      </c>
      <c r="ET26" s="980">
        <v>-76622596.840000018</v>
      </c>
      <c r="EU26" s="64">
        <v>0</v>
      </c>
      <c r="EV26" s="980">
        <v>-76622596.840000018</v>
      </c>
      <c r="EW26" s="64">
        <v>0</v>
      </c>
      <c r="EX26" s="980">
        <v>-76622596.840000018</v>
      </c>
      <c r="EY26" s="64">
        <v>0</v>
      </c>
      <c r="EZ26" s="980">
        <v>-76622596.840000018</v>
      </c>
      <c r="FA26" s="64">
        <v>0</v>
      </c>
      <c r="FB26" s="980">
        <v>-76622596.840000018</v>
      </c>
      <c r="FC26" s="64"/>
      <c r="FD26" s="980"/>
      <c r="FE26" s="19"/>
      <c r="FF26" s="19"/>
      <c r="FG26" s="22">
        <f>ROW()</f>
        <v>26</v>
      </c>
      <c r="FH26" s="28"/>
      <c r="FI26" s="985"/>
      <c r="FJ26" s="986"/>
      <c r="FK26" s="986"/>
      <c r="FL26" s="986"/>
      <c r="FM26" s="986"/>
      <c r="FN26" s="986"/>
      <c r="FO26" s="986"/>
      <c r="FP26" s="986"/>
      <c r="FQ26" s="986"/>
      <c r="FR26" s="986"/>
      <c r="FS26" s="986"/>
      <c r="FT26" s="986"/>
      <c r="FY26" s="22">
        <f>ROW()</f>
        <v>26</v>
      </c>
      <c r="FZ26" s="616" t="s">
        <v>518</v>
      </c>
      <c r="GA26" s="75"/>
      <c r="GB26" s="1000">
        <f>SUM(GB24:GB25)</f>
        <v>0</v>
      </c>
      <c r="GC26" s="1000">
        <f t="shared" ref="GC26:GL26" si="21">SUM(GC24:GC25)</f>
        <v>0</v>
      </c>
      <c r="GD26" s="1000">
        <f t="shared" si="21"/>
        <v>0</v>
      </c>
      <c r="GE26" s="1000">
        <f t="shared" si="21"/>
        <v>0</v>
      </c>
      <c r="GF26" s="1000">
        <f t="shared" si="21"/>
        <v>0</v>
      </c>
      <c r="GG26" s="1000">
        <f t="shared" si="21"/>
        <v>0</v>
      </c>
      <c r="GH26" s="1000">
        <f t="shared" si="21"/>
        <v>0</v>
      </c>
      <c r="GI26" s="1000">
        <f t="shared" si="21"/>
        <v>-215792.37</v>
      </c>
      <c r="GJ26" s="1000">
        <f t="shared" si="21"/>
        <v>-215792.37</v>
      </c>
      <c r="GK26" s="1000">
        <f t="shared" si="21"/>
        <v>-431584.74000000011</v>
      </c>
      <c r="GL26" s="1000">
        <f t="shared" si="21"/>
        <v>-647377.1100000001</v>
      </c>
      <c r="GM26" s="980"/>
      <c r="GN26" s="980"/>
      <c r="GO26" s="64"/>
      <c r="GP26" s="980"/>
      <c r="GQ26" s="1">
        <f>ROW()</f>
        <v>26</v>
      </c>
      <c r="GR26" s="522" t="s">
        <v>519</v>
      </c>
      <c r="GS26" s="85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</row>
    <row r="27" spans="1:212" x14ac:dyDescent="0.25">
      <c r="A27" s="22">
        <f>ROW()</f>
        <v>27</v>
      </c>
      <c r="B27" s="4" t="s">
        <v>520</v>
      </c>
      <c r="C27" s="842"/>
      <c r="D27" s="1010">
        <f t="shared" ref="D27:N27" si="22">SUM(D18:D26)</f>
        <v>1032432629</v>
      </c>
      <c r="E27" s="1010">
        <f t="shared" si="22"/>
        <v>-5237282.6104254723</v>
      </c>
      <c r="F27" s="1010">
        <f t="shared" si="22"/>
        <v>1027195346.3895745</v>
      </c>
      <c r="G27" s="1010">
        <f t="shared" si="22"/>
        <v>0</v>
      </c>
      <c r="H27" s="1010">
        <f t="shared" si="22"/>
        <v>1027195346.3895745</v>
      </c>
      <c r="I27" s="1010">
        <f t="shared" si="22"/>
        <v>0</v>
      </c>
      <c r="J27" s="1010">
        <f t="shared" si="22"/>
        <v>1027195346.3895745</v>
      </c>
      <c r="K27" s="1011">
        <f t="shared" si="22"/>
        <v>135069813.60008749</v>
      </c>
      <c r="L27" s="1011">
        <f t="shared" si="22"/>
        <v>1162265159.9896619</v>
      </c>
      <c r="M27" s="1011">
        <f t="shared" si="22"/>
        <v>26670840.013105392</v>
      </c>
      <c r="N27" s="1011">
        <f t="shared" si="22"/>
        <v>1188936000.0027671</v>
      </c>
      <c r="O27" s="1009"/>
      <c r="P27" s="1009"/>
      <c r="Q27" s="1009"/>
      <c r="R27" s="1009"/>
      <c r="AK27" s="22">
        <f>ROW()</f>
        <v>27</v>
      </c>
      <c r="AL27" s="4"/>
      <c r="AM27" s="4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22">
        <f>ROW()</f>
        <v>27</v>
      </c>
      <c r="BD27" s="516"/>
      <c r="BE27" s="23"/>
      <c r="BF27" s="668"/>
      <c r="BG27" s="668"/>
      <c r="BH27" s="668"/>
      <c r="BI27" s="668"/>
      <c r="BJ27" s="63"/>
      <c r="BK27" s="668"/>
      <c r="BL27" s="63"/>
      <c r="BM27" s="668"/>
      <c r="BN27" s="63"/>
      <c r="BO27" s="668"/>
      <c r="BP27" s="63"/>
      <c r="BQ27" s="668"/>
      <c r="BR27" s="63"/>
      <c r="BS27" s="668"/>
      <c r="BT27" s="63"/>
      <c r="BU27" s="22">
        <f>ROW()</f>
        <v>27</v>
      </c>
      <c r="BV27" s="971" t="s">
        <v>521</v>
      </c>
      <c r="BW27" s="480"/>
      <c r="BX27" s="972"/>
      <c r="BY27" s="972"/>
      <c r="BZ27" s="78">
        <v>9827956.2699999996</v>
      </c>
      <c r="CA27" s="78">
        <f t="shared" si="4"/>
        <v>-2364015.7045200784</v>
      </c>
      <c r="CB27" s="78">
        <v>7463940.5654799212</v>
      </c>
      <c r="CC27" s="78">
        <f t="shared" si="5"/>
        <v>-3864524.8459547493</v>
      </c>
      <c r="CD27" s="78">
        <v>3599415.7195251719</v>
      </c>
      <c r="CE27" s="78">
        <f t="shared" si="5"/>
        <v>-1752595.1077300678</v>
      </c>
      <c r="CF27" s="78">
        <v>1846820.6117951041</v>
      </c>
      <c r="CG27" s="78">
        <f t="shared" si="2"/>
        <v>-1842894.7081467351</v>
      </c>
      <c r="CH27" s="78">
        <v>3925.9036483689779</v>
      </c>
      <c r="CI27" s="78"/>
      <c r="CJ27" s="78"/>
      <c r="CK27" s="78"/>
      <c r="CL27" s="78"/>
      <c r="CM27" s="22">
        <f>ROW()</f>
        <v>27</v>
      </c>
      <c r="CN27" s="4"/>
      <c r="CO27" s="4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22">
        <f>ROW()</f>
        <v>27</v>
      </c>
      <c r="DF27" s="516"/>
      <c r="DG27" s="23"/>
      <c r="DH27" s="668"/>
      <c r="DI27" s="668"/>
      <c r="DJ27" s="668"/>
      <c r="DK27" s="668"/>
      <c r="DL27" s="668"/>
      <c r="DM27" s="668"/>
      <c r="DN27" s="668"/>
      <c r="DO27" s="63"/>
      <c r="DP27" s="668"/>
      <c r="DQ27" s="63"/>
      <c r="DR27" s="668"/>
      <c r="DS27" s="668"/>
      <c r="DT27" s="668"/>
      <c r="DU27" s="668"/>
      <c r="DV27" s="668"/>
      <c r="DW27" s="22">
        <f>ROW()</f>
        <v>27</v>
      </c>
      <c r="DX27" s="1" t="s">
        <v>522</v>
      </c>
      <c r="DY27" s="959"/>
      <c r="DZ27" s="979">
        <v>-23304165.899999999</v>
      </c>
      <c r="EA27" s="979">
        <v>23304165.899999999</v>
      </c>
      <c r="EB27" s="607">
        <f t="shared" si="16"/>
        <v>0</v>
      </c>
      <c r="EC27" s="607"/>
      <c r="ED27" s="607">
        <f t="shared" si="16"/>
        <v>0</v>
      </c>
      <c r="EE27" s="607"/>
      <c r="EF27" s="607">
        <f>ED27+EE27</f>
        <v>0</v>
      </c>
      <c r="EG27" s="607"/>
      <c r="EH27" s="607">
        <f>EF27+EG27</f>
        <v>0</v>
      </c>
      <c r="EI27" s="607"/>
      <c r="EJ27" s="607">
        <f>EH27+EI27</f>
        <v>0</v>
      </c>
      <c r="EK27" s="674"/>
      <c r="EL27" s="674"/>
      <c r="EM27" s="674"/>
      <c r="EN27" s="674"/>
      <c r="EO27" s="22">
        <f>ROW()</f>
        <v>27</v>
      </c>
      <c r="EP27" s="75" t="s">
        <v>523</v>
      </c>
      <c r="EQ27" s="961"/>
      <c r="ER27" s="994">
        <v>-67190885.000000015</v>
      </c>
      <c r="ES27" s="1012">
        <v>0</v>
      </c>
      <c r="ET27" s="980">
        <v>-67190885.000000015</v>
      </c>
      <c r="EU27" s="64">
        <v>-2308249.6800000072</v>
      </c>
      <c r="EV27" s="980">
        <v>-69499134.680000022</v>
      </c>
      <c r="EW27" s="64">
        <v>-4616499.3600000143</v>
      </c>
      <c r="EX27" s="980">
        <v>-74115634.040000036</v>
      </c>
      <c r="EY27" s="64">
        <v>-2308249.6800000072</v>
      </c>
      <c r="EZ27" s="980">
        <v>-76423883.720000044</v>
      </c>
      <c r="FA27" s="64">
        <v>-4616499.3600000143</v>
      </c>
      <c r="FB27" s="980">
        <v>-81040383.080000058</v>
      </c>
      <c r="FC27" s="64"/>
      <c r="FD27" s="980"/>
      <c r="FE27" s="64"/>
      <c r="FF27" s="980"/>
      <c r="FG27" s="22">
        <f>ROW()</f>
        <v>27</v>
      </c>
      <c r="FH27" s="28"/>
      <c r="FI27" s="985"/>
      <c r="FJ27" s="986"/>
      <c r="FK27" s="986"/>
      <c r="FL27" s="986"/>
      <c r="FM27" s="986"/>
      <c r="FN27" s="986"/>
      <c r="FO27" s="986"/>
      <c r="FP27" s="986"/>
      <c r="FQ27" s="986"/>
      <c r="FR27" s="986"/>
      <c r="FS27" s="986"/>
      <c r="FT27" s="986"/>
      <c r="FY27" s="22">
        <f>ROW()</f>
        <v>27</v>
      </c>
      <c r="FZ27" s="75"/>
      <c r="GA27" s="75"/>
      <c r="GB27" s="847"/>
      <c r="GC27" s="847"/>
      <c r="GD27" s="847"/>
      <c r="GE27" s="988"/>
      <c r="GF27" s="847"/>
      <c r="GG27" s="988"/>
      <c r="GH27" s="847"/>
      <c r="GI27" s="988"/>
      <c r="GJ27" s="847"/>
      <c r="GK27" s="988"/>
      <c r="GL27" s="847"/>
      <c r="GM27" s="64"/>
      <c r="GN27" s="64"/>
      <c r="GO27" s="64"/>
      <c r="GP27" s="64"/>
      <c r="GQ27" s="1">
        <f>ROW()</f>
        <v>27</v>
      </c>
      <c r="GR27" s="858" t="s">
        <v>524</v>
      </c>
      <c r="GS27" s="858"/>
      <c r="GT27" s="78">
        <v>-1953347.16</v>
      </c>
      <c r="GU27" s="78">
        <v>1953347.16</v>
      </c>
      <c r="GV27" s="78">
        <f>GT27+GU27</f>
        <v>0</v>
      </c>
      <c r="GW27" s="78"/>
      <c r="GX27" s="78"/>
      <c r="GY27" s="78"/>
      <c r="GZ27" s="78"/>
      <c r="HA27" s="78"/>
      <c r="HB27" s="78"/>
      <c r="HC27" s="78"/>
      <c r="HD27" s="78"/>
    </row>
    <row r="28" spans="1:212" x14ac:dyDescent="0.25">
      <c r="A28" s="22">
        <f>ROW()</f>
        <v>28</v>
      </c>
      <c r="B28" s="842" t="s">
        <v>306</v>
      </c>
      <c r="C28" s="842"/>
      <c r="D28" s="1009"/>
      <c r="E28" s="1009"/>
      <c r="F28" s="1009"/>
      <c r="G28" s="1009"/>
      <c r="H28" s="1009"/>
      <c r="I28" s="1009"/>
      <c r="J28" s="1009"/>
      <c r="K28" s="1009"/>
      <c r="L28" s="1009"/>
      <c r="M28" s="1009"/>
      <c r="N28" s="1009"/>
      <c r="O28" s="1009"/>
      <c r="P28" s="1009"/>
      <c r="Q28" s="1009"/>
      <c r="R28" s="1009"/>
      <c r="AK28" s="22">
        <f>ROW()</f>
        <v>28</v>
      </c>
      <c r="AL28" s="23" t="s">
        <v>283</v>
      </c>
      <c r="AM28" s="1013">
        <v>0.21</v>
      </c>
      <c r="AN28" s="659">
        <f>-$AM$28*AN26</f>
        <v>-46108.86</v>
      </c>
      <c r="AO28" s="659">
        <f>-$AM$28*AO26</f>
        <v>46108.86</v>
      </c>
      <c r="AP28" s="659">
        <f t="shared" ref="AP28:AX28" si="23">-$AM$28*AP26</f>
        <v>0</v>
      </c>
      <c r="AQ28" s="659">
        <f t="shared" si="23"/>
        <v>0</v>
      </c>
      <c r="AR28" s="659">
        <f t="shared" si="23"/>
        <v>0</v>
      </c>
      <c r="AS28" s="659">
        <f t="shared" si="23"/>
        <v>0</v>
      </c>
      <c r="AT28" s="659">
        <f t="shared" si="23"/>
        <v>0</v>
      </c>
      <c r="AU28" s="659">
        <f t="shared" si="23"/>
        <v>0</v>
      </c>
      <c r="AV28" s="659">
        <f t="shared" si="23"/>
        <v>0</v>
      </c>
      <c r="AW28" s="659">
        <f t="shared" si="23"/>
        <v>0</v>
      </c>
      <c r="AX28" s="659">
        <f t="shared" si="23"/>
        <v>0</v>
      </c>
      <c r="AY28" s="659"/>
      <c r="AZ28" s="659">
        <f>-$AM$28*AZ26</f>
        <v>0</v>
      </c>
      <c r="BA28" s="659"/>
      <c r="BB28" s="659">
        <f>-$AM$28*BB26</f>
        <v>0</v>
      </c>
      <c r="BC28" s="22">
        <f>ROW()</f>
        <v>28</v>
      </c>
      <c r="BD28" s="516" t="s">
        <v>283</v>
      </c>
      <c r="BE28" s="56">
        <v>0.21</v>
      </c>
      <c r="BF28" s="668">
        <f t="shared" ref="BF28:BO28" si="24">-BF26*$BE$28</f>
        <v>-1673222.7288000002</v>
      </c>
      <c r="BG28" s="668">
        <f t="shared" si="24"/>
        <v>-308349.8123999997</v>
      </c>
      <c r="BH28" s="668">
        <f t="shared" si="24"/>
        <v>-1981572.5412000001</v>
      </c>
      <c r="BI28" s="668">
        <f t="shared" si="24"/>
        <v>0</v>
      </c>
      <c r="BJ28" s="668">
        <f t="shared" si="24"/>
        <v>-1981572.5412000001</v>
      </c>
      <c r="BK28" s="668">
        <f t="shared" si="24"/>
        <v>0</v>
      </c>
      <c r="BL28" s="668">
        <f t="shared" si="24"/>
        <v>-1981572.5412000001</v>
      </c>
      <c r="BM28" s="668">
        <f t="shared" si="24"/>
        <v>-214482.41814999995</v>
      </c>
      <c r="BN28" s="668">
        <f>-BN26*$BE$28</f>
        <v>-2196054.9593500001</v>
      </c>
      <c r="BO28" s="668">
        <f t="shared" si="24"/>
        <v>0</v>
      </c>
      <c r="BP28" s="668">
        <f>-BP26*$BE$28</f>
        <v>-2196054.9593500001</v>
      </c>
      <c r="BQ28" s="668">
        <f>-BQ26*$BE$28</f>
        <v>0</v>
      </c>
      <c r="BR28" s="668">
        <f>-BR26*$BE$28</f>
        <v>0</v>
      </c>
      <c r="BS28" s="668">
        <f>-BS26*$BE$28</f>
        <v>0</v>
      </c>
      <c r="BT28" s="668">
        <f>-BT26*$BE$28</f>
        <v>0</v>
      </c>
      <c r="BU28" s="22">
        <f>ROW()</f>
        <v>28</v>
      </c>
      <c r="BV28" s="971" t="s">
        <v>525</v>
      </c>
      <c r="BW28" s="480"/>
      <c r="BX28" s="972"/>
      <c r="BY28" s="972"/>
      <c r="BZ28" s="78">
        <v>17933044.360000003</v>
      </c>
      <c r="CA28" s="78">
        <f t="shared" si="4"/>
        <v>-2772431.1385709178</v>
      </c>
      <c r="CB28" s="78">
        <v>15160613.221429085</v>
      </c>
      <c r="CC28" s="78">
        <f t="shared" si="5"/>
        <v>-6364826.1023736186</v>
      </c>
      <c r="CD28" s="78">
        <v>8795787.1190554667</v>
      </c>
      <c r="CE28" s="78">
        <f t="shared" si="5"/>
        <v>-3191095.5935868043</v>
      </c>
      <c r="CF28" s="78">
        <v>5604691.5254686624</v>
      </c>
      <c r="CG28" s="78">
        <f t="shared" si="2"/>
        <v>-4450603.2643013699</v>
      </c>
      <c r="CH28" s="78">
        <v>1154088.2611672923</v>
      </c>
      <c r="CI28" s="78"/>
      <c r="CJ28" s="78"/>
      <c r="CK28" s="78"/>
      <c r="CL28" s="78"/>
      <c r="CM28" s="22">
        <f>ROW()</f>
        <v>28</v>
      </c>
      <c r="CN28" s="23" t="s">
        <v>283</v>
      </c>
      <c r="CO28" s="1013">
        <v>0.21</v>
      </c>
      <c r="CP28" s="659">
        <f t="shared" ref="CP28:DD28" si="25">-$CO$28*CP26</f>
        <v>-24781.797599999994</v>
      </c>
      <c r="CQ28" s="659">
        <f t="shared" si="25"/>
        <v>24781.797599999994</v>
      </c>
      <c r="CR28" s="659">
        <f t="shared" si="25"/>
        <v>0</v>
      </c>
      <c r="CS28" s="659">
        <f t="shared" si="25"/>
        <v>0</v>
      </c>
      <c r="CT28" s="659">
        <f t="shared" si="25"/>
        <v>0</v>
      </c>
      <c r="CU28" s="659">
        <f t="shared" si="25"/>
        <v>0</v>
      </c>
      <c r="CV28" s="659">
        <f t="shared" si="25"/>
        <v>0</v>
      </c>
      <c r="CW28" s="659">
        <f t="shared" si="25"/>
        <v>0</v>
      </c>
      <c r="CX28" s="659">
        <f t="shared" si="25"/>
        <v>0</v>
      </c>
      <c r="CY28" s="659">
        <f t="shared" si="25"/>
        <v>0</v>
      </c>
      <c r="CZ28" s="659">
        <f>-$CO$28*CZ26</f>
        <v>0</v>
      </c>
      <c r="DA28" s="659">
        <f t="shared" si="25"/>
        <v>0</v>
      </c>
      <c r="DB28" s="659">
        <f t="shared" si="25"/>
        <v>0</v>
      </c>
      <c r="DC28" s="659">
        <f t="shared" si="25"/>
        <v>0</v>
      </c>
      <c r="DD28" s="659">
        <f t="shared" si="25"/>
        <v>0</v>
      </c>
      <c r="DE28" s="22">
        <f>ROW()</f>
        <v>28</v>
      </c>
      <c r="DF28" s="516" t="s">
        <v>283</v>
      </c>
      <c r="DG28" s="56">
        <v>0.21</v>
      </c>
      <c r="DH28" s="668">
        <f>-DH26*$DG$28</f>
        <v>-5819617.9819354843</v>
      </c>
      <c r="DI28" s="668">
        <f t="shared" ref="DI28:DV28" si="26">-DI26*$DG$28</f>
        <v>-1371850.7144695178</v>
      </c>
      <c r="DJ28" s="668">
        <f t="shared" si="26"/>
        <v>-7191468.6964050019</v>
      </c>
      <c r="DK28" s="668">
        <f t="shared" si="26"/>
        <v>0</v>
      </c>
      <c r="DL28" s="668">
        <f>-DL26*$DG$28</f>
        <v>-7191468.6964050019</v>
      </c>
      <c r="DM28" s="668">
        <f>-DM26*$DG$28</f>
        <v>0</v>
      </c>
      <c r="DN28" s="668">
        <f>-DN26*$DG$28</f>
        <v>-7191468.6964050019</v>
      </c>
      <c r="DO28" s="668">
        <f t="shared" si="26"/>
        <v>1114986.1478914625</v>
      </c>
      <c r="DP28" s="668">
        <f t="shared" si="26"/>
        <v>-6076482.5485135391</v>
      </c>
      <c r="DQ28" s="668">
        <f t="shared" si="26"/>
        <v>2083884.3030385403</v>
      </c>
      <c r="DR28" s="668">
        <f t="shared" si="26"/>
        <v>-3992598.2454749993</v>
      </c>
      <c r="DS28" s="668">
        <f t="shared" si="26"/>
        <v>0</v>
      </c>
      <c r="DT28" s="668">
        <f t="shared" si="26"/>
        <v>0</v>
      </c>
      <c r="DU28" s="668">
        <f t="shared" si="26"/>
        <v>0</v>
      </c>
      <c r="DV28" s="668">
        <f t="shared" si="26"/>
        <v>0</v>
      </c>
      <c r="DW28" s="22">
        <f>ROW()</f>
        <v>28</v>
      </c>
      <c r="DX28" s="1" t="s">
        <v>526</v>
      </c>
      <c r="DY28" s="959"/>
      <c r="DZ28" s="979">
        <v>0</v>
      </c>
      <c r="EA28" s="979">
        <v>0</v>
      </c>
      <c r="EB28" s="607">
        <f t="shared" si="16"/>
        <v>0</v>
      </c>
      <c r="EC28" s="607"/>
      <c r="ED28" s="607">
        <f t="shared" si="16"/>
        <v>0</v>
      </c>
      <c r="EE28" s="607"/>
      <c r="EF28" s="607">
        <f>ED28+EE28</f>
        <v>0</v>
      </c>
      <c r="EG28" s="607"/>
      <c r="EH28" s="607">
        <f>EF28+EG28</f>
        <v>0</v>
      </c>
      <c r="EI28" s="607"/>
      <c r="EJ28" s="607">
        <f>EH28+EI28</f>
        <v>0</v>
      </c>
      <c r="EK28" s="674"/>
      <c r="EL28" s="674"/>
      <c r="EM28" s="674"/>
      <c r="EN28" s="674"/>
      <c r="EO28" s="22">
        <f>ROW()</f>
        <v>28</v>
      </c>
      <c r="EP28" s="75" t="s">
        <v>527</v>
      </c>
      <c r="EQ28" s="961"/>
      <c r="ER28" s="994">
        <v>-12164734.070000004</v>
      </c>
      <c r="ES28" s="1012">
        <v>0</v>
      </c>
      <c r="ET28" s="980">
        <v>-12164734.070000004</v>
      </c>
      <c r="EU28" s="64">
        <v>-572496.90000000224</v>
      </c>
      <c r="EV28" s="980">
        <v>-12737230.970000006</v>
      </c>
      <c r="EW28" s="64">
        <v>-1144993.8000000045</v>
      </c>
      <c r="EX28" s="980">
        <v>-13882224.770000011</v>
      </c>
      <c r="EY28" s="64">
        <v>-572496.9000000041</v>
      </c>
      <c r="EZ28" s="980">
        <v>-14454721.670000015</v>
      </c>
      <c r="FA28" s="64">
        <v>-1144993.8000000045</v>
      </c>
      <c r="FB28" s="980">
        <v>-15599715.470000019</v>
      </c>
      <c r="FC28" s="64"/>
      <c r="FD28" s="980"/>
      <c r="FE28" s="64"/>
      <c r="FF28" s="980"/>
      <c r="FG28" s="22">
        <f>ROW()</f>
        <v>28</v>
      </c>
      <c r="FH28" s="981" t="s">
        <v>528</v>
      </c>
      <c r="FI28" s="975"/>
      <c r="FJ28" s="986"/>
      <c r="FK28" s="986"/>
      <c r="FL28" s="986"/>
      <c r="FM28" s="986"/>
      <c r="FN28" s="986"/>
      <c r="FO28" s="986"/>
      <c r="FP28" s="986"/>
      <c r="FQ28" s="986"/>
      <c r="FR28" s="986"/>
      <c r="FS28" s="986"/>
      <c r="FT28" s="986"/>
      <c r="FY28" s="22">
        <f>ROW()</f>
        <v>28</v>
      </c>
      <c r="FZ28" s="75" t="s">
        <v>529</v>
      </c>
      <c r="GA28" s="75"/>
      <c r="GB28" s="847"/>
      <c r="GC28" s="847"/>
      <c r="GD28" s="847">
        <v>0</v>
      </c>
      <c r="GE28" s="988">
        <v>-181265.59080000001</v>
      </c>
      <c r="GF28" s="847">
        <f>SUM(GD28:GE28)</f>
        <v>-181265.59080000001</v>
      </c>
      <c r="GG28" s="988">
        <v>0</v>
      </c>
      <c r="GH28" s="847">
        <f>SUM(GF28:GG28)</f>
        <v>-181265.59080000001</v>
      </c>
      <c r="GI28" s="988">
        <v>45316.397700000001</v>
      </c>
      <c r="GJ28" s="847">
        <f>SUM(GH28:GI28)</f>
        <v>-135949.1931</v>
      </c>
      <c r="GK28" s="988">
        <v>90632.795400000061</v>
      </c>
      <c r="GL28" s="847">
        <f>SUM(GJ28:GK28)</f>
        <v>-45316.397699999943</v>
      </c>
      <c r="GM28" s="64"/>
      <c r="GN28" s="64"/>
      <c r="GO28" s="64"/>
      <c r="GP28" s="64"/>
      <c r="GQ28" s="1">
        <f>ROW()</f>
        <v>28</v>
      </c>
      <c r="GR28" s="866" t="s">
        <v>530</v>
      </c>
      <c r="GS28" s="866"/>
      <c r="GT28" s="651">
        <v>-120791</v>
      </c>
      <c r="GU28" s="651">
        <f>-GT28</f>
        <v>120791</v>
      </c>
      <c r="GV28" s="651">
        <f>GT28+GU28</f>
        <v>0</v>
      </c>
      <c r="GW28" s="651"/>
      <c r="GX28" s="651"/>
      <c r="GY28" s="651"/>
      <c r="GZ28" s="651"/>
      <c r="HA28" s="651"/>
      <c r="HB28" s="651"/>
      <c r="HC28" s="651"/>
      <c r="HD28" s="651"/>
    </row>
    <row r="29" spans="1:212" ht="16.5" thickBot="1" x14ac:dyDescent="0.3">
      <c r="A29" s="22">
        <f>ROW()</f>
        <v>29</v>
      </c>
      <c r="B29" s="842" t="s">
        <v>531</v>
      </c>
      <c r="C29" s="842"/>
      <c r="D29" s="1009"/>
      <c r="E29" s="1009"/>
      <c r="F29" s="1009"/>
      <c r="G29" s="1009"/>
      <c r="H29" s="1009"/>
      <c r="I29" s="1009"/>
      <c r="J29" s="1009"/>
      <c r="K29" s="1009"/>
      <c r="L29" s="1009"/>
      <c r="M29" s="1009"/>
      <c r="N29" s="1009"/>
      <c r="O29" s="978"/>
      <c r="P29" s="978"/>
      <c r="Q29" s="978"/>
      <c r="R29" s="978"/>
      <c r="S29" s="22"/>
      <c r="AK29" s="22">
        <f>ROW()</f>
        <v>29</v>
      </c>
      <c r="AL29" s="28" t="s">
        <v>240</v>
      </c>
      <c r="AM29" s="28"/>
      <c r="AN29" s="783">
        <f>-AN26-AN28</f>
        <v>-173457.14</v>
      </c>
      <c r="AO29" s="783">
        <f>-AO26-AO28</f>
        <v>173457.14</v>
      </c>
      <c r="AP29" s="783">
        <f t="shared" ref="AP29:BA29" si="27">-AP26-AP28</f>
        <v>0</v>
      </c>
      <c r="AQ29" s="783">
        <f t="shared" si="27"/>
        <v>0</v>
      </c>
      <c r="AR29" s="783">
        <f t="shared" si="27"/>
        <v>0</v>
      </c>
      <c r="AS29" s="783">
        <f t="shared" si="27"/>
        <v>0</v>
      </c>
      <c r="AT29" s="783">
        <f t="shared" si="27"/>
        <v>0</v>
      </c>
      <c r="AU29" s="783">
        <f t="shared" si="27"/>
        <v>0</v>
      </c>
      <c r="AV29" s="783">
        <f t="shared" si="27"/>
        <v>0</v>
      </c>
      <c r="AW29" s="783">
        <f t="shared" si="27"/>
        <v>0</v>
      </c>
      <c r="AX29" s="783">
        <f t="shared" si="27"/>
        <v>0</v>
      </c>
      <c r="AY29" s="783">
        <f t="shared" si="27"/>
        <v>0</v>
      </c>
      <c r="AZ29" s="783">
        <f>-AZ26-AZ28</f>
        <v>0</v>
      </c>
      <c r="BA29" s="783">
        <f t="shared" si="27"/>
        <v>0</v>
      </c>
      <c r="BB29" s="783">
        <f>-BB26-BB28</f>
        <v>0</v>
      </c>
      <c r="BC29" s="22">
        <f>ROW()</f>
        <v>29</v>
      </c>
      <c r="BD29" s="516"/>
      <c r="BE29" s="23"/>
      <c r="BF29" s="1014"/>
      <c r="BG29" s="1014"/>
      <c r="BH29" s="1014"/>
      <c r="BI29" s="1014"/>
      <c r="BJ29" s="1014"/>
      <c r="BK29" s="1014"/>
      <c r="BL29" s="1014"/>
      <c r="BM29" s="1014"/>
      <c r="BN29" s="1014"/>
      <c r="BO29" s="1014"/>
      <c r="BP29" s="1014"/>
      <c r="BQ29" s="1014"/>
      <c r="BR29" s="1014"/>
      <c r="BS29" s="1014"/>
      <c r="BT29" s="1014"/>
      <c r="BU29" s="22">
        <f>ROW()</f>
        <v>29</v>
      </c>
      <c r="BV29" s="971" t="s">
        <v>532</v>
      </c>
      <c r="BW29" s="480"/>
      <c r="BX29" s="972"/>
      <c r="BY29" s="972"/>
      <c r="BZ29" s="78">
        <v>5425106.9799999995</v>
      </c>
      <c r="CA29" s="78">
        <f t="shared" si="4"/>
        <v>-844775.92600443121</v>
      </c>
      <c r="CB29" s="78">
        <v>4580331.0539955683</v>
      </c>
      <c r="CC29" s="78">
        <f t="shared" si="5"/>
        <v>-1668527.4000000004</v>
      </c>
      <c r="CD29" s="78">
        <v>2911803.6539955679</v>
      </c>
      <c r="CE29" s="78">
        <f t="shared" si="5"/>
        <v>-693148.21199999936</v>
      </c>
      <c r="CF29" s="78">
        <v>2218655.4419955686</v>
      </c>
      <c r="CG29" s="78">
        <f t="shared" si="2"/>
        <v>-1386296.4239999987</v>
      </c>
      <c r="CH29" s="78">
        <v>832359.01799556985</v>
      </c>
      <c r="CI29" s="78"/>
      <c r="CJ29" s="78"/>
      <c r="CK29" s="78"/>
      <c r="CL29" s="78"/>
      <c r="CM29" s="22">
        <f>ROW()</f>
        <v>29</v>
      </c>
      <c r="CN29" s="28" t="s">
        <v>240</v>
      </c>
      <c r="CO29" s="28"/>
      <c r="CP29" s="783">
        <f t="shared" ref="CP29:DD29" si="28">-CP26-CP28</f>
        <v>-93226.762399999992</v>
      </c>
      <c r="CQ29" s="783">
        <f t="shared" si="28"/>
        <v>93226.762399999992</v>
      </c>
      <c r="CR29" s="783">
        <f t="shared" si="28"/>
        <v>0</v>
      </c>
      <c r="CS29" s="783">
        <f t="shared" si="28"/>
        <v>0</v>
      </c>
      <c r="CT29" s="783">
        <f t="shared" si="28"/>
        <v>0</v>
      </c>
      <c r="CU29" s="783">
        <f t="shared" si="28"/>
        <v>0</v>
      </c>
      <c r="CV29" s="783">
        <f t="shared" si="28"/>
        <v>0</v>
      </c>
      <c r="CW29" s="783">
        <f t="shared" si="28"/>
        <v>0</v>
      </c>
      <c r="CX29" s="783">
        <f t="shared" si="28"/>
        <v>0</v>
      </c>
      <c r="CY29" s="783">
        <f t="shared" si="28"/>
        <v>0</v>
      </c>
      <c r="CZ29" s="783">
        <f t="shared" si="28"/>
        <v>0</v>
      </c>
      <c r="DA29" s="783">
        <f t="shared" si="28"/>
        <v>0</v>
      </c>
      <c r="DB29" s="783">
        <f t="shared" si="28"/>
        <v>0</v>
      </c>
      <c r="DC29" s="783">
        <f t="shared" si="28"/>
        <v>0</v>
      </c>
      <c r="DD29" s="783">
        <f t="shared" si="28"/>
        <v>0</v>
      </c>
      <c r="DE29" s="22">
        <f>ROW()</f>
        <v>29</v>
      </c>
      <c r="DF29" s="516"/>
      <c r="DG29" s="23"/>
      <c r="DH29" s="1014"/>
      <c r="DI29" s="1014"/>
      <c r="DJ29" s="1014"/>
      <c r="DK29" s="1014"/>
      <c r="DL29" s="1014"/>
      <c r="DM29" s="1014"/>
      <c r="DN29" s="1014"/>
      <c r="DO29" s="1014"/>
      <c r="DP29" s="1014"/>
      <c r="DQ29" s="1014"/>
      <c r="DR29" s="1014"/>
      <c r="DS29" s="1014"/>
      <c r="DT29" s="1014"/>
      <c r="DU29" s="1014"/>
      <c r="DV29" s="1014"/>
      <c r="DW29" s="22">
        <f>ROW()</f>
        <v>29</v>
      </c>
      <c r="DX29" s="522" t="s">
        <v>533</v>
      </c>
      <c r="DY29" s="959"/>
      <c r="DZ29" s="982">
        <f t="shared" ref="DZ29:EJ29" si="29">SUM(DZ24:DZ28)</f>
        <v>88352323.569999993</v>
      </c>
      <c r="EA29" s="982">
        <f t="shared" si="29"/>
        <v>-88352323.569999993</v>
      </c>
      <c r="EB29" s="982">
        <f t="shared" si="29"/>
        <v>0</v>
      </c>
      <c r="EC29" s="982">
        <f t="shared" si="29"/>
        <v>0</v>
      </c>
      <c r="ED29" s="982">
        <f t="shared" si="29"/>
        <v>0</v>
      </c>
      <c r="EE29" s="982">
        <f t="shared" si="29"/>
        <v>0</v>
      </c>
      <c r="EF29" s="982">
        <f t="shared" si="29"/>
        <v>0</v>
      </c>
      <c r="EG29" s="982">
        <f t="shared" si="29"/>
        <v>0</v>
      </c>
      <c r="EH29" s="982">
        <f t="shared" si="29"/>
        <v>0</v>
      </c>
      <c r="EI29" s="982">
        <f t="shared" si="29"/>
        <v>0</v>
      </c>
      <c r="EJ29" s="982">
        <f t="shared" si="29"/>
        <v>0</v>
      </c>
      <c r="EK29" s="993"/>
      <c r="EL29" s="993"/>
      <c r="EM29" s="993"/>
      <c r="EN29" s="993"/>
      <c r="EO29" s="22">
        <f>ROW()</f>
        <v>29</v>
      </c>
      <c r="EP29" s="75" t="s">
        <v>534</v>
      </c>
      <c r="EQ29" s="961"/>
      <c r="ER29" s="1002">
        <f>SUM(ER26:ER28)</f>
        <v>-155978215.91000003</v>
      </c>
      <c r="ES29" s="1002">
        <f t="shared" ref="ES29:FF29" si="30">SUM(ES26:ES28)</f>
        <v>0</v>
      </c>
      <c r="ET29" s="1002">
        <f t="shared" si="30"/>
        <v>-155978215.91000003</v>
      </c>
      <c r="EU29" s="1002">
        <f t="shared" si="30"/>
        <v>-2880746.5800000094</v>
      </c>
      <c r="EV29" s="1002">
        <f t="shared" si="30"/>
        <v>-158858962.49000004</v>
      </c>
      <c r="EW29" s="1002">
        <f t="shared" si="30"/>
        <v>-5761493.1600000188</v>
      </c>
      <c r="EX29" s="1002">
        <f t="shared" si="30"/>
        <v>-164620455.65000007</v>
      </c>
      <c r="EY29" s="1002">
        <f t="shared" si="30"/>
        <v>-2880746.5800000113</v>
      </c>
      <c r="EZ29" s="1002">
        <f t="shared" si="30"/>
        <v>-167501202.23000008</v>
      </c>
      <c r="FA29" s="1002">
        <f t="shared" si="30"/>
        <v>-5761493.1600000188</v>
      </c>
      <c r="FB29" s="1002">
        <f t="shared" si="30"/>
        <v>-173262695.3900001</v>
      </c>
      <c r="FC29" s="1002">
        <f t="shared" si="30"/>
        <v>0</v>
      </c>
      <c r="FD29" s="1002">
        <f t="shared" si="30"/>
        <v>0</v>
      </c>
      <c r="FE29" s="1002">
        <f t="shared" si="30"/>
        <v>0</v>
      </c>
      <c r="FF29" s="1002">
        <f t="shared" si="30"/>
        <v>0</v>
      </c>
      <c r="FG29" s="22">
        <f>ROW()</f>
        <v>29</v>
      </c>
      <c r="FH29" s="555" t="s">
        <v>535</v>
      </c>
      <c r="FI29" s="975"/>
      <c r="FJ29" s="963">
        <v>550705.2458244093</v>
      </c>
      <c r="FK29" s="963">
        <v>-550705.2458244093</v>
      </c>
      <c r="FL29" s="963">
        <f>FK29+FJ29</f>
        <v>0</v>
      </c>
      <c r="FM29" s="963"/>
      <c r="FN29" s="963">
        <f>FM29+FL29</f>
        <v>0</v>
      </c>
      <c r="FO29" s="963"/>
      <c r="FP29" s="963">
        <f>FO29+FN29</f>
        <v>0</v>
      </c>
      <c r="FQ29" s="963"/>
      <c r="FR29" s="963">
        <f>FQ29+FP29</f>
        <v>0</v>
      </c>
      <c r="FS29" s="963"/>
      <c r="FT29" s="963">
        <f>FS29+FR29</f>
        <v>0</v>
      </c>
      <c r="FY29" s="22">
        <f>ROW()</f>
        <v>29</v>
      </c>
      <c r="FZ29" s="75"/>
      <c r="GA29" s="75"/>
      <c r="GB29" s="847"/>
      <c r="GC29" s="847"/>
      <c r="GD29" s="847"/>
      <c r="GE29" s="988"/>
      <c r="GF29" s="847"/>
      <c r="GG29" s="988"/>
      <c r="GH29" s="847"/>
      <c r="GI29" s="988"/>
      <c r="GJ29" s="847"/>
      <c r="GK29" s="988"/>
      <c r="GL29" s="847"/>
      <c r="GM29" s="64"/>
      <c r="GN29" s="64"/>
      <c r="GO29" s="64"/>
      <c r="GP29" s="64"/>
      <c r="GQ29" s="1">
        <f>ROW()</f>
        <v>29</v>
      </c>
      <c r="GR29" s="690" t="s">
        <v>332</v>
      </c>
      <c r="GS29" s="749"/>
      <c r="GT29" s="78">
        <f>SUM(GT27:GT28)</f>
        <v>-2074138.16</v>
      </c>
      <c r="GU29" s="78">
        <f>SUM(GU27:GU28)</f>
        <v>2074138.16</v>
      </c>
      <c r="GV29" s="78">
        <f>SUM(GV27:GV28)</f>
        <v>0</v>
      </c>
      <c r="GW29" s="78"/>
      <c r="GX29" s="78"/>
      <c r="GY29" s="78"/>
      <c r="GZ29" s="78"/>
      <c r="HA29" s="78"/>
      <c r="HB29" s="78"/>
      <c r="HC29" s="78"/>
      <c r="HD29" s="78"/>
    </row>
    <row r="30" spans="1:212" ht="16.5" thickTop="1" thickBot="1" x14ac:dyDescent="0.3">
      <c r="A30" s="22">
        <f>ROW()</f>
        <v>30</v>
      </c>
      <c r="B30" s="513" t="s">
        <v>536</v>
      </c>
      <c r="C30" s="842"/>
      <c r="D30" s="976">
        <v>95354541.540000007</v>
      </c>
      <c r="E30" s="976">
        <v>0</v>
      </c>
      <c r="F30" s="976">
        <f>SUM(D30:E30)</f>
        <v>95354541.540000007</v>
      </c>
      <c r="G30" s="976">
        <v>0</v>
      </c>
      <c r="H30" s="976">
        <f>SUM(F30:G30)</f>
        <v>95354541.540000007</v>
      </c>
      <c r="I30" s="976">
        <v>0</v>
      </c>
      <c r="J30" s="976">
        <f>SUM(H30:I30)</f>
        <v>95354541.540000007</v>
      </c>
      <c r="K30" s="976">
        <v>4574732.7350178957</v>
      </c>
      <c r="L30" s="976">
        <f>SUM(J30:K30)</f>
        <v>99929274.275017902</v>
      </c>
      <c r="M30" s="976">
        <v>9528835.464643538</v>
      </c>
      <c r="N30" s="976">
        <f>SUM(L30:M30)</f>
        <v>109458109.73966144</v>
      </c>
      <c r="O30" s="978"/>
      <c r="P30" s="978"/>
      <c r="Q30" s="978"/>
      <c r="R30" s="978"/>
      <c r="S30" s="22"/>
      <c r="BC30" s="22">
        <f>ROW()</f>
        <v>30</v>
      </c>
      <c r="BD30" s="516" t="s">
        <v>240</v>
      </c>
      <c r="BE30" s="23"/>
      <c r="BF30" s="734">
        <f t="shared" ref="BF30:BO30" si="31">-SUM(BF26:BF28)</f>
        <v>-6294504.5512000006</v>
      </c>
      <c r="BG30" s="734">
        <f t="shared" si="31"/>
        <v>-1159982.6275999988</v>
      </c>
      <c r="BH30" s="734">
        <f t="shared" si="31"/>
        <v>-7454487.1788000008</v>
      </c>
      <c r="BI30" s="734">
        <f t="shared" si="31"/>
        <v>0</v>
      </c>
      <c r="BJ30" s="734">
        <f t="shared" si="31"/>
        <v>-7454487.1788000008</v>
      </c>
      <c r="BK30" s="734">
        <f t="shared" si="31"/>
        <v>0</v>
      </c>
      <c r="BL30" s="734">
        <f t="shared" si="31"/>
        <v>-7454487.1788000008</v>
      </c>
      <c r="BM30" s="734">
        <f t="shared" si="31"/>
        <v>-806862.43018333323</v>
      </c>
      <c r="BN30" s="734">
        <f>-SUM(BN26:BN28)</f>
        <v>-8261349.6089833332</v>
      </c>
      <c r="BO30" s="734">
        <f t="shared" si="31"/>
        <v>0</v>
      </c>
      <c r="BP30" s="734">
        <f>-SUM(BP26:BP28)</f>
        <v>-8261349.6089833332</v>
      </c>
      <c r="BQ30" s="734">
        <f>-SUM(BQ26:BQ28)</f>
        <v>0</v>
      </c>
      <c r="BR30" s="734">
        <f>-SUM(BR26:BR28)</f>
        <v>0</v>
      </c>
      <c r="BS30" s="734">
        <f>-SUM(BS26:BS28)</f>
        <v>0</v>
      </c>
      <c r="BT30" s="734">
        <f>-SUM(BT26:BT28)</f>
        <v>0</v>
      </c>
      <c r="BU30" s="22">
        <f>ROW()</f>
        <v>30</v>
      </c>
      <c r="BV30" s="971" t="s">
        <v>537</v>
      </c>
      <c r="BW30" s="480"/>
      <c r="BX30" s="972"/>
      <c r="BY30" s="972"/>
      <c r="BZ30" s="78">
        <v>0</v>
      </c>
      <c r="CA30" s="78">
        <f t="shared" si="4"/>
        <v>63588254.361995265</v>
      </c>
      <c r="CB30" s="78">
        <v>63588254.361995265</v>
      </c>
      <c r="CC30" s="78">
        <f t="shared" si="5"/>
        <v>-3192715.7001838684</v>
      </c>
      <c r="CD30" s="78">
        <v>60395538.661811396</v>
      </c>
      <c r="CE30" s="78">
        <f t="shared" si="5"/>
        <v>-1596357.8500919268</v>
      </c>
      <c r="CF30" s="78">
        <v>58799180.81171947</v>
      </c>
      <c r="CG30" s="78">
        <f t="shared" si="2"/>
        <v>-3192715.7001838833</v>
      </c>
      <c r="CH30" s="78">
        <v>55606465.111535586</v>
      </c>
      <c r="CI30" s="78"/>
      <c r="CJ30" s="78"/>
      <c r="CK30" s="78"/>
      <c r="CL30" s="78"/>
      <c r="CM30" s="22"/>
      <c r="CN30"/>
      <c r="CO30"/>
      <c r="CP30"/>
      <c r="CQ30"/>
      <c r="CR30"/>
      <c r="CS30"/>
      <c r="CT30"/>
      <c r="CU30"/>
      <c r="CV30"/>
      <c r="CW30"/>
      <c r="CX30"/>
      <c r="CY30" s="591"/>
      <c r="CZ30" s="591"/>
      <c r="DA30" s="591"/>
      <c r="DB30" s="591"/>
      <c r="DC30" s="591"/>
      <c r="DD30" s="591"/>
      <c r="DE30" s="22">
        <f>ROW()</f>
        <v>30</v>
      </c>
      <c r="DF30" s="516" t="s">
        <v>240</v>
      </c>
      <c r="DG30" s="23"/>
      <c r="DH30" s="734">
        <f t="shared" ref="DH30:DN30" si="32">-SUM(DH26:DH28)</f>
        <v>-21892848.59870968</v>
      </c>
      <c r="DI30" s="734">
        <f t="shared" si="32"/>
        <v>-5160771.7353853295</v>
      </c>
      <c r="DJ30" s="734">
        <f t="shared" si="32"/>
        <v>-27053620.334095009</v>
      </c>
      <c r="DK30" s="734">
        <f t="shared" si="32"/>
        <v>0</v>
      </c>
      <c r="DL30" s="734">
        <f t="shared" si="32"/>
        <v>-27053620.334095009</v>
      </c>
      <c r="DM30" s="734">
        <f t="shared" si="32"/>
        <v>0</v>
      </c>
      <c r="DN30" s="734">
        <f t="shared" si="32"/>
        <v>-27053620.334095009</v>
      </c>
      <c r="DO30" s="734">
        <f>+DP30-DN30</f>
        <v>4194471.6992107406</v>
      </c>
      <c r="DP30" s="734">
        <f>-SUM(DP26:DP28)</f>
        <v>-22859148.634884268</v>
      </c>
      <c r="DQ30" s="734">
        <f>+DR30-DP30</f>
        <v>7839374.2828592714</v>
      </c>
      <c r="DR30" s="734">
        <f>-SUM(DR26:DR28)</f>
        <v>-15019774.352024997</v>
      </c>
      <c r="DS30" s="734">
        <f>-SUM(DS26:DS28)</f>
        <v>0</v>
      </c>
      <c r="DT30" s="734">
        <f>-SUM(DT26:DT28)</f>
        <v>0</v>
      </c>
      <c r="DU30" s="734">
        <f>-SUM(DU26:DU28)</f>
        <v>0</v>
      </c>
      <c r="DV30" s="734">
        <f>-SUM(DV26:DV28)</f>
        <v>0</v>
      </c>
      <c r="DW30" s="22">
        <f>ROW()</f>
        <v>30</v>
      </c>
      <c r="DX30" s="102" t="s">
        <v>306</v>
      </c>
      <c r="DY30" s="959"/>
      <c r="DZ30" s="102"/>
      <c r="EA30" s="979"/>
      <c r="EB30" s="102"/>
      <c r="EC30" s="102"/>
      <c r="ED30" s="102"/>
      <c r="EE30" s="102"/>
      <c r="EF30" s="102"/>
      <c r="EG30" s="102"/>
      <c r="EH30" s="102"/>
      <c r="EI30" s="102"/>
      <c r="EJ30" s="102"/>
      <c r="EK30" s="616"/>
      <c r="EL30" s="616"/>
      <c r="EM30" s="616"/>
      <c r="EN30" s="616"/>
      <c r="EO30" s="22">
        <f>ROW()</f>
        <v>30</v>
      </c>
      <c r="EP30" s="75"/>
      <c r="EQ30" s="961"/>
      <c r="ER30" s="980"/>
      <c r="ES30" s="64"/>
      <c r="ET30" s="980"/>
      <c r="EU30" s="64"/>
      <c r="EV30" s="980"/>
      <c r="EW30" s="64"/>
      <c r="EX30" s="980"/>
      <c r="EY30" s="64"/>
      <c r="EZ30" s="980"/>
      <c r="FA30" s="64"/>
      <c r="FB30" s="980"/>
      <c r="FC30" s="64"/>
      <c r="FD30" s="980"/>
      <c r="FE30" s="19"/>
      <c r="FF30" s="19"/>
      <c r="FG30" s="22">
        <f>ROW()</f>
        <v>30</v>
      </c>
      <c r="FH30" s="555" t="s">
        <v>480</v>
      </c>
      <c r="FI30" s="975"/>
      <c r="FJ30" s="999">
        <v>-12221.556479276669</v>
      </c>
      <c r="FK30" s="979">
        <v>12221.556479276669</v>
      </c>
      <c r="FL30" s="979">
        <f>FK30+FJ30</f>
        <v>0</v>
      </c>
      <c r="FM30" s="979"/>
      <c r="FN30" s="979">
        <f>FM30+FL30</f>
        <v>0</v>
      </c>
      <c r="FO30" s="979"/>
      <c r="FP30" s="979">
        <f>FO30+FN30</f>
        <v>0</v>
      </c>
      <c r="FQ30" s="979"/>
      <c r="FR30" s="979">
        <f>FQ30+FP30</f>
        <v>0</v>
      </c>
      <c r="FS30" s="979"/>
      <c r="FT30" s="979">
        <f>FS30+FR30</f>
        <v>0</v>
      </c>
      <c r="FY30" s="22">
        <f>ROW()</f>
        <v>30</v>
      </c>
      <c r="FZ30" s="616" t="s">
        <v>538</v>
      </c>
      <c r="GA30" s="75"/>
      <c r="GB30" s="1000">
        <f>SUM(GB28:GB29)</f>
        <v>0</v>
      </c>
      <c r="GC30" s="1000">
        <f t="shared" ref="GC30:GL30" si="33">SUM(GC28:GC29)</f>
        <v>0</v>
      </c>
      <c r="GD30" s="1000">
        <f t="shared" si="33"/>
        <v>0</v>
      </c>
      <c r="GE30" s="1000">
        <f t="shared" si="33"/>
        <v>-181265.59080000001</v>
      </c>
      <c r="GF30" s="1000">
        <f t="shared" si="33"/>
        <v>-181265.59080000001</v>
      </c>
      <c r="GG30" s="1000">
        <f t="shared" si="33"/>
        <v>0</v>
      </c>
      <c r="GH30" s="1000">
        <f t="shared" si="33"/>
        <v>-181265.59080000001</v>
      </c>
      <c r="GI30" s="1000">
        <f t="shared" si="33"/>
        <v>45316.397700000001</v>
      </c>
      <c r="GJ30" s="1000">
        <f t="shared" si="33"/>
        <v>-135949.1931</v>
      </c>
      <c r="GK30" s="1000">
        <f t="shared" si="33"/>
        <v>90632.795400000061</v>
      </c>
      <c r="GL30" s="1000">
        <f t="shared" si="33"/>
        <v>-45316.397699999943</v>
      </c>
      <c r="GM30" s="64"/>
      <c r="GN30" s="64"/>
      <c r="GO30" s="64"/>
      <c r="GP30" s="64"/>
      <c r="GQ30" s="1">
        <f>ROW()</f>
        <v>30</v>
      </c>
      <c r="GR30" s="858"/>
      <c r="GS30" s="858"/>
      <c r="GT30" s="78"/>
      <c r="GU30" s="78"/>
      <c r="GV30" s="78"/>
      <c r="GW30" s="78"/>
      <c r="GX30" s="78"/>
      <c r="GY30" s="78"/>
      <c r="GZ30" s="78"/>
      <c r="HA30" s="78"/>
      <c r="HB30" s="78"/>
      <c r="HC30" s="78"/>
      <c r="HD30" s="78"/>
    </row>
    <row r="31" spans="1:212" ht="16.5" thickTop="1" thickBot="1" x14ac:dyDescent="0.3">
      <c r="A31" s="22">
        <f>ROW()</f>
        <v>31</v>
      </c>
      <c r="B31" s="4" t="s">
        <v>539</v>
      </c>
      <c r="C31" s="842"/>
      <c r="D31" s="976">
        <v>785776.45</v>
      </c>
      <c r="E31" s="976">
        <v>0</v>
      </c>
      <c r="F31" s="976">
        <f>SUM(D31:E31)</f>
        <v>785776.45</v>
      </c>
      <c r="G31" s="976">
        <v>0</v>
      </c>
      <c r="H31" s="976">
        <f>SUM(F31:G31)</f>
        <v>785776.45</v>
      </c>
      <c r="I31" s="976">
        <v>0</v>
      </c>
      <c r="J31" s="976">
        <f>SUM(H31:I31)</f>
        <v>785776.45</v>
      </c>
      <c r="K31" s="976">
        <v>0</v>
      </c>
      <c r="L31" s="976">
        <f>SUM(J31:K31)</f>
        <v>785776.45</v>
      </c>
      <c r="M31" s="976">
        <v>0</v>
      </c>
      <c r="N31" s="976">
        <f>SUM(L31:M31)</f>
        <v>785776.45</v>
      </c>
      <c r="O31" s="978"/>
      <c r="P31" s="978"/>
      <c r="Q31" s="978"/>
      <c r="R31" s="978"/>
      <c r="S31" s="22"/>
      <c r="BC31" s="22"/>
      <c r="BD31" s="516"/>
      <c r="BE31" s="23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2">
        <f>ROW()</f>
        <v>31</v>
      </c>
      <c r="BV31" s="971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22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 s="22"/>
      <c r="DF31" s="516"/>
      <c r="DG31" s="23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2">
        <f>ROW()</f>
        <v>31</v>
      </c>
      <c r="DX31" s="522" t="s">
        <v>540</v>
      </c>
      <c r="DY31" s="959"/>
      <c r="DZ31" s="102"/>
      <c r="EA31" s="979"/>
      <c r="EB31" s="102"/>
      <c r="EC31" s="102"/>
      <c r="ED31" s="102"/>
      <c r="EE31" s="102"/>
      <c r="EF31" s="102"/>
      <c r="EG31" s="102"/>
      <c r="EH31" s="102"/>
      <c r="EI31" s="102"/>
      <c r="EJ31" s="102"/>
      <c r="EK31" s="616"/>
      <c r="EL31" s="616"/>
      <c r="EM31" s="616"/>
      <c r="EN31" s="616"/>
      <c r="EO31" s="22">
        <f>ROW()</f>
        <v>31</v>
      </c>
      <c r="EP31" s="971" t="s">
        <v>330</v>
      </c>
      <c r="EQ31" s="961"/>
      <c r="ER31" s="1015">
        <f t="shared" ref="ER31:FF31" si="34">ER23+ER29</f>
        <v>108614595.79999998</v>
      </c>
      <c r="ES31" s="1015">
        <f t="shared" si="34"/>
        <v>0</v>
      </c>
      <c r="ET31" s="1015">
        <f t="shared" si="34"/>
        <v>108614595.79999998</v>
      </c>
      <c r="EU31" s="1015">
        <f t="shared" si="34"/>
        <v>-2880746.5800000094</v>
      </c>
      <c r="EV31" s="1015">
        <f t="shared" si="34"/>
        <v>105733849.21999997</v>
      </c>
      <c r="EW31" s="1015">
        <f t="shared" si="34"/>
        <v>-5761493.1600000188</v>
      </c>
      <c r="EX31" s="1015">
        <f t="shared" si="34"/>
        <v>99972356.059999943</v>
      </c>
      <c r="EY31" s="1015">
        <f t="shared" si="34"/>
        <v>-2880746.5800000113</v>
      </c>
      <c r="EZ31" s="1015">
        <f t="shared" si="34"/>
        <v>97091609.47999993</v>
      </c>
      <c r="FA31" s="1015">
        <f t="shared" si="34"/>
        <v>-5761493.1600000188</v>
      </c>
      <c r="FB31" s="1015">
        <f t="shared" si="34"/>
        <v>91330116.319999903</v>
      </c>
      <c r="FC31" s="1015">
        <f t="shared" si="34"/>
        <v>0</v>
      </c>
      <c r="FD31" s="1015">
        <f t="shared" si="34"/>
        <v>0</v>
      </c>
      <c r="FE31" s="1015">
        <f t="shared" si="34"/>
        <v>0</v>
      </c>
      <c r="FF31" s="1015">
        <f t="shared" si="34"/>
        <v>0</v>
      </c>
      <c r="FG31" s="22">
        <f>ROW()</f>
        <v>31</v>
      </c>
      <c r="FH31" s="555" t="s">
        <v>541</v>
      </c>
      <c r="FI31" s="975"/>
      <c r="FJ31" s="979">
        <v>0</v>
      </c>
      <c r="FK31" s="979">
        <v>0</v>
      </c>
      <c r="FL31" s="979">
        <f>FK31+FJ31</f>
        <v>0</v>
      </c>
      <c r="FM31" s="979"/>
      <c r="FN31" s="979">
        <f>FM31+FL31</f>
        <v>0</v>
      </c>
      <c r="FO31" s="979"/>
      <c r="FP31" s="979">
        <f>FO31+FN31</f>
        <v>0</v>
      </c>
      <c r="FQ31" s="979"/>
      <c r="FR31" s="979">
        <f>FQ31+FP31</f>
        <v>0</v>
      </c>
      <c r="FS31" s="979"/>
      <c r="FT31" s="979">
        <f>FS31+FR31</f>
        <v>0</v>
      </c>
      <c r="FY31" s="22">
        <f>ROW()</f>
        <v>31</v>
      </c>
      <c r="FZ31" s="75"/>
      <c r="GA31" s="75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4"/>
      <c r="GN31" s="64"/>
      <c r="GO31" s="64"/>
      <c r="GP31" s="64"/>
      <c r="GQ31" s="1">
        <f>ROW()</f>
        <v>31</v>
      </c>
      <c r="GR31" s="522" t="s">
        <v>542</v>
      </c>
      <c r="GS31" s="1016"/>
      <c r="GT31" s="78"/>
      <c r="GU31" s="78"/>
      <c r="GV31" s="78"/>
      <c r="GW31" s="78"/>
      <c r="GX31" s="78"/>
      <c r="GY31" s="78"/>
      <c r="GZ31" s="78"/>
      <c r="HA31" s="78"/>
      <c r="HB31" s="78"/>
      <c r="HC31" s="78"/>
      <c r="HD31" s="78"/>
    </row>
    <row r="32" spans="1:212" ht="16.5" thickTop="1" thickBot="1" x14ac:dyDescent="0.3">
      <c r="A32" s="22">
        <f>ROW()</f>
        <v>32</v>
      </c>
      <c r="B32" s="4" t="s">
        <v>543</v>
      </c>
      <c r="C32" s="842"/>
      <c r="D32" s="976">
        <v>-5118236.8899999997</v>
      </c>
      <c r="E32" s="976">
        <v>0</v>
      </c>
      <c r="F32" s="976">
        <f>SUM(D32:E32)</f>
        <v>-5118236.8899999997</v>
      </c>
      <c r="G32" s="976">
        <v>0</v>
      </c>
      <c r="H32" s="976">
        <f>SUM(F32:G32)</f>
        <v>-5118236.8899999997</v>
      </c>
      <c r="I32" s="976">
        <v>0</v>
      </c>
      <c r="J32" s="976">
        <f>SUM(H32:I32)</f>
        <v>-5118236.8899999997</v>
      </c>
      <c r="K32" s="976">
        <v>-1907913.8851412963</v>
      </c>
      <c r="L32" s="976">
        <f>SUM(J32:K32)</f>
        <v>-7026150.775141296</v>
      </c>
      <c r="M32" s="976">
        <v>-245509.34761828277</v>
      </c>
      <c r="N32" s="976">
        <f>SUM(L32:M32)</f>
        <v>-7271660.1227595787</v>
      </c>
      <c r="O32" s="978"/>
      <c r="P32" s="978"/>
      <c r="Q32" s="978"/>
      <c r="R32" s="978"/>
      <c r="S32" s="2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 s="21"/>
      <c r="BR32" s="21"/>
      <c r="BS32" s="21"/>
      <c r="BT32" s="21"/>
      <c r="BU32" s="22">
        <f>ROW()</f>
        <v>32</v>
      </c>
      <c r="BV32" s="1017" t="s">
        <v>533</v>
      </c>
      <c r="BX32" s="62">
        <f t="shared" ref="BX32:CL32" si="35">SUM(BX18:BX31)</f>
        <v>0</v>
      </c>
      <c r="BY32" s="62">
        <f t="shared" si="35"/>
        <v>0</v>
      </c>
      <c r="BZ32" s="62">
        <f t="shared" si="35"/>
        <v>155882509.66999999</v>
      </c>
      <c r="CA32" s="62">
        <f t="shared" si="35"/>
        <v>52195374.078498214</v>
      </c>
      <c r="CB32" s="62">
        <f t="shared" si="35"/>
        <v>208077883.74849826</v>
      </c>
      <c r="CC32" s="62">
        <f t="shared" si="35"/>
        <v>-29912774.436111063</v>
      </c>
      <c r="CD32" s="62">
        <f t="shared" si="35"/>
        <v>178165109.31238717</v>
      </c>
      <c r="CE32" s="62">
        <f t="shared" si="35"/>
        <v>-13998573.029924415</v>
      </c>
      <c r="CF32" s="62">
        <f t="shared" si="35"/>
        <v>164166536.28246272</v>
      </c>
      <c r="CG32" s="62">
        <f t="shared" si="35"/>
        <v>-24066779.190046508</v>
      </c>
      <c r="CH32" s="62">
        <f t="shared" si="35"/>
        <v>140099757.0924162</v>
      </c>
      <c r="CI32" s="62">
        <f t="shared" si="35"/>
        <v>0</v>
      </c>
      <c r="CJ32" s="62">
        <f t="shared" si="35"/>
        <v>0</v>
      </c>
      <c r="CK32" s="62">
        <f t="shared" si="35"/>
        <v>0</v>
      </c>
      <c r="CL32" s="62">
        <f t="shared" si="35"/>
        <v>0</v>
      </c>
      <c r="CM32" s="2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 s="22"/>
      <c r="DF32" s="516"/>
      <c r="DG32" s="23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2">
        <f>ROW()</f>
        <v>32</v>
      </c>
      <c r="DX32" s="102" t="s">
        <v>544</v>
      </c>
      <c r="DY32" s="959"/>
      <c r="DZ32" s="571">
        <v>-95934500</v>
      </c>
      <c r="EA32" s="1018">
        <v>95934500</v>
      </c>
      <c r="EB32" s="571">
        <f t="shared" ref="EB32:ED37" si="36">DZ32+EA32</f>
        <v>0</v>
      </c>
      <c r="EC32" s="571"/>
      <c r="ED32" s="571">
        <f t="shared" si="36"/>
        <v>0</v>
      </c>
      <c r="EE32" s="571"/>
      <c r="EF32" s="571">
        <f t="shared" ref="EF32:EF37" si="37">ED32+EE32</f>
        <v>0</v>
      </c>
      <c r="EG32" s="571"/>
      <c r="EH32" s="571">
        <f t="shared" ref="EH32:EH37" si="38">EF32+EG32</f>
        <v>0</v>
      </c>
      <c r="EI32" s="571"/>
      <c r="EJ32" s="571">
        <f t="shared" ref="EJ32:EJ37" si="39">EH32+EI32</f>
        <v>0</v>
      </c>
      <c r="EK32" s="653"/>
      <c r="EL32" s="653"/>
      <c r="EM32" s="653"/>
      <c r="EN32" s="653"/>
      <c r="EO32" s="22">
        <f>ROW()</f>
        <v>32</v>
      </c>
      <c r="EP32" s="961"/>
      <c r="EQ32" s="961"/>
      <c r="ER32" s="937"/>
      <c r="ES32" s="937"/>
      <c r="ET32" s="937"/>
      <c r="EU32" s="937"/>
      <c r="EV32" s="937"/>
      <c r="EW32" s="937"/>
      <c r="EX32" s="937"/>
      <c r="EY32" s="937"/>
      <c r="EZ32" s="937"/>
      <c r="FA32" s="937"/>
      <c r="FB32" s="937"/>
      <c r="FC32" s="937"/>
      <c r="FD32" s="937"/>
      <c r="FE32" s="19"/>
      <c r="FF32" s="19"/>
      <c r="FG32" s="22">
        <f>ROW()</f>
        <v>32</v>
      </c>
      <c r="FH32" s="555" t="s">
        <v>545</v>
      </c>
      <c r="FI32" s="975"/>
      <c r="FJ32" s="979">
        <v>-8109.0429588611114</v>
      </c>
      <c r="FK32" s="979">
        <v>8109.0429588611114</v>
      </c>
      <c r="FL32" s="979">
        <f>FK32+FJ32</f>
        <v>0</v>
      </c>
      <c r="FM32" s="979"/>
      <c r="FN32" s="979">
        <f>FM32+FL32</f>
        <v>0</v>
      </c>
      <c r="FO32" s="979"/>
      <c r="FP32" s="979">
        <f>FO32+FN32</f>
        <v>0</v>
      </c>
      <c r="FQ32" s="979"/>
      <c r="FR32" s="979">
        <f>FQ32+FP32</f>
        <v>0</v>
      </c>
      <c r="FS32" s="979"/>
      <c r="FT32" s="979">
        <f>FS32+FR32</f>
        <v>0</v>
      </c>
      <c r="FY32" s="22">
        <f>ROW()</f>
        <v>32</v>
      </c>
      <c r="FZ32" s="971" t="s">
        <v>330</v>
      </c>
      <c r="GA32" s="971"/>
      <c r="GB32" s="741">
        <f t="shared" ref="GB32:GL32" si="40">+GB22+GB26+GB30</f>
        <v>0</v>
      </c>
      <c r="GC32" s="741">
        <f t="shared" si="40"/>
        <v>0</v>
      </c>
      <c r="GD32" s="741">
        <f t="shared" si="40"/>
        <v>0</v>
      </c>
      <c r="GE32" s="741">
        <f t="shared" si="40"/>
        <v>681903.88919999998</v>
      </c>
      <c r="GF32" s="741">
        <f t="shared" si="40"/>
        <v>681903.88919999998</v>
      </c>
      <c r="GG32" s="741">
        <f t="shared" si="40"/>
        <v>0</v>
      </c>
      <c r="GH32" s="741">
        <f t="shared" si="40"/>
        <v>681903.88919999998</v>
      </c>
      <c r="GI32" s="741">
        <f t="shared" si="40"/>
        <v>-170475.97229999999</v>
      </c>
      <c r="GJ32" s="741">
        <f t="shared" si="40"/>
        <v>511427.91689999995</v>
      </c>
      <c r="GK32" s="741">
        <f t="shared" si="40"/>
        <v>-340951.94460000005</v>
      </c>
      <c r="GL32" s="741">
        <f t="shared" si="40"/>
        <v>170475.97229999994</v>
      </c>
      <c r="GM32" s="64"/>
      <c r="GN32" s="64"/>
      <c r="GO32" s="64"/>
      <c r="GP32" s="64"/>
      <c r="GQ32" s="1">
        <f>ROW()</f>
        <v>32</v>
      </c>
      <c r="GR32" s="858" t="s">
        <v>546</v>
      </c>
      <c r="GS32" s="1016"/>
      <c r="GT32" s="78">
        <v>0</v>
      </c>
      <c r="GU32" s="78">
        <v>0</v>
      </c>
      <c r="GV32" s="78"/>
      <c r="GW32" s="78"/>
      <c r="GX32" s="78"/>
      <c r="GY32" s="78"/>
      <c r="GZ32" s="78">
        <v>0</v>
      </c>
      <c r="HA32" s="78">
        <f>HB32-GZ32</f>
        <v>1523071.2922728797</v>
      </c>
      <c r="HB32" s="78">
        <v>1523071.2922728797</v>
      </c>
      <c r="HC32" s="78">
        <f>HD32-HB32</f>
        <v>0</v>
      </c>
      <c r="HD32" s="78">
        <v>1523071.2922728797</v>
      </c>
    </row>
    <row r="33" spans="1:212" ht="16.5" thickTop="1" thickBot="1" x14ac:dyDescent="0.3">
      <c r="A33" s="22">
        <f>ROW()</f>
        <v>33</v>
      </c>
      <c r="B33" s="1019" t="s">
        <v>547</v>
      </c>
      <c r="D33" s="976">
        <v>0</v>
      </c>
      <c r="E33" s="976">
        <v>0</v>
      </c>
      <c r="F33" s="976">
        <f>SUM(D33:E33)</f>
        <v>0</v>
      </c>
      <c r="G33" s="976">
        <v>0</v>
      </c>
      <c r="H33" s="976">
        <f>SUM(F33:G33)</f>
        <v>0</v>
      </c>
      <c r="I33" s="976">
        <v>0</v>
      </c>
      <c r="J33" s="976">
        <f>SUM(H33:I33)</f>
        <v>0</v>
      </c>
      <c r="K33" s="976">
        <v>1271325.5544688413</v>
      </c>
      <c r="L33" s="976">
        <f>SUM(J33:K33)</f>
        <v>1271325.5544688413</v>
      </c>
      <c r="M33" s="976">
        <v>93587.715527117718</v>
      </c>
      <c r="N33" s="976">
        <f>SUM(L33:M33)</f>
        <v>1364913.269995959</v>
      </c>
      <c r="O33" s="1009"/>
      <c r="P33" s="1009"/>
      <c r="Q33" s="1009"/>
      <c r="R33" s="1009"/>
      <c r="S33" s="22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 s="21"/>
      <c r="BR33" s="21"/>
      <c r="BS33" s="21"/>
      <c r="BT33" s="21"/>
      <c r="BU33" s="22">
        <f>ROW()</f>
        <v>33</v>
      </c>
      <c r="BV33" s="927" t="s">
        <v>548</v>
      </c>
      <c r="CC33" s="667"/>
      <c r="CD33" s="667"/>
      <c r="CE33" s="667"/>
      <c r="CF33" s="667"/>
      <c r="CG33" s="667"/>
      <c r="CH33" s="667"/>
      <c r="CI33" s="667"/>
      <c r="CJ33" s="667"/>
      <c r="CK33" s="667"/>
      <c r="CL33" s="667"/>
      <c r="CM33" s="22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 s="22"/>
      <c r="DF33" s="516"/>
      <c r="DG33" s="23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2">
        <f>ROW()</f>
        <v>33</v>
      </c>
      <c r="DX33" s="1" t="s">
        <v>549</v>
      </c>
      <c r="DY33" s="959"/>
      <c r="DZ33" s="979">
        <v>47226280.32</v>
      </c>
      <c r="EA33" s="1020">
        <v>-47226280.32</v>
      </c>
      <c r="EB33" s="607">
        <f t="shared" si="36"/>
        <v>0</v>
      </c>
      <c r="EC33" s="607"/>
      <c r="ED33" s="607">
        <f t="shared" si="36"/>
        <v>0</v>
      </c>
      <c r="EE33" s="607"/>
      <c r="EF33" s="607">
        <f t="shared" si="37"/>
        <v>0</v>
      </c>
      <c r="EG33" s="607"/>
      <c r="EH33" s="607">
        <f t="shared" si="38"/>
        <v>0</v>
      </c>
      <c r="EI33" s="607"/>
      <c r="EJ33" s="607">
        <f t="shared" si="39"/>
        <v>0</v>
      </c>
      <c r="EK33" s="674"/>
      <c r="EL33" s="674"/>
      <c r="EM33" s="674"/>
      <c r="EN33" s="674"/>
      <c r="EO33" s="22">
        <f>ROW()</f>
        <v>33</v>
      </c>
      <c r="EP33" s="958" t="s">
        <v>415</v>
      </c>
      <c r="EQ33" s="1021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19"/>
      <c r="FF33" s="19"/>
      <c r="FG33" s="22">
        <f>ROW()</f>
        <v>33</v>
      </c>
      <c r="FH33" s="515" t="s">
        <v>550</v>
      </c>
      <c r="FI33" s="975"/>
      <c r="FJ33" s="1022">
        <f>SUM(FJ29:FJ32)</f>
        <v>530374.64638627158</v>
      </c>
      <c r="FK33" s="1022">
        <f>SUM(FK29:FK32)</f>
        <v>-530374.64638627158</v>
      </c>
      <c r="FL33" s="1022">
        <f>SUM(FL29:FL32)</f>
        <v>0</v>
      </c>
      <c r="FM33" s="1022">
        <f t="shared" ref="FM33:FT33" si="41">SUM(FM29:FM32)</f>
        <v>0</v>
      </c>
      <c r="FN33" s="1022">
        <f t="shared" si="41"/>
        <v>0</v>
      </c>
      <c r="FO33" s="1022">
        <f t="shared" si="41"/>
        <v>0</v>
      </c>
      <c r="FP33" s="1022">
        <f t="shared" si="41"/>
        <v>0</v>
      </c>
      <c r="FQ33" s="1022">
        <f t="shared" si="41"/>
        <v>0</v>
      </c>
      <c r="FR33" s="1022">
        <f t="shared" si="41"/>
        <v>0</v>
      </c>
      <c r="FS33" s="1022">
        <f t="shared" si="41"/>
        <v>0</v>
      </c>
      <c r="FT33" s="1022">
        <f t="shared" si="41"/>
        <v>0</v>
      </c>
      <c r="FY33" s="22">
        <f>ROW()</f>
        <v>33</v>
      </c>
      <c r="FZ33" s="862"/>
      <c r="GA33" s="862"/>
      <c r="GB33" s="1023"/>
      <c r="GC33" s="1023"/>
      <c r="GD33" s="1023"/>
      <c r="GE33" s="1023"/>
      <c r="GF33" s="1023"/>
      <c r="GG33" s="1023"/>
      <c r="GH33" s="1023"/>
      <c r="GI33" s="1023"/>
      <c r="GJ33" s="1023"/>
      <c r="GK33" s="1023"/>
      <c r="GL33" s="1023"/>
      <c r="GM33" s="64"/>
      <c r="GN33" s="64"/>
      <c r="GO33" s="64"/>
      <c r="GP33" s="64"/>
      <c r="GQ33" s="1">
        <f>ROW()</f>
        <v>33</v>
      </c>
      <c r="GR33" s="102"/>
      <c r="GS33" s="1016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</row>
    <row r="34" spans="1:212" ht="16.5" thickTop="1" thickBot="1" x14ac:dyDescent="0.3">
      <c r="A34" s="22">
        <f>ROW()</f>
        <v>34</v>
      </c>
      <c r="B34" s="4" t="s">
        <v>551</v>
      </c>
      <c r="C34" s="842"/>
      <c r="D34" s="976">
        <v>0</v>
      </c>
      <c r="E34" s="976">
        <v>4094424</v>
      </c>
      <c r="F34" s="976">
        <f>SUM(D34:E34)</f>
        <v>4094424</v>
      </c>
      <c r="G34" s="976">
        <v>0</v>
      </c>
      <c r="H34" s="976">
        <f>SUM(F34:G34)</f>
        <v>4094424</v>
      </c>
      <c r="I34" s="976">
        <v>0</v>
      </c>
      <c r="J34" s="976">
        <f>SUM(H34:I34)</f>
        <v>4094424</v>
      </c>
      <c r="K34" s="976">
        <v>-861984</v>
      </c>
      <c r="L34" s="976">
        <f>SUM(J34:K34)</f>
        <v>3232440</v>
      </c>
      <c r="M34" s="976">
        <v>-3232440</v>
      </c>
      <c r="N34" s="976">
        <f>SUM(L34:M34)</f>
        <v>0</v>
      </c>
      <c r="O34" s="1024"/>
      <c r="P34" s="1024"/>
      <c r="Q34" s="1024"/>
      <c r="R34" s="1024"/>
      <c r="S34" s="22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 s="21"/>
      <c r="BR34" s="21"/>
      <c r="BS34" s="21"/>
      <c r="BT34" s="21"/>
      <c r="BU34" s="22">
        <f>ROW()</f>
        <v>34</v>
      </c>
      <c r="BV34" s="927"/>
      <c r="CC34" s="667"/>
      <c r="CD34" s="667"/>
      <c r="CE34" s="667"/>
      <c r="CF34" s="667"/>
      <c r="CG34" s="667"/>
      <c r="CH34" s="667"/>
      <c r="CI34" s="667"/>
      <c r="CJ34" s="667"/>
      <c r="CK34" s="667"/>
      <c r="CL34" s="667"/>
      <c r="CM34" s="22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 s="22"/>
      <c r="DF34" s="516"/>
      <c r="DG34" s="23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2">
        <f>ROW()</f>
        <v>34</v>
      </c>
      <c r="DX34" s="1" t="s">
        <v>552</v>
      </c>
      <c r="DY34" s="959"/>
      <c r="DZ34" s="979">
        <v>-102557.17</v>
      </c>
      <c r="EA34" s="1020">
        <v>102557.17</v>
      </c>
      <c r="EB34" s="607">
        <f t="shared" si="36"/>
        <v>0</v>
      </c>
      <c r="EC34" s="607"/>
      <c r="ED34" s="607">
        <f t="shared" si="36"/>
        <v>0</v>
      </c>
      <c r="EE34" s="607"/>
      <c r="EF34" s="607">
        <f t="shared" si="37"/>
        <v>0</v>
      </c>
      <c r="EG34" s="607"/>
      <c r="EH34" s="607">
        <f t="shared" si="38"/>
        <v>0</v>
      </c>
      <c r="EI34" s="607"/>
      <c r="EJ34" s="607">
        <f t="shared" si="39"/>
        <v>0</v>
      </c>
      <c r="EK34" s="674"/>
      <c r="EL34" s="674"/>
      <c r="EM34" s="674"/>
      <c r="EN34" s="674"/>
      <c r="EO34" s="22">
        <f>ROW()</f>
        <v>34</v>
      </c>
      <c r="EP34" s="75" t="s">
        <v>553</v>
      </c>
      <c r="EQ34" s="1021"/>
      <c r="ER34" s="763">
        <v>884308.18000002205</v>
      </c>
      <c r="ES34" s="763">
        <v>-884308.18000002205</v>
      </c>
      <c r="ET34" s="763">
        <v>0</v>
      </c>
      <c r="EU34" s="763">
        <v>0</v>
      </c>
      <c r="EV34" s="763">
        <v>0</v>
      </c>
      <c r="EW34" s="763">
        <v>0</v>
      </c>
      <c r="EX34" s="763">
        <v>0</v>
      </c>
      <c r="EY34" s="763">
        <v>0</v>
      </c>
      <c r="EZ34" s="763">
        <v>0</v>
      </c>
      <c r="FA34" s="763">
        <v>0</v>
      </c>
      <c r="FB34" s="763">
        <v>0</v>
      </c>
      <c r="FC34" s="730"/>
      <c r="FD34" s="730"/>
      <c r="FE34" s="19"/>
      <c r="FF34" s="19"/>
      <c r="FG34" s="22">
        <f>ROW()</f>
        <v>34</v>
      </c>
      <c r="FH34" s="23" t="s">
        <v>306</v>
      </c>
      <c r="FI34" s="975"/>
      <c r="FJ34" s="102"/>
      <c r="FK34" s="973"/>
      <c r="FL34" s="102"/>
      <c r="FM34" s="102"/>
      <c r="FN34" s="102"/>
      <c r="FO34" s="102"/>
      <c r="FP34" s="102"/>
      <c r="FQ34" s="102"/>
      <c r="FR34" s="102"/>
      <c r="FS34" s="102"/>
      <c r="FT34" s="102"/>
      <c r="FY34" s="22">
        <f>ROW()</f>
        <v>34</v>
      </c>
      <c r="FZ34" s="958" t="s">
        <v>415</v>
      </c>
      <c r="GA34" s="958"/>
      <c r="GB34" s="730"/>
      <c r="GC34" s="730"/>
      <c r="GD34" s="730"/>
      <c r="GE34" s="730"/>
      <c r="GF34" s="730"/>
      <c r="GG34" s="730"/>
      <c r="GH34" s="730"/>
      <c r="GI34" s="730"/>
      <c r="GJ34" s="730"/>
      <c r="GK34" s="730"/>
      <c r="GL34" s="730"/>
      <c r="GM34" s="64"/>
      <c r="GN34" s="64"/>
      <c r="GO34" s="64"/>
      <c r="GP34" s="64"/>
      <c r="GQ34" s="1">
        <f>ROW()</f>
        <v>34</v>
      </c>
      <c r="GR34" s="655" t="s">
        <v>251</v>
      </c>
      <c r="GS34" s="655"/>
      <c r="GT34" s="657">
        <f>-GT18+GT24+GT29+GT32</f>
        <v>-2112414.8284100001</v>
      </c>
      <c r="GU34" s="657">
        <f>-GU18+GU24+GU29+GU32</f>
        <v>2112414.8284100001</v>
      </c>
      <c r="GV34" s="656">
        <f t="shared" ref="GV34:HD34" si="42">GV18+GV24+GV29+GV32</f>
        <v>0</v>
      </c>
      <c r="GW34" s="656">
        <f t="shared" si="42"/>
        <v>0</v>
      </c>
      <c r="GX34" s="656">
        <f t="shared" si="42"/>
        <v>0</v>
      </c>
      <c r="GY34" s="656">
        <f t="shared" si="42"/>
        <v>0</v>
      </c>
      <c r="GZ34" s="656">
        <f t="shared" si="42"/>
        <v>0</v>
      </c>
      <c r="HA34" s="656">
        <f t="shared" si="42"/>
        <v>1523071.2922728797</v>
      </c>
      <c r="HB34" s="656">
        <f t="shared" si="42"/>
        <v>1523071.2922728797</v>
      </c>
      <c r="HC34" s="656">
        <f t="shared" si="42"/>
        <v>0</v>
      </c>
      <c r="HD34" s="656">
        <f t="shared" si="42"/>
        <v>1523071.2922728797</v>
      </c>
    </row>
    <row r="35" spans="1:212" ht="15.75" thickTop="1" x14ac:dyDescent="0.25">
      <c r="A35" s="22">
        <f>ROW()</f>
        <v>35</v>
      </c>
      <c r="B35" s="4" t="s">
        <v>520</v>
      </c>
      <c r="C35" s="842"/>
      <c r="D35" s="1010">
        <f t="shared" ref="D35:N35" si="43">SUM(D27:D34)</f>
        <v>1123454710.0999999</v>
      </c>
      <c r="E35" s="1010">
        <f t="shared" si="43"/>
        <v>-1142858.6104254723</v>
      </c>
      <c r="F35" s="1010">
        <f t="shared" si="43"/>
        <v>1122311851.4895744</v>
      </c>
      <c r="G35" s="1010">
        <f t="shared" si="43"/>
        <v>0</v>
      </c>
      <c r="H35" s="1010">
        <f t="shared" si="43"/>
        <v>1122311851.4895744</v>
      </c>
      <c r="I35" s="1010">
        <f t="shared" si="43"/>
        <v>0</v>
      </c>
      <c r="J35" s="1010">
        <f t="shared" si="43"/>
        <v>1122311851.4895744</v>
      </c>
      <c r="K35" s="1011">
        <f t="shared" si="43"/>
        <v>138145974.00443295</v>
      </c>
      <c r="L35" s="1011">
        <f t="shared" si="43"/>
        <v>1260457825.4940076</v>
      </c>
      <c r="M35" s="1011">
        <f t="shared" si="43"/>
        <v>32815313.845657766</v>
      </c>
      <c r="N35" s="1011">
        <f t="shared" si="43"/>
        <v>1293273139.3396649</v>
      </c>
      <c r="O35" s="1025"/>
      <c r="P35" s="1025"/>
      <c r="Q35" s="1025"/>
      <c r="R35" s="1025"/>
      <c r="S35" s="22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 s="21"/>
      <c r="BR35" s="21"/>
      <c r="BS35" s="21"/>
      <c r="BT35" s="21"/>
      <c r="BU35" s="22">
        <f>ROW()</f>
        <v>35</v>
      </c>
      <c r="BV35" s="1026" t="s">
        <v>554</v>
      </c>
      <c r="BW35" s="1027"/>
      <c r="BX35" s="1027"/>
      <c r="BY35" s="1027"/>
      <c r="BZ35" s="1027"/>
      <c r="CA35" s="1027"/>
      <c r="CB35" s="1027"/>
      <c r="CC35" s="1027"/>
      <c r="CD35" s="1027"/>
      <c r="CE35" s="1027"/>
      <c r="CF35" s="1027"/>
      <c r="CG35" s="1027"/>
      <c r="CH35" s="1027"/>
      <c r="CI35" s="317"/>
      <c r="CJ35" s="317"/>
      <c r="CK35" s="317"/>
      <c r="CL35" s="317"/>
      <c r="CM35" s="22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 s="22"/>
      <c r="DF35" s="516"/>
      <c r="DG35" s="23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2">
        <f>ROW()</f>
        <v>35</v>
      </c>
      <c r="DX35" s="102" t="s">
        <v>555</v>
      </c>
      <c r="DY35" s="959"/>
      <c r="DZ35" s="979">
        <v>-29828416.211151935</v>
      </c>
      <c r="EA35" s="1020">
        <v>29828416.211151935</v>
      </c>
      <c r="EB35" s="607">
        <f t="shared" si="36"/>
        <v>0</v>
      </c>
      <c r="EC35" s="607"/>
      <c r="ED35" s="607">
        <f t="shared" si="36"/>
        <v>0</v>
      </c>
      <c r="EE35" s="607"/>
      <c r="EF35" s="607">
        <f t="shared" si="37"/>
        <v>0</v>
      </c>
      <c r="EG35" s="607"/>
      <c r="EH35" s="607">
        <f t="shared" si="38"/>
        <v>0</v>
      </c>
      <c r="EI35" s="607"/>
      <c r="EJ35" s="607">
        <f t="shared" si="39"/>
        <v>0</v>
      </c>
      <c r="EK35" s="674"/>
      <c r="EL35" s="674"/>
      <c r="EM35" s="674"/>
      <c r="EN35" s="674"/>
      <c r="EO35" s="22">
        <f>ROW()</f>
        <v>35</v>
      </c>
      <c r="EP35" s="75" t="s">
        <v>556</v>
      </c>
      <c r="EQ35" s="1028"/>
      <c r="ER35" s="64">
        <v>4616499.3600000143</v>
      </c>
      <c r="ES35" s="64">
        <v>0</v>
      </c>
      <c r="ET35" s="980">
        <v>4616499.3600000143</v>
      </c>
      <c r="EU35" s="64">
        <v>0</v>
      </c>
      <c r="EV35" s="980">
        <v>4616499.3600000143</v>
      </c>
      <c r="EW35" s="64">
        <v>0</v>
      </c>
      <c r="EX35" s="980">
        <v>4616499.3600000143</v>
      </c>
      <c r="EY35" s="64">
        <v>0</v>
      </c>
      <c r="EZ35" s="980">
        <v>4616499.3600000143</v>
      </c>
      <c r="FA35" s="64">
        <v>0</v>
      </c>
      <c r="FB35" s="980">
        <v>4616499.3600000143</v>
      </c>
      <c r="FC35" s="64"/>
      <c r="FD35" s="980"/>
      <c r="FE35" s="64"/>
      <c r="FF35" s="980"/>
      <c r="FG35" s="22">
        <f>ROW()</f>
        <v>35</v>
      </c>
      <c r="FH35" s="1" t="s">
        <v>306</v>
      </c>
      <c r="FI35" s="975"/>
      <c r="FJ35" s="102"/>
      <c r="FK35" s="973"/>
      <c r="FL35" s="102"/>
      <c r="FM35" s="102"/>
      <c r="FN35" s="102"/>
      <c r="FO35" s="102"/>
      <c r="FP35" s="102"/>
      <c r="FQ35" s="102"/>
      <c r="FR35" s="102"/>
      <c r="FS35" s="102"/>
      <c r="FT35" s="102"/>
      <c r="FY35" s="22">
        <f>ROW()</f>
        <v>35</v>
      </c>
      <c r="FZ35" s="73" t="s">
        <v>557</v>
      </c>
      <c r="GA35" s="73"/>
      <c r="GB35" s="647">
        <v>0</v>
      </c>
      <c r="GC35" s="647">
        <f>+GD35-GB35</f>
        <v>0</v>
      </c>
      <c r="GD35" s="647">
        <v>0</v>
      </c>
      <c r="GE35" s="988">
        <v>0</v>
      </c>
      <c r="GF35" s="987">
        <f>SUM(GD35:GE35)</f>
        <v>0</v>
      </c>
      <c r="GG35" s="988">
        <v>0</v>
      </c>
      <c r="GH35" s="987">
        <f>SUM(GF35:GG35)</f>
        <v>0</v>
      </c>
      <c r="GI35" s="988">
        <v>431584.74000000005</v>
      </c>
      <c r="GJ35" s="987">
        <f>SUM(GH35:GI35)</f>
        <v>431584.74000000005</v>
      </c>
      <c r="GK35" s="988">
        <v>0</v>
      </c>
      <c r="GL35" s="987">
        <f>SUM(GJ35:GK35)</f>
        <v>431584.74000000005</v>
      </c>
      <c r="GM35" s="64"/>
      <c r="GN35" s="64"/>
      <c r="GO35" s="64"/>
      <c r="GP35" s="64"/>
      <c r="GQ35" s="1">
        <f>ROW()</f>
        <v>35</v>
      </c>
      <c r="GR35" s="858"/>
      <c r="GS35" s="655"/>
      <c r="GT35" s="1001"/>
      <c r="GU35" s="1001"/>
      <c r="GV35" s="78"/>
      <c r="GW35" s="78"/>
      <c r="GX35" s="78"/>
      <c r="GY35" s="78"/>
      <c r="GZ35" s="78"/>
      <c r="HA35" s="78"/>
      <c r="HB35" s="78"/>
      <c r="HC35" s="78"/>
      <c r="HD35" s="78"/>
    </row>
    <row r="36" spans="1:212" x14ac:dyDescent="0.25">
      <c r="A36" s="22">
        <f>ROW()</f>
        <v>36</v>
      </c>
      <c r="B36" s="547" t="s">
        <v>306</v>
      </c>
      <c r="C36" s="547"/>
      <c r="D36" s="1024"/>
      <c r="E36" s="1024"/>
      <c r="F36" s="1024"/>
      <c r="G36" s="1024"/>
      <c r="H36" s="1024"/>
      <c r="I36" s="1024"/>
      <c r="J36" s="1024"/>
      <c r="K36" s="1024"/>
      <c r="L36" s="1024"/>
      <c r="M36" s="1024"/>
      <c r="N36" s="1024"/>
      <c r="O36" s="647"/>
      <c r="P36" s="647"/>
      <c r="Q36" s="647"/>
      <c r="R36" s="647"/>
      <c r="S36" s="22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 s="18"/>
      <c r="BR36" s="18"/>
      <c r="BS36" s="18"/>
      <c r="BT36" s="18"/>
      <c r="BU36" s="22">
        <f>ROW()</f>
        <v>36</v>
      </c>
      <c r="BV36" s="1026" t="s">
        <v>558</v>
      </c>
      <c r="BW36" s="1029" t="s">
        <v>559</v>
      </c>
      <c r="BX36" s="1030"/>
      <c r="BY36" s="1030"/>
      <c r="BZ36" s="1031">
        <v>171861942.76000005</v>
      </c>
      <c r="CA36" s="1032">
        <f>CB36-BZ36</f>
        <v>65152660.896992534</v>
      </c>
      <c r="CB36" s="1031">
        <v>237014603.65699258</v>
      </c>
      <c r="CC36" s="1032">
        <f>CD36-CB36</f>
        <v>-34141796.805555552</v>
      </c>
      <c r="CD36" s="1031">
        <v>202872806.85143703</v>
      </c>
      <c r="CE36" s="1032">
        <f>CF36-CD36</f>
        <v>-15832085.177128196</v>
      </c>
      <c r="CF36" s="1031">
        <v>187040721.67430884</v>
      </c>
      <c r="CG36" s="1032">
        <f>CH36-CF36</f>
        <v>-27086823.552903354</v>
      </c>
      <c r="CH36" s="1031">
        <v>159953898.12140548</v>
      </c>
      <c r="CI36" s="1033"/>
      <c r="CJ36" s="78"/>
      <c r="CK36" s="1033"/>
      <c r="CL36" s="78"/>
      <c r="CM36" s="22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F36"/>
      <c r="DG36"/>
      <c r="DH36"/>
      <c r="DI36"/>
      <c r="DJ36"/>
      <c r="DK36"/>
      <c r="DL36"/>
      <c r="DM36"/>
      <c r="DW36" s="22">
        <f>ROW()</f>
        <v>36</v>
      </c>
      <c r="DX36" s="102" t="s">
        <v>560</v>
      </c>
      <c r="DY36" s="959"/>
      <c r="DZ36" s="979">
        <v>27831597.100000001</v>
      </c>
      <c r="EA36" s="1020">
        <v>-27831597.100000001</v>
      </c>
      <c r="EB36" s="607">
        <f t="shared" si="36"/>
        <v>0</v>
      </c>
      <c r="EC36" s="607"/>
      <c r="ED36" s="607">
        <f t="shared" si="36"/>
        <v>0</v>
      </c>
      <c r="EE36" s="607"/>
      <c r="EF36" s="607">
        <f t="shared" si="37"/>
        <v>0</v>
      </c>
      <c r="EG36" s="607"/>
      <c r="EH36" s="607">
        <f t="shared" si="38"/>
        <v>0</v>
      </c>
      <c r="EI36" s="607"/>
      <c r="EJ36" s="607">
        <f t="shared" si="39"/>
        <v>0</v>
      </c>
      <c r="EK36" s="674"/>
      <c r="EL36" s="674"/>
      <c r="EM36" s="674"/>
      <c r="EN36" s="674"/>
      <c r="EO36" s="22">
        <f>ROW()</f>
        <v>36</v>
      </c>
      <c r="EP36" s="75" t="s">
        <v>561</v>
      </c>
      <c r="EQ36" s="1028"/>
      <c r="ER36" s="64">
        <v>1144993.8000000045</v>
      </c>
      <c r="ES36" s="64">
        <v>0</v>
      </c>
      <c r="ET36" s="980">
        <v>1144993.8000000045</v>
      </c>
      <c r="EU36" s="64">
        <v>0</v>
      </c>
      <c r="EV36" s="980">
        <v>1144993.8000000045</v>
      </c>
      <c r="EW36" s="64">
        <v>0</v>
      </c>
      <c r="EX36" s="980">
        <v>1144993.8000000045</v>
      </c>
      <c r="EY36" s="64">
        <v>0</v>
      </c>
      <c r="EZ36" s="980">
        <v>1144993.8000000045</v>
      </c>
      <c r="FA36" s="64">
        <v>-1.1175870895385742E-8</v>
      </c>
      <c r="FB36" s="980">
        <v>1144993.7999999933</v>
      </c>
      <c r="FC36" s="64"/>
      <c r="FD36" s="980"/>
      <c r="FE36" s="64"/>
      <c r="FF36" s="980"/>
      <c r="FG36" s="22">
        <f>ROW()</f>
        <v>36</v>
      </c>
      <c r="FH36" s="522" t="s">
        <v>562</v>
      </c>
      <c r="FI36" s="975"/>
      <c r="FJ36" s="102"/>
      <c r="FK36" s="973"/>
      <c r="FL36" s="102"/>
      <c r="FM36" s="102"/>
      <c r="FN36" s="102"/>
      <c r="FO36" s="102"/>
      <c r="FP36" s="102"/>
      <c r="FQ36" s="102"/>
      <c r="FR36" s="102"/>
      <c r="FS36" s="102"/>
      <c r="FT36" s="102"/>
      <c r="FY36" s="22">
        <f>ROW()</f>
        <v>36</v>
      </c>
      <c r="FZ36" s="73" t="s">
        <v>563</v>
      </c>
      <c r="GA36" s="73"/>
      <c r="GB36" s="647">
        <v>0</v>
      </c>
      <c r="GC36" s="647">
        <f>+GD36-GB36</f>
        <v>0</v>
      </c>
      <c r="GD36" s="647">
        <v>0</v>
      </c>
      <c r="GE36" s="988">
        <v>0</v>
      </c>
      <c r="GF36" s="847">
        <f>SUM(GD36:GE36)</f>
        <v>0</v>
      </c>
      <c r="GG36" s="988">
        <v>0</v>
      </c>
      <c r="GH36" s="847">
        <f>SUM(GF36:GG36)</f>
        <v>0</v>
      </c>
      <c r="GI36" s="988">
        <v>438707.75262051268</v>
      </c>
      <c r="GJ36" s="847">
        <f>SUM(GH36:GI36)</f>
        <v>438707.75262051268</v>
      </c>
      <c r="GK36" s="988">
        <v>0</v>
      </c>
      <c r="GL36" s="847">
        <f>SUM(GJ36:GK36)</f>
        <v>438707.75262051268</v>
      </c>
      <c r="GM36" s="64"/>
      <c r="GN36" s="64"/>
      <c r="GO36" s="64"/>
      <c r="GP36" s="64"/>
      <c r="GQ36" s="1">
        <f>ROW()</f>
        <v>36</v>
      </c>
      <c r="GR36" s="694" t="s">
        <v>283</v>
      </c>
      <c r="GS36" s="695">
        <v>0.21</v>
      </c>
      <c r="GT36" s="1001">
        <f t="shared" ref="GT36:GZ36" si="44">-GT34*$GS$36</f>
        <v>443607.11396609998</v>
      </c>
      <c r="GU36" s="1001">
        <f t="shared" si="44"/>
        <v>-443607.11396609998</v>
      </c>
      <c r="GV36" s="78">
        <f t="shared" si="44"/>
        <v>0</v>
      </c>
      <c r="GW36" s="78">
        <f t="shared" si="44"/>
        <v>0</v>
      </c>
      <c r="GX36" s="78">
        <f t="shared" si="44"/>
        <v>0</v>
      </c>
      <c r="GY36" s="78">
        <f t="shared" si="44"/>
        <v>0</v>
      </c>
      <c r="GZ36" s="78">
        <f t="shared" si="44"/>
        <v>0</v>
      </c>
      <c r="HA36" s="78">
        <f>-HA34*$GS$36</f>
        <v>-319844.97137730476</v>
      </c>
      <c r="HB36" s="78">
        <f>-HB34*$GS$36</f>
        <v>-319844.97137730476</v>
      </c>
      <c r="HC36" s="78">
        <f>-HC34*$GS$36</f>
        <v>0</v>
      </c>
      <c r="HD36" s="78">
        <f>-HD34*$GS$36</f>
        <v>-319844.97137730476</v>
      </c>
    </row>
    <row r="37" spans="1:212" ht="15.75" thickBot="1" x14ac:dyDescent="0.3">
      <c r="A37" s="22">
        <f>ROW()</f>
        <v>37</v>
      </c>
      <c r="B37" s="679" t="s">
        <v>564</v>
      </c>
      <c r="C37" s="547">
        <f>'SEF-31'!D14</f>
        <v>3.8733999999999998E-2</v>
      </c>
      <c r="D37" s="1025">
        <f>-$C$37*D32</f>
        <v>198249.78769725998</v>
      </c>
      <c r="E37" s="1025">
        <f>-$C$37*E32</f>
        <v>0</v>
      </c>
      <c r="F37" s="976">
        <f>SUM(D37:E37)</f>
        <v>198249.78769725998</v>
      </c>
      <c r="G37" s="1025">
        <f>-$C$37*G32</f>
        <v>0</v>
      </c>
      <c r="H37" s="976">
        <f>SUM(F37:G37)</f>
        <v>198249.78769725998</v>
      </c>
      <c r="I37" s="1025">
        <f>-$C$37*I32</f>
        <v>0</v>
      </c>
      <c r="J37" s="976">
        <f>SUM(H37:I37)</f>
        <v>198249.78769725998</v>
      </c>
      <c r="K37" s="1025">
        <f>-$C$37*K32</f>
        <v>73901.136427062971</v>
      </c>
      <c r="L37" s="1025">
        <f>SUM(J37:K37)</f>
        <v>272150.92412432295</v>
      </c>
      <c r="M37" s="1025">
        <f>-$C$37*M32</f>
        <v>9509.5590706465646</v>
      </c>
      <c r="N37" s="1025">
        <f>SUM(L37:M37)</f>
        <v>281660.48319496954</v>
      </c>
      <c r="O37" s="647"/>
      <c r="P37" s="647"/>
      <c r="Q37" s="647"/>
      <c r="R37" s="647"/>
      <c r="S37" s="22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 s="22">
        <f>ROW()</f>
        <v>37</v>
      </c>
      <c r="BV37" s="1026" t="s">
        <v>277</v>
      </c>
      <c r="BW37" s="1029" t="s">
        <v>565</v>
      </c>
      <c r="BX37" s="1030"/>
      <c r="BY37" s="1030"/>
      <c r="BZ37" s="1031">
        <v>-15979433.09</v>
      </c>
      <c r="CA37" s="1032">
        <f>CB37-BZ37</f>
        <v>-12957286.818494361</v>
      </c>
      <c r="CB37" s="1031">
        <v>-28936719.908494361</v>
      </c>
      <c r="CC37" s="1032">
        <f>CD37-CB37</f>
        <v>4229022.3694445044</v>
      </c>
      <c r="CD37" s="1031">
        <v>-24707697.539049856</v>
      </c>
      <c r="CE37" s="1032">
        <f>CF37-CD37</f>
        <v>1833512.1472037211</v>
      </c>
      <c r="CF37" s="1031">
        <v>-22874185.391846135</v>
      </c>
      <c r="CG37" s="1032">
        <f>CH37-CF37</f>
        <v>3020044.3628568724</v>
      </c>
      <c r="CH37" s="1031">
        <v>-19854141.028989263</v>
      </c>
      <c r="CI37" s="1033"/>
      <c r="CJ37" s="78"/>
      <c r="CK37" s="1033"/>
      <c r="CL37" s="78"/>
      <c r="CM37" s="22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F37"/>
      <c r="DG37"/>
      <c r="DH37"/>
      <c r="DI37"/>
      <c r="DJ37"/>
      <c r="DK37"/>
      <c r="DL37"/>
      <c r="DM37"/>
      <c r="DW37" s="22">
        <f>ROW()</f>
        <v>37</v>
      </c>
      <c r="DX37" s="1" t="s">
        <v>566</v>
      </c>
      <c r="DY37" s="959"/>
      <c r="DZ37" s="979">
        <v>-117565.55</v>
      </c>
      <c r="EA37" s="1020">
        <v>117565.55</v>
      </c>
      <c r="EB37" s="607">
        <f t="shared" si="36"/>
        <v>0</v>
      </c>
      <c r="EC37" s="607"/>
      <c r="ED37" s="607">
        <f t="shared" si="36"/>
        <v>0</v>
      </c>
      <c r="EE37" s="607"/>
      <c r="EF37" s="607">
        <f t="shared" si="37"/>
        <v>0</v>
      </c>
      <c r="EG37" s="607"/>
      <c r="EH37" s="607">
        <f t="shared" si="38"/>
        <v>0</v>
      </c>
      <c r="EI37" s="607"/>
      <c r="EJ37" s="607">
        <f t="shared" si="39"/>
        <v>0</v>
      </c>
      <c r="EK37" s="674"/>
      <c r="EL37" s="674"/>
      <c r="EM37" s="674"/>
      <c r="EN37" s="674"/>
      <c r="EO37" s="22">
        <f>ROW()</f>
        <v>37</v>
      </c>
      <c r="EP37" s="73" t="s">
        <v>108</v>
      </c>
      <c r="EQ37" s="73"/>
      <c r="ER37" s="824">
        <f>SUM(ER34:ER36)</f>
        <v>6645801.3400000408</v>
      </c>
      <c r="ES37" s="824">
        <f t="shared" ref="ES37:FF37" si="45">SUM(ES34:ES36)</f>
        <v>-884308.18000002205</v>
      </c>
      <c r="ET37" s="824">
        <f t="shared" si="45"/>
        <v>5761493.1600000188</v>
      </c>
      <c r="EU37" s="824">
        <f t="shared" si="45"/>
        <v>0</v>
      </c>
      <c r="EV37" s="824">
        <f t="shared" si="45"/>
        <v>5761493.1600000188</v>
      </c>
      <c r="EW37" s="824">
        <f t="shared" si="45"/>
        <v>0</v>
      </c>
      <c r="EX37" s="824">
        <f t="shared" si="45"/>
        <v>5761493.1600000188</v>
      </c>
      <c r="EY37" s="824">
        <f t="shared" si="45"/>
        <v>0</v>
      </c>
      <c r="EZ37" s="824">
        <f t="shared" si="45"/>
        <v>5761493.1600000188</v>
      </c>
      <c r="FA37" s="824">
        <f t="shared" si="45"/>
        <v>-1.1175870895385742E-8</v>
      </c>
      <c r="FB37" s="824">
        <f t="shared" si="45"/>
        <v>5761493.1600000076</v>
      </c>
      <c r="FC37" s="824">
        <f t="shared" si="45"/>
        <v>0</v>
      </c>
      <c r="FD37" s="824">
        <f t="shared" si="45"/>
        <v>0</v>
      </c>
      <c r="FE37" s="824">
        <f t="shared" si="45"/>
        <v>0</v>
      </c>
      <c r="FF37" s="824">
        <f t="shared" si="45"/>
        <v>0</v>
      </c>
      <c r="FG37" s="22">
        <f>ROW()</f>
        <v>37</v>
      </c>
      <c r="FH37" s="28" t="s">
        <v>567</v>
      </c>
      <c r="FI37" s="975"/>
      <c r="FJ37" s="571">
        <v>757899.85999999987</v>
      </c>
      <c r="FK37" s="963">
        <v>-757899.85999999987</v>
      </c>
      <c r="FL37" s="571">
        <f>FJ37+FK37</f>
        <v>0</v>
      </c>
      <c r="FM37" s="571"/>
      <c r="FN37" s="571">
        <f>FL37+FM37</f>
        <v>0</v>
      </c>
      <c r="FO37" s="571"/>
      <c r="FP37" s="571">
        <f>FN37+FO37</f>
        <v>0</v>
      </c>
      <c r="FQ37" s="571"/>
      <c r="FR37" s="571">
        <f>FP37+FQ37</f>
        <v>0</v>
      </c>
      <c r="FS37" s="571"/>
      <c r="FT37" s="571">
        <f>FR37+FS37</f>
        <v>0</v>
      </c>
      <c r="FY37" s="22">
        <f>ROW()</f>
        <v>37</v>
      </c>
      <c r="FZ37" s="73" t="s">
        <v>108</v>
      </c>
      <c r="GA37" s="73"/>
      <c r="GB37" s="824">
        <f t="shared" ref="GB37:GL37" si="46">SUM(GB35:GB36)</f>
        <v>0</v>
      </c>
      <c r="GC37" s="824">
        <f t="shared" si="46"/>
        <v>0</v>
      </c>
      <c r="GD37" s="824">
        <f t="shared" si="46"/>
        <v>0</v>
      </c>
      <c r="GE37" s="824">
        <f t="shared" si="46"/>
        <v>0</v>
      </c>
      <c r="GF37" s="824">
        <f t="shared" si="46"/>
        <v>0</v>
      </c>
      <c r="GG37" s="824">
        <f t="shared" si="46"/>
        <v>0</v>
      </c>
      <c r="GH37" s="824">
        <f t="shared" si="46"/>
        <v>0</v>
      </c>
      <c r="GI37" s="824">
        <f t="shared" si="46"/>
        <v>870292.49262051273</v>
      </c>
      <c r="GJ37" s="824">
        <f t="shared" si="46"/>
        <v>870292.49262051273</v>
      </c>
      <c r="GK37" s="824">
        <f t="shared" si="46"/>
        <v>0</v>
      </c>
      <c r="GL37" s="824">
        <f t="shared" si="46"/>
        <v>870292.49262051273</v>
      </c>
      <c r="GM37" s="64"/>
      <c r="GN37" s="64"/>
      <c r="GO37" s="64"/>
      <c r="GP37" s="64"/>
      <c r="GQ37" s="1">
        <f>ROW()</f>
        <v>37</v>
      </c>
      <c r="GR37" s="694" t="s">
        <v>240</v>
      </c>
      <c r="GS37" s="694"/>
      <c r="GT37" s="1034">
        <f>-GT34-GT36</f>
        <v>1668807.7144439002</v>
      </c>
      <c r="GU37" s="1034">
        <f t="shared" ref="GU37:HD37" si="47">-GU34-GU36</f>
        <v>-1668807.7144439002</v>
      </c>
      <c r="GV37" s="1035">
        <f t="shared" si="47"/>
        <v>0</v>
      </c>
      <c r="GW37" s="1035">
        <f t="shared" si="47"/>
        <v>0</v>
      </c>
      <c r="GX37" s="1035">
        <f t="shared" si="47"/>
        <v>0</v>
      </c>
      <c r="GY37" s="1035">
        <f t="shared" si="47"/>
        <v>0</v>
      </c>
      <c r="GZ37" s="1035">
        <f t="shared" si="47"/>
        <v>0</v>
      </c>
      <c r="HA37" s="1035">
        <f t="shared" si="47"/>
        <v>-1203226.320895575</v>
      </c>
      <c r="HB37" s="1035">
        <f t="shared" si="47"/>
        <v>-1203226.320895575</v>
      </c>
      <c r="HC37" s="1035">
        <f t="shared" si="47"/>
        <v>0</v>
      </c>
      <c r="HD37" s="1035">
        <f t="shared" si="47"/>
        <v>-1203226.320895575</v>
      </c>
    </row>
    <row r="38" spans="1:212" ht="17.25" thickTop="1" thickBot="1" x14ac:dyDescent="0.3">
      <c r="A38" s="22">
        <f>ROW()</f>
        <v>38</v>
      </c>
      <c r="B38" s="4" t="s">
        <v>568</v>
      </c>
      <c r="C38" s="547"/>
      <c r="D38" s="1036">
        <f t="shared" ref="D38:N38" si="48">SUM(D35:D37)</f>
        <v>1123652959.8876972</v>
      </c>
      <c r="E38" s="1036">
        <f t="shared" si="48"/>
        <v>-1142858.6104254723</v>
      </c>
      <c r="F38" s="1036">
        <f t="shared" si="48"/>
        <v>1122510101.2772717</v>
      </c>
      <c r="G38" s="1036">
        <f t="shared" si="48"/>
        <v>0</v>
      </c>
      <c r="H38" s="1036">
        <f t="shared" si="48"/>
        <v>1122510101.2772717</v>
      </c>
      <c r="I38" s="1036">
        <f t="shared" si="48"/>
        <v>0</v>
      </c>
      <c r="J38" s="1036">
        <f t="shared" si="48"/>
        <v>1122510101.2772717</v>
      </c>
      <c r="K38" s="1037">
        <f t="shared" si="48"/>
        <v>138219875.14086002</v>
      </c>
      <c r="L38" s="1037">
        <f t="shared" si="48"/>
        <v>1260729976.4181318</v>
      </c>
      <c r="M38" s="1037">
        <f t="shared" si="48"/>
        <v>32824823.404728413</v>
      </c>
      <c r="N38" s="1037">
        <f t="shared" si="48"/>
        <v>1293554799.82286</v>
      </c>
      <c r="O38" s="647"/>
      <c r="P38" s="647"/>
      <c r="Q38" s="647"/>
      <c r="R38" s="647"/>
      <c r="S38" s="22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 s="22">
        <f>ROW()</f>
        <v>38</v>
      </c>
      <c r="BV38" s="1038" t="s">
        <v>569</v>
      </c>
      <c r="BW38" s="1029" t="s">
        <v>570</v>
      </c>
      <c r="BX38" s="1039">
        <f t="shared" ref="BX38:CL38" si="49">SUM(BX36:BX37)</f>
        <v>0</v>
      </c>
      <c r="BY38" s="1039">
        <f t="shared" si="49"/>
        <v>0</v>
      </c>
      <c r="BZ38" s="1039">
        <f t="shared" si="49"/>
        <v>155882509.67000005</v>
      </c>
      <c r="CA38" s="1040">
        <f t="shared" si="49"/>
        <v>52195374.07849817</v>
      </c>
      <c r="CB38" s="1039">
        <f t="shared" si="49"/>
        <v>208077883.74849823</v>
      </c>
      <c r="CC38" s="1039">
        <f t="shared" si="49"/>
        <v>-29912774.436111048</v>
      </c>
      <c r="CD38" s="1039">
        <f t="shared" si="49"/>
        <v>178165109.31238717</v>
      </c>
      <c r="CE38" s="1039">
        <f t="shared" si="49"/>
        <v>-13998573.029924475</v>
      </c>
      <c r="CF38" s="1039">
        <f t="shared" si="49"/>
        <v>164166536.28246272</v>
      </c>
      <c r="CG38" s="1039">
        <f t="shared" si="49"/>
        <v>-24066779.190046482</v>
      </c>
      <c r="CH38" s="1039">
        <f t="shared" si="49"/>
        <v>140099757.09241623</v>
      </c>
      <c r="CI38" s="1041">
        <f t="shared" si="49"/>
        <v>0</v>
      </c>
      <c r="CJ38" s="1041">
        <f t="shared" si="49"/>
        <v>0</v>
      </c>
      <c r="CK38" s="1041">
        <f t="shared" si="49"/>
        <v>0</v>
      </c>
      <c r="CL38" s="1041">
        <f t="shared" si="49"/>
        <v>0</v>
      </c>
      <c r="CM38" s="22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F38"/>
      <c r="DG38"/>
      <c r="DH38"/>
      <c r="DI38"/>
      <c r="DJ38"/>
      <c r="DK38"/>
      <c r="DL38"/>
      <c r="DM38"/>
      <c r="DN38" s="573"/>
      <c r="DO38" s="573"/>
      <c r="DP38" s="573"/>
      <c r="DQ38" s="573"/>
      <c r="DR38" s="573"/>
      <c r="DS38" s="573"/>
      <c r="DT38" s="573"/>
      <c r="DU38" s="573"/>
      <c r="DV38" s="573"/>
      <c r="DW38" s="22">
        <f>ROW()</f>
        <v>38</v>
      </c>
      <c r="DX38" s="522" t="s">
        <v>571</v>
      </c>
      <c r="DY38" s="959"/>
      <c r="DZ38" s="982">
        <f t="shared" ref="DZ38:EJ38" si="50">SUM(DZ32:DZ37)</f>
        <v>-50925161.511151932</v>
      </c>
      <c r="EA38" s="982">
        <f t="shared" si="50"/>
        <v>50925161.511151932</v>
      </c>
      <c r="EB38" s="982">
        <f t="shared" si="50"/>
        <v>0</v>
      </c>
      <c r="EC38" s="982">
        <f t="shared" si="50"/>
        <v>0</v>
      </c>
      <c r="ED38" s="982">
        <f t="shared" si="50"/>
        <v>0</v>
      </c>
      <c r="EE38" s="982">
        <f t="shared" si="50"/>
        <v>0</v>
      </c>
      <c r="EF38" s="982">
        <f t="shared" si="50"/>
        <v>0</v>
      </c>
      <c r="EG38" s="982">
        <f t="shared" si="50"/>
        <v>0</v>
      </c>
      <c r="EH38" s="982">
        <f t="shared" si="50"/>
        <v>0</v>
      </c>
      <c r="EI38" s="982">
        <f t="shared" si="50"/>
        <v>0</v>
      </c>
      <c r="EJ38" s="982">
        <f t="shared" si="50"/>
        <v>0</v>
      </c>
      <c r="EK38" s="993"/>
      <c r="EL38" s="993"/>
      <c r="EM38" s="993"/>
      <c r="EN38" s="993"/>
      <c r="EO38" s="22">
        <f>ROW()</f>
        <v>38</v>
      </c>
      <c r="EP38" s="1042"/>
      <c r="EQ38" s="1043"/>
      <c r="ER38" s="1044"/>
      <c r="ES38" s="1044"/>
      <c r="ET38" s="1044"/>
      <c r="EU38" s="1044"/>
      <c r="EV38" s="1044"/>
      <c r="EW38" s="1044"/>
      <c r="EX38" s="1044"/>
      <c r="EY38" s="1044"/>
      <c r="EZ38" s="1044"/>
      <c r="FA38" s="1044"/>
      <c r="FB38" s="1044"/>
      <c r="FC38" s="1044"/>
      <c r="FD38" s="1044"/>
      <c r="FE38" s="1044"/>
      <c r="FF38" s="1044"/>
      <c r="FG38" s="22">
        <f>ROW()</f>
        <v>38</v>
      </c>
      <c r="FH38" s="28" t="s">
        <v>360</v>
      </c>
      <c r="FI38" s="975"/>
      <c r="FJ38" s="979">
        <v>8762.5817570544477</v>
      </c>
      <c r="FK38" s="979">
        <v>-8762.5817570544477</v>
      </c>
      <c r="FL38" s="607">
        <f>FJ38+FK38</f>
        <v>0</v>
      </c>
      <c r="FM38" s="607"/>
      <c r="FN38" s="607">
        <f>FL38+FM38</f>
        <v>0</v>
      </c>
      <c r="FO38" s="607"/>
      <c r="FP38" s="607">
        <f>FN38+FO38</f>
        <v>0</v>
      </c>
      <c r="FQ38" s="607"/>
      <c r="FR38" s="607">
        <f>FP38+FQ38</f>
        <v>0</v>
      </c>
      <c r="FS38" s="607"/>
      <c r="FT38" s="607">
        <f>FR38+FS38</f>
        <v>0</v>
      </c>
      <c r="FY38" s="22">
        <f>ROW()</f>
        <v>38</v>
      </c>
      <c r="FZ38" s="1045"/>
      <c r="GA38" s="1043"/>
      <c r="GB38" s="907"/>
      <c r="GC38" s="907"/>
      <c r="GD38" s="907"/>
      <c r="GE38" s="907"/>
      <c r="GF38" s="907"/>
      <c r="GG38" s="43"/>
      <c r="GH38" s="907"/>
      <c r="GI38" s="43"/>
      <c r="GJ38" s="907"/>
      <c r="GK38" s="43"/>
      <c r="GL38" s="907"/>
      <c r="GM38" s="980"/>
      <c r="GN38" s="980"/>
      <c r="GO38" s="980"/>
      <c r="GP38" s="980"/>
    </row>
    <row r="39" spans="1:212" ht="16.5" thickTop="1" x14ac:dyDescent="0.25">
      <c r="A39" s="22">
        <f>ROW()</f>
        <v>39</v>
      </c>
      <c r="B39" s="679" t="s">
        <v>306</v>
      </c>
      <c r="C39" s="547"/>
      <c r="D39" s="647"/>
      <c r="E39" s="647"/>
      <c r="F39" s="647"/>
      <c r="G39" s="647"/>
      <c r="H39" s="647"/>
      <c r="I39" s="647"/>
      <c r="J39" s="647"/>
      <c r="K39" s="647"/>
      <c r="L39" s="647"/>
      <c r="M39" s="647"/>
      <c r="N39" s="647"/>
      <c r="O39" s="67"/>
      <c r="P39" s="67"/>
      <c r="Q39" s="67"/>
      <c r="R39" s="67"/>
      <c r="S39" s="22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 s="22">
        <f>ROW()</f>
        <v>39</v>
      </c>
      <c r="BV39" s="1046" t="s">
        <v>316</v>
      </c>
      <c r="BX39" s="1047">
        <f t="shared" ref="BX39:CL39" si="51">+BX32-BX38</f>
        <v>0</v>
      </c>
      <c r="BY39" s="1047">
        <f t="shared" si="51"/>
        <v>0</v>
      </c>
      <c r="BZ39" s="1047">
        <f t="shared" si="51"/>
        <v>0</v>
      </c>
      <c r="CA39" s="1047">
        <f t="shared" si="51"/>
        <v>0</v>
      </c>
      <c r="CB39" s="1047">
        <f t="shared" si="51"/>
        <v>0</v>
      </c>
      <c r="CC39" s="1047">
        <f t="shared" si="51"/>
        <v>0</v>
      </c>
      <c r="CD39" s="1047">
        <f t="shared" si="51"/>
        <v>0</v>
      </c>
      <c r="CE39" s="1047">
        <f t="shared" si="51"/>
        <v>5.9604644775390625E-8</v>
      </c>
      <c r="CF39" s="1047">
        <f t="shared" si="51"/>
        <v>0</v>
      </c>
      <c r="CG39" s="1047">
        <f t="shared" si="51"/>
        <v>0</v>
      </c>
      <c r="CH39" s="1047">
        <f t="shared" si="51"/>
        <v>0</v>
      </c>
      <c r="CI39" s="1047">
        <f t="shared" si="51"/>
        <v>0</v>
      </c>
      <c r="CJ39" s="1047">
        <f t="shared" si="51"/>
        <v>0</v>
      </c>
      <c r="CK39" s="1047">
        <f t="shared" si="51"/>
        <v>0</v>
      </c>
      <c r="CL39" s="1047">
        <f t="shared" si="51"/>
        <v>0</v>
      </c>
      <c r="CM39" s="22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F39"/>
      <c r="DG39"/>
      <c r="DH39"/>
      <c r="DI39"/>
      <c r="DJ39"/>
      <c r="DK39"/>
      <c r="DL39"/>
      <c r="DM39"/>
      <c r="DN39" s="23"/>
      <c r="DO39" s="23"/>
      <c r="DP39" s="23"/>
      <c r="DQ39" s="23"/>
      <c r="DR39" s="23"/>
      <c r="DS39" s="23"/>
      <c r="DT39" s="23"/>
      <c r="DU39" s="23"/>
      <c r="DV39" s="23"/>
      <c r="DW39" s="22">
        <f>ROW()</f>
        <v>39</v>
      </c>
      <c r="DX39" s="522" t="s">
        <v>306</v>
      </c>
      <c r="DY39" s="959"/>
      <c r="DZ39" s="102"/>
      <c r="EA39" s="963"/>
      <c r="EB39" s="1020"/>
      <c r="EC39" s="1020"/>
      <c r="ED39" s="1020"/>
      <c r="EE39" s="1020"/>
      <c r="EF39" s="1020"/>
      <c r="EG39" s="1020"/>
      <c r="EH39" s="1020"/>
      <c r="EI39" s="1020"/>
      <c r="EJ39" s="1020"/>
      <c r="EK39" s="1048"/>
      <c r="EL39" s="1048"/>
      <c r="EM39" s="1048"/>
      <c r="EN39" s="1048"/>
      <c r="EO39" s="22">
        <f>ROW()</f>
        <v>39</v>
      </c>
      <c r="EP39" s="694" t="s">
        <v>313</v>
      </c>
      <c r="EQ39" s="694"/>
      <c r="ER39" s="64">
        <f>ER37</f>
        <v>6645801.3400000408</v>
      </c>
      <c r="ES39" s="64">
        <f t="shared" ref="ES39:FF39" si="52">ES37</f>
        <v>-884308.18000002205</v>
      </c>
      <c r="ET39" s="64">
        <f t="shared" si="52"/>
        <v>5761493.1600000188</v>
      </c>
      <c r="EU39" s="64">
        <f t="shared" si="52"/>
        <v>0</v>
      </c>
      <c r="EV39" s="64">
        <f t="shared" si="52"/>
        <v>5761493.1600000188</v>
      </c>
      <c r="EW39" s="64">
        <f t="shared" si="52"/>
        <v>0</v>
      </c>
      <c r="EX39" s="64">
        <f t="shared" si="52"/>
        <v>5761493.1600000188</v>
      </c>
      <c r="EY39" s="64">
        <f t="shared" si="52"/>
        <v>0</v>
      </c>
      <c r="EZ39" s="64">
        <f t="shared" si="52"/>
        <v>5761493.1600000188</v>
      </c>
      <c r="FA39" s="64">
        <f t="shared" si="52"/>
        <v>-1.1175870895385742E-8</v>
      </c>
      <c r="FB39" s="64">
        <f t="shared" si="52"/>
        <v>5761493.1600000076</v>
      </c>
      <c r="FC39" s="64">
        <f t="shared" si="52"/>
        <v>0</v>
      </c>
      <c r="FD39" s="64">
        <f t="shared" si="52"/>
        <v>0</v>
      </c>
      <c r="FE39" s="64">
        <f t="shared" si="52"/>
        <v>0</v>
      </c>
      <c r="FF39" s="64">
        <f t="shared" si="52"/>
        <v>0</v>
      </c>
      <c r="FG39" s="22">
        <f>ROW()</f>
        <v>39</v>
      </c>
      <c r="FH39" s="28" t="s">
        <v>105</v>
      </c>
      <c r="FI39" s="975"/>
      <c r="FJ39" s="979">
        <v>39203.64</v>
      </c>
      <c r="FK39" s="979">
        <v>-39203.64</v>
      </c>
      <c r="FL39" s="607">
        <f>FJ39+FK39</f>
        <v>0</v>
      </c>
      <c r="FM39" s="607"/>
      <c r="FN39" s="607">
        <f>FL39+FM39</f>
        <v>0</v>
      </c>
      <c r="FO39" s="607"/>
      <c r="FP39" s="607">
        <f>FN39+FO39</f>
        <v>0</v>
      </c>
      <c r="FQ39" s="607"/>
      <c r="FR39" s="607">
        <f>FP39+FQ39</f>
        <v>0</v>
      </c>
      <c r="FS39" s="607"/>
      <c r="FT39" s="607">
        <f>FR39+FS39</f>
        <v>0</v>
      </c>
      <c r="FY39" s="22">
        <f>ROW()</f>
        <v>39</v>
      </c>
      <c r="FZ39" s="694" t="s">
        <v>313</v>
      </c>
      <c r="GA39" s="694"/>
      <c r="GB39" s="64">
        <f>GB37</f>
        <v>0</v>
      </c>
      <c r="GC39" s="64">
        <f>GC37</f>
        <v>0</v>
      </c>
      <c r="GD39" s="64">
        <f t="shared" ref="GD39:GL39" si="53">GD37</f>
        <v>0</v>
      </c>
      <c r="GE39" s="64">
        <f t="shared" si="53"/>
        <v>0</v>
      </c>
      <c r="GF39" s="64">
        <f t="shared" si="53"/>
        <v>0</v>
      </c>
      <c r="GG39" s="64">
        <f t="shared" si="53"/>
        <v>0</v>
      </c>
      <c r="GH39" s="64">
        <f t="shared" si="53"/>
        <v>0</v>
      </c>
      <c r="GI39" s="64">
        <f t="shared" si="53"/>
        <v>870292.49262051273</v>
      </c>
      <c r="GJ39" s="64">
        <f t="shared" si="53"/>
        <v>870292.49262051273</v>
      </c>
      <c r="GK39" s="64">
        <f t="shared" si="53"/>
        <v>0</v>
      </c>
      <c r="GL39" s="64">
        <f t="shared" si="53"/>
        <v>870292.49262051273</v>
      </c>
      <c r="GM39" s="64"/>
      <c r="GN39" s="64"/>
      <c r="GO39" s="64"/>
      <c r="GP39" s="64"/>
      <c r="GQ39" s="65" t="s">
        <v>30</v>
      </c>
    </row>
    <row r="40" spans="1:212" x14ac:dyDescent="0.25">
      <c r="A40" s="22">
        <f>ROW()</f>
        <v>40</v>
      </c>
      <c r="B40" s="547" t="s">
        <v>572</v>
      </c>
      <c r="C40" s="699">
        <v>0.21</v>
      </c>
      <c r="D40" s="647">
        <f>-D38*$C$40</f>
        <v>-235967121.5764164</v>
      </c>
      <c r="E40" s="647">
        <f>-E38*$C$40</f>
        <v>240000.30818934916</v>
      </c>
      <c r="F40" s="976">
        <f>SUM(D40:E40)</f>
        <v>-235727121.26822704</v>
      </c>
      <c r="G40" s="647">
        <f>-G38*$C$40</f>
        <v>0</v>
      </c>
      <c r="H40" s="976">
        <f t="shared" ref="H40:N40" si="54">SUM(F40:G40)</f>
        <v>-235727121.26822704</v>
      </c>
      <c r="I40" s="647">
        <f>-I38*$C$40</f>
        <v>0</v>
      </c>
      <c r="J40" s="976">
        <f t="shared" si="54"/>
        <v>-235727121.26822704</v>
      </c>
      <c r="K40" s="823">
        <f>-K38*$C$40</f>
        <v>-29026173.779580604</v>
      </c>
      <c r="L40" s="823">
        <f t="shared" si="54"/>
        <v>-264753295.04780763</v>
      </c>
      <c r="M40" s="823">
        <f>-M38*$C$40</f>
        <v>-6893212.9149929667</v>
      </c>
      <c r="N40" s="823">
        <f t="shared" si="54"/>
        <v>-271646507.96280062</v>
      </c>
      <c r="O40" s="561"/>
      <c r="P40" s="561"/>
      <c r="Q40" s="561"/>
      <c r="R40" s="561"/>
      <c r="S40" s="22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 s="22">
        <f>ROW()</f>
        <v>40</v>
      </c>
      <c r="CM40" s="22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F40"/>
      <c r="DG40"/>
      <c r="DH40"/>
      <c r="DI40"/>
      <c r="DJ40"/>
      <c r="DK40"/>
      <c r="DL40"/>
      <c r="DM40"/>
      <c r="DN40" s="23"/>
      <c r="DO40" s="23"/>
      <c r="DP40" s="23"/>
      <c r="DQ40" s="23"/>
      <c r="DR40" s="23"/>
      <c r="DS40" s="23"/>
      <c r="DT40" s="23"/>
      <c r="DU40" s="23"/>
      <c r="DV40" s="23"/>
      <c r="DW40" s="22">
        <f>ROW()</f>
        <v>40</v>
      </c>
      <c r="DX40" s="522" t="s">
        <v>573</v>
      </c>
      <c r="DY40" s="959"/>
      <c r="DZ40" s="858"/>
      <c r="EA40" s="1049"/>
      <c r="EB40" s="102"/>
      <c r="EC40" s="102"/>
      <c r="ED40" s="102"/>
      <c r="EE40" s="102"/>
      <c r="EF40" s="102"/>
      <c r="EG40" s="102"/>
      <c r="EH40" s="102"/>
      <c r="EI40" s="102"/>
      <c r="EJ40" s="102"/>
      <c r="EK40" s="616"/>
      <c r="EL40" s="616"/>
      <c r="EM40" s="616"/>
      <c r="EN40" s="616"/>
      <c r="EO40" s="22">
        <f>ROW()</f>
        <v>40</v>
      </c>
      <c r="EP40" s="694"/>
      <c r="EQ40" s="69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22">
        <f>ROW()</f>
        <v>40</v>
      </c>
      <c r="FH40" s="28" t="s">
        <v>306</v>
      </c>
      <c r="FI40" s="975"/>
      <c r="FJ40" s="979">
        <v>0</v>
      </c>
      <c r="FK40" s="979">
        <v>0</v>
      </c>
      <c r="FL40" s="607"/>
      <c r="FM40" s="607"/>
      <c r="FN40" s="607"/>
      <c r="FO40" s="607"/>
      <c r="FP40" s="607"/>
      <c r="FQ40" s="607"/>
      <c r="FR40" s="607"/>
      <c r="FS40" s="607"/>
      <c r="FT40" s="607"/>
      <c r="FY40" s="22">
        <f>ROW()</f>
        <v>40</v>
      </c>
      <c r="FZ40" s="694"/>
      <c r="GA40" s="69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</row>
    <row r="41" spans="1:212" ht="15.75" thickBot="1" x14ac:dyDescent="0.3">
      <c r="A41" s="22">
        <f>ROW()</f>
        <v>41</v>
      </c>
      <c r="B41" s="547" t="s">
        <v>574</v>
      </c>
      <c r="C41" s="547"/>
      <c r="D41" s="62">
        <f t="shared" ref="D41:N41" si="55">-D38-D40</f>
        <v>-887685838.31128085</v>
      </c>
      <c r="E41" s="62">
        <f t="shared" si="55"/>
        <v>902858.30223612313</v>
      </c>
      <c r="F41" s="62">
        <f t="shared" si="55"/>
        <v>-886782980.00904465</v>
      </c>
      <c r="G41" s="62">
        <f t="shared" si="55"/>
        <v>0</v>
      </c>
      <c r="H41" s="62">
        <f t="shared" si="55"/>
        <v>-886782980.00904465</v>
      </c>
      <c r="I41" s="62">
        <f t="shared" si="55"/>
        <v>0</v>
      </c>
      <c r="J41" s="62">
        <f t="shared" si="55"/>
        <v>-886782980.00904465</v>
      </c>
      <c r="K41" s="61">
        <f t="shared" si="55"/>
        <v>-109193701.36127941</v>
      </c>
      <c r="L41" s="61">
        <f t="shared" si="55"/>
        <v>-995976681.37032413</v>
      </c>
      <c r="M41" s="61">
        <f t="shared" si="55"/>
        <v>-25931610.489735447</v>
      </c>
      <c r="N41" s="61">
        <f t="shared" si="55"/>
        <v>-1021908291.8600594</v>
      </c>
      <c r="O41" s="1050"/>
      <c r="P41" s="1050"/>
      <c r="Q41" s="1050"/>
      <c r="R41" s="1050"/>
      <c r="S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 s="22">
        <f>ROW()</f>
        <v>41</v>
      </c>
      <c r="BV41" s="712" t="s">
        <v>296</v>
      </c>
      <c r="CC41" s="667"/>
      <c r="CD41" s="667"/>
      <c r="CE41" s="667"/>
      <c r="CF41" s="667"/>
      <c r="CG41" s="667"/>
      <c r="CH41" s="667"/>
      <c r="CI41" s="667"/>
      <c r="CJ41" s="667"/>
      <c r="CK41" s="667"/>
      <c r="CL41" s="667"/>
      <c r="CM41" s="22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F41"/>
      <c r="DG41"/>
      <c r="DH41"/>
      <c r="DI41"/>
      <c r="DJ41"/>
      <c r="DK41"/>
      <c r="DL41"/>
      <c r="DM41"/>
      <c r="DN41" s="42"/>
      <c r="DO41" s="42"/>
      <c r="DP41" s="42"/>
      <c r="DQ41" s="42"/>
      <c r="DR41" s="42"/>
      <c r="DS41" s="42"/>
      <c r="DT41" s="42"/>
      <c r="DU41" s="42"/>
      <c r="DV41" s="42"/>
      <c r="DW41" s="22">
        <f>ROW()</f>
        <v>41</v>
      </c>
      <c r="DX41" s="102" t="s">
        <v>575</v>
      </c>
      <c r="DY41" s="959"/>
      <c r="DZ41" s="571">
        <v>-240042970.06</v>
      </c>
      <c r="EA41" s="963">
        <v>240042970.06</v>
      </c>
      <c r="EB41" s="571">
        <f t="shared" ref="EB41:ED47" si="56">DZ41+EA41</f>
        <v>0</v>
      </c>
      <c r="EC41" s="571"/>
      <c r="ED41" s="571">
        <f t="shared" si="56"/>
        <v>0</v>
      </c>
      <c r="EE41" s="571"/>
      <c r="EF41" s="571">
        <f t="shared" ref="EF41:EF47" si="57">ED41+EE41</f>
        <v>0</v>
      </c>
      <c r="EG41" s="571"/>
      <c r="EH41" s="571">
        <f t="shared" ref="EH41:EH47" si="58">EF41+EG41</f>
        <v>0</v>
      </c>
      <c r="EI41" s="571"/>
      <c r="EJ41" s="571">
        <f t="shared" ref="EJ41:EJ47" si="59">EH41+EI41</f>
        <v>0</v>
      </c>
      <c r="EK41" s="653"/>
      <c r="EL41" s="653"/>
      <c r="EM41" s="653"/>
      <c r="EN41" s="653"/>
      <c r="EO41" s="22">
        <f>ROW()</f>
        <v>41</v>
      </c>
      <c r="EP41" s="694" t="s">
        <v>283</v>
      </c>
      <c r="EQ41" s="695">
        <v>0.21</v>
      </c>
      <c r="ER41" s="1051">
        <f t="shared" ref="ER41:FF41" si="60">-ER39*$C$40</f>
        <v>-1395618.2814000086</v>
      </c>
      <c r="ES41" s="1051">
        <f t="shared" si="60"/>
        <v>185704.71780000461</v>
      </c>
      <c r="ET41" s="1051">
        <f t="shared" si="60"/>
        <v>-1209913.563600004</v>
      </c>
      <c r="EU41" s="1051">
        <f t="shared" si="60"/>
        <v>0</v>
      </c>
      <c r="EV41" s="1051">
        <f t="shared" si="60"/>
        <v>-1209913.563600004</v>
      </c>
      <c r="EW41" s="1051">
        <f t="shared" si="60"/>
        <v>0</v>
      </c>
      <c r="EX41" s="1051">
        <f t="shared" si="60"/>
        <v>-1209913.563600004</v>
      </c>
      <c r="EY41" s="1051">
        <f t="shared" si="60"/>
        <v>0</v>
      </c>
      <c r="EZ41" s="1051">
        <f t="shared" si="60"/>
        <v>-1209913.563600004</v>
      </c>
      <c r="FA41" s="1051">
        <f t="shared" si="60"/>
        <v>2.3469328880310059E-9</v>
      </c>
      <c r="FB41" s="1051">
        <f t="shared" si="60"/>
        <v>-1209913.5636000016</v>
      </c>
      <c r="FC41" s="1051">
        <f t="shared" si="60"/>
        <v>0</v>
      </c>
      <c r="FD41" s="1051">
        <f t="shared" si="60"/>
        <v>0</v>
      </c>
      <c r="FE41" s="1051">
        <f t="shared" si="60"/>
        <v>0</v>
      </c>
      <c r="FF41" s="1051">
        <f t="shared" si="60"/>
        <v>0</v>
      </c>
      <c r="FG41" s="22">
        <f>ROW()</f>
        <v>41</v>
      </c>
      <c r="FH41" s="28" t="s">
        <v>576</v>
      </c>
      <c r="FI41" s="975"/>
      <c r="FJ41" s="979">
        <v>1918650.5099999998</v>
      </c>
      <c r="FK41" s="979">
        <v>-1918650.5099999998</v>
      </c>
      <c r="FL41" s="607">
        <f>FJ41+FK41</f>
        <v>0</v>
      </c>
      <c r="FM41" s="607"/>
      <c r="FN41" s="607">
        <f>FL41+FM41</f>
        <v>0</v>
      </c>
      <c r="FO41" s="607"/>
      <c r="FP41" s="607">
        <f>FN41+FO41</f>
        <v>0</v>
      </c>
      <c r="FQ41" s="607"/>
      <c r="FR41" s="607">
        <f>FP41+FQ41</f>
        <v>0</v>
      </c>
      <c r="FS41" s="607"/>
      <c r="FT41" s="607">
        <f>FR41+FS41</f>
        <v>0</v>
      </c>
      <c r="FY41" s="22">
        <f>ROW()</f>
        <v>41</v>
      </c>
      <c r="FZ41" s="694" t="s">
        <v>283</v>
      </c>
      <c r="GA41" s="695">
        <v>0.21</v>
      </c>
      <c r="GB41" s="1051">
        <f>-GB39*$GA$41</f>
        <v>0</v>
      </c>
      <c r="GC41" s="1051">
        <f t="shared" ref="GC41:GL41" si="61">-GC39*$GA$41</f>
        <v>0</v>
      </c>
      <c r="GD41" s="1051">
        <f t="shared" si="61"/>
        <v>0</v>
      </c>
      <c r="GE41" s="1051">
        <f t="shared" si="61"/>
        <v>0</v>
      </c>
      <c r="GF41" s="1051">
        <f t="shared" si="61"/>
        <v>0</v>
      </c>
      <c r="GG41" s="1051">
        <f t="shared" si="61"/>
        <v>0</v>
      </c>
      <c r="GH41" s="1051">
        <f t="shared" si="61"/>
        <v>0</v>
      </c>
      <c r="GI41" s="1051">
        <f t="shared" si="61"/>
        <v>-182761.42345030766</v>
      </c>
      <c r="GJ41" s="1051">
        <f t="shared" si="61"/>
        <v>-182761.42345030766</v>
      </c>
      <c r="GK41" s="1051">
        <f t="shared" si="61"/>
        <v>0</v>
      </c>
      <c r="GL41" s="1051">
        <f t="shared" si="61"/>
        <v>-182761.42345030766</v>
      </c>
      <c r="GM41" s="1052"/>
      <c r="GN41" s="1052"/>
      <c r="GO41" s="1052"/>
      <c r="GP41" s="1052"/>
      <c r="GR41" s="523"/>
      <c r="GS41" s="89"/>
      <c r="GT41" s="1224"/>
      <c r="GU41" s="1224"/>
      <c r="GV41" s="1224"/>
      <c r="GW41" s="1224"/>
      <c r="GX41" s="1224"/>
      <c r="GY41" s="1224"/>
      <c r="GZ41" s="1224"/>
      <c r="HA41" s="1224"/>
      <c r="HB41" s="1224"/>
      <c r="HC41" s="1224"/>
      <c r="HD41" s="1224"/>
    </row>
    <row r="42" spans="1:212" ht="16.5" thickTop="1" thickBot="1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 s="22">
        <f>ROW()</f>
        <v>42</v>
      </c>
      <c r="BV42" s="971" t="s">
        <v>472</v>
      </c>
      <c r="BX42" s="756">
        <v>2885052</v>
      </c>
      <c r="BY42" s="74">
        <f>BZ42-BX42</f>
        <v>0</v>
      </c>
      <c r="BZ42" s="756">
        <v>2885052</v>
      </c>
      <c r="CA42" s="74">
        <f>CB42-BZ42</f>
        <v>0</v>
      </c>
      <c r="CB42" s="756">
        <v>2885052</v>
      </c>
      <c r="CC42" s="74">
        <f>CD42-CB42</f>
        <v>0</v>
      </c>
      <c r="CD42" s="756">
        <v>2885052</v>
      </c>
      <c r="CE42" s="74">
        <f>CF42-CD42</f>
        <v>-2330028.624977693</v>
      </c>
      <c r="CF42" s="756">
        <v>555023.37502230704</v>
      </c>
      <c r="CG42" s="74">
        <f>CH42-CF42</f>
        <v>-555023.37502230704</v>
      </c>
      <c r="CH42" s="756">
        <v>0</v>
      </c>
      <c r="CI42" s="74">
        <f>CJ42-CH42</f>
        <v>0</v>
      </c>
      <c r="CJ42" s="756">
        <v>0</v>
      </c>
      <c r="CK42" s="74">
        <f>CL42-CJ42</f>
        <v>0</v>
      </c>
      <c r="CL42" s="756">
        <v>0</v>
      </c>
      <c r="CM42" s="2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F42" s="1053"/>
      <c r="DG42" s="1053"/>
      <c r="DH42" s="1053"/>
      <c r="DI42" s="1053"/>
      <c r="DJ42" s="1053"/>
      <c r="DK42" s="1053"/>
      <c r="DL42" s="1053"/>
      <c r="DM42" s="1053"/>
      <c r="DN42" s="1053"/>
      <c r="DO42" s="1053"/>
      <c r="DP42" s="1053"/>
      <c r="DQ42" s="1053"/>
      <c r="DR42" s="1053"/>
      <c r="DS42" s="1053"/>
      <c r="DT42" s="1053"/>
      <c r="DU42" s="1053"/>
      <c r="DV42" s="1053"/>
      <c r="DW42" s="22">
        <f>ROW()</f>
        <v>42</v>
      </c>
      <c r="DX42" s="102" t="s">
        <v>577</v>
      </c>
      <c r="DY42" s="959"/>
      <c r="DZ42" s="979">
        <v>-17551177.859999999</v>
      </c>
      <c r="EA42" s="1020">
        <v>17551177.859999999</v>
      </c>
      <c r="EB42" s="607">
        <f t="shared" si="56"/>
        <v>0</v>
      </c>
      <c r="EC42" s="607"/>
      <c r="ED42" s="607">
        <f t="shared" si="56"/>
        <v>0</v>
      </c>
      <c r="EE42" s="607"/>
      <c r="EF42" s="607">
        <f t="shared" si="57"/>
        <v>0</v>
      </c>
      <c r="EG42" s="607"/>
      <c r="EH42" s="607">
        <f t="shared" si="58"/>
        <v>0</v>
      </c>
      <c r="EI42" s="607"/>
      <c r="EJ42" s="607">
        <f t="shared" si="59"/>
        <v>0</v>
      </c>
      <c r="EK42" s="674"/>
      <c r="EL42" s="674"/>
      <c r="EM42" s="674"/>
      <c r="EN42" s="674"/>
      <c r="EO42" s="22">
        <f>ROW()</f>
        <v>42</v>
      </c>
      <c r="EP42" s="694" t="s">
        <v>240</v>
      </c>
      <c r="EQ42" s="694"/>
      <c r="ER42" s="62">
        <f t="shared" ref="ER42:FF42" si="62">-ER39-ER41</f>
        <v>-5250183.0586000327</v>
      </c>
      <c r="ES42" s="62">
        <f t="shared" si="62"/>
        <v>698603.46220001741</v>
      </c>
      <c r="ET42" s="62">
        <f t="shared" si="62"/>
        <v>-4551579.5964000151</v>
      </c>
      <c r="EU42" s="62">
        <f t="shared" si="62"/>
        <v>0</v>
      </c>
      <c r="EV42" s="62">
        <f t="shared" si="62"/>
        <v>-4551579.5964000151</v>
      </c>
      <c r="EW42" s="62">
        <f t="shared" si="62"/>
        <v>0</v>
      </c>
      <c r="EX42" s="62">
        <f t="shared" si="62"/>
        <v>-4551579.5964000151</v>
      </c>
      <c r="EY42" s="62">
        <f t="shared" si="62"/>
        <v>0</v>
      </c>
      <c r="EZ42" s="62">
        <f t="shared" si="62"/>
        <v>-4551579.5964000151</v>
      </c>
      <c r="FA42" s="62">
        <f t="shared" si="62"/>
        <v>8.8289380073547367E-9</v>
      </c>
      <c r="FB42" s="62">
        <f t="shared" si="62"/>
        <v>-4551579.5964000057</v>
      </c>
      <c r="FC42" s="62">
        <f t="shared" si="62"/>
        <v>0</v>
      </c>
      <c r="FD42" s="62">
        <f t="shared" si="62"/>
        <v>0</v>
      </c>
      <c r="FE42" s="62">
        <f t="shared" si="62"/>
        <v>0</v>
      </c>
      <c r="FF42" s="62">
        <f t="shared" si="62"/>
        <v>0</v>
      </c>
      <c r="FG42" s="22">
        <f>ROW()</f>
        <v>42</v>
      </c>
      <c r="FH42" s="28" t="s">
        <v>578</v>
      </c>
      <c r="FI42" s="975"/>
      <c r="FJ42" s="979">
        <v>-797103.5</v>
      </c>
      <c r="FK42" s="979">
        <v>797103.5</v>
      </c>
      <c r="FL42" s="607">
        <f>FJ42+FK42</f>
        <v>0</v>
      </c>
      <c r="FM42" s="607"/>
      <c r="FN42" s="607">
        <f>FL42+FM42</f>
        <v>0</v>
      </c>
      <c r="FO42" s="607"/>
      <c r="FP42" s="607">
        <f>FN42+FO42</f>
        <v>0</v>
      </c>
      <c r="FQ42" s="607"/>
      <c r="FR42" s="607">
        <f>FP42+FQ42</f>
        <v>0</v>
      </c>
      <c r="FS42" s="607"/>
      <c r="FT42" s="607">
        <f>FR42+FS42</f>
        <v>0</v>
      </c>
      <c r="FY42" s="22">
        <f>ROW()</f>
        <v>42</v>
      </c>
      <c r="FZ42" s="694" t="s">
        <v>240</v>
      </c>
      <c r="GA42" s="694"/>
      <c r="GB42" s="62">
        <f t="shared" ref="GB42:GL42" si="63">-GB39-GB41</f>
        <v>0</v>
      </c>
      <c r="GC42" s="62">
        <f t="shared" si="63"/>
        <v>0</v>
      </c>
      <c r="GD42" s="62">
        <f t="shared" si="63"/>
        <v>0</v>
      </c>
      <c r="GE42" s="62">
        <f t="shared" si="63"/>
        <v>0</v>
      </c>
      <c r="GF42" s="62">
        <f t="shared" si="63"/>
        <v>0</v>
      </c>
      <c r="GG42" s="62">
        <f t="shared" si="63"/>
        <v>0</v>
      </c>
      <c r="GH42" s="62">
        <f t="shared" si="63"/>
        <v>0</v>
      </c>
      <c r="GI42" s="62">
        <f t="shared" si="63"/>
        <v>-687531.06917020504</v>
      </c>
      <c r="GJ42" s="62">
        <f t="shared" si="63"/>
        <v>-687531.06917020504</v>
      </c>
      <c r="GK42" s="62">
        <f t="shared" si="63"/>
        <v>0</v>
      </c>
      <c r="GL42" s="62">
        <f t="shared" si="63"/>
        <v>-687531.06917020504</v>
      </c>
      <c r="GM42" s="64"/>
      <c r="GN42" s="64"/>
      <c r="GO42" s="64"/>
      <c r="GP42" s="64"/>
      <c r="GR42" s="942"/>
      <c r="GS42" s="1207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</row>
    <row r="43" spans="1:212" ht="15.75" thickTop="1" x14ac:dyDescent="0.25">
      <c r="A43" s="301" t="s">
        <v>30</v>
      </c>
      <c r="O43"/>
      <c r="P43"/>
      <c r="Q43"/>
      <c r="R43"/>
      <c r="S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 s="22">
        <f>ROW()</f>
        <v>43</v>
      </c>
      <c r="BV43" s="971" t="s">
        <v>479</v>
      </c>
      <c r="BW43" s="1054"/>
      <c r="BX43" s="1055" t="s">
        <v>579</v>
      </c>
      <c r="BY43" s="74"/>
      <c r="BZ43" s="972"/>
      <c r="CA43" s="972"/>
      <c r="CB43" s="972"/>
      <c r="CC43" s="972"/>
      <c r="CD43" s="972"/>
      <c r="CE43" s="972"/>
      <c r="CF43" s="972"/>
      <c r="CG43" s="972"/>
      <c r="CH43" s="972"/>
      <c r="CI43" s="972"/>
      <c r="CJ43" s="972"/>
      <c r="CK43" s="972"/>
      <c r="CL43" s="972"/>
      <c r="CM43" s="22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F43" s="1053"/>
      <c r="DG43" s="1053"/>
      <c r="DH43" s="1053"/>
      <c r="DI43" s="1053"/>
      <c r="DJ43" s="1053"/>
      <c r="DK43" s="1053"/>
      <c r="DL43" s="1053"/>
      <c r="DM43" s="1053"/>
      <c r="DN43" s="1053"/>
      <c r="DO43" s="1053"/>
      <c r="DP43" s="1053"/>
      <c r="DQ43" s="1053"/>
      <c r="DR43" s="1053"/>
      <c r="DS43" s="1053"/>
      <c r="DT43" s="1053"/>
      <c r="DU43" s="1053"/>
      <c r="DV43" s="1053"/>
      <c r="DW43" s="22">
        <f>ROW()</f>
        <v>43</v>
      </c>
      <c r="DX43" s="1" t="s">
        <v>580</v>
      </c>
      <c r="DY43" s="959"/>
      <c r="DZ43" s="979">
        <v>5000000</v>
      </c>
      <c r="EA43" s="1020">
        <v>-5000000</v>
      </c>
      <c r="EB43" s="607">
        <f t="shared" si="56"/>
        <v>0</v>
      </c>
      <c r="EC43" s="607"/>
      <c r="ED43" s="607">
        <f t="shared" si="56"/>
        <v>0</v>
      </c>
      <c r="EE43" s="607"/>
      <c r="EF43" s="607">
        <f t="shared" si="57"/>
        <v>0</v>
      </c>
      <c r="EG43" s="607"/>
      <c r="EH43" s="607">
        <f t="shared" si="58"/>
        <v>0</v>
      </c>
      <c r="EI43" s="607"/>
      <c r="EJ43" s="607">
        <f t="shared" si="59"/>
        <v>0</v>
      </c>
      <c r="EK43" s="674"/>
      <c r="EL43" s="674"/>
      <c r="EM43" s="674"/>
      <c r="EN43" s="674"/>
      <c r="EO43" s="1056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 s="22">
        <f>ROW()</f>
        <v>43</v>
      </c>
      <c r="FH43" s="28" t="s">
        <v>581</v>
      </c>
      <c r="FI43" s="975"/>
      <c r="FJ43" s="979">
        <v>-12222</v>
      </c>
      <c r="FK43" s="1057">
        <v>12222</v>
      </c>
      <c r="FL43" s="607"/>
      <c r="FM43" s="607"/>
      <c r="FN43" s="607"/>
      <c r="FO43" s="607"/>
      <c r="FP43" s="607"/>
      <c r="FQ43" s="607"/>
      <c r="FR43" s="607"/>
      <c r="FS43" s="607"/>
      <c r="FT43" s="607"/>
      <c r="FY43" s="22"/>
      <c r="FZ43" s="694"/>
      <c r="GA43" s="69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R43" s="1207"/>
      <c r="GS43" s="1207"/>
      <c r="GT43" s="611"/>
      <c r="GU43" s="611"/>
      <c r="GV43" s="579"/>
      <c r="GW43" s="611"/>
      <c r="GX43" s="611"/>
      <c r="GY43" s="611"/>
      <c r="GZ43" s="611"/>
      <c r="HA43" s="611"/>
      <c r="HB43" s="611"/>
      <c r="HC43" s="611"/>
      <c r="HD43" s="611"/>
    </row>
    <row r="44" spans="1:212" x14ac:dyDescent="0.25">
      <c r="A44"/>
      <c r="O44"/>
      <c r="P44"/>
      <c r="Q44"/>
      <c r="R44"/>
      <c r="S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 s="22">
        <f>ROW()</f>
        <v>44</v>
      </c>
      <c r="BV44" s="965" t="s">
        <v>582</v>
      </c>
      <c r="BW44" s="480"/>
      <c r="BX44" s="1055" t="s">
        <v>579</v>
      </c>
      <c r="BY44" s="74"/>
      <c r="BZ44" s="972"/>
      <c r="CA44" s="972"/>
      <c r="CB44" s="972"/>
      <c r="CC44" s="972"/>
      <c r="CD44" s="972"/>
      <c r="CE44" s="972"/>
      <c r="CF44" s="972"/>
      <c r="CG44" s="972"/>
      <c r="CH44" s="972"/>
      <c r="CI44" s="972"/>
      <c r="CJ44" s="972"/>
      <c r="CK44" s="972"/>
      <c r="CL44" s="972"/>
      <c r="CM44" s="22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22">
        <f>ROW()</f>
        <v>44</v>
      </c>
      <c r="DX44" s="102" t="s">
        <v>583</v>
      </c>
      <c r="DY44" s="959"/>
      <c r="DZ44" s="979">
        <v>50409023.710000001</v>
      </c>
      <c r="EA44" s="1020">
        <v>-50409023.710000001</v>
      </c>
      <c r="EB44" s="607">
        <f t="shared" si="56"/>
        <v>0</v>
      </c>
      <c r="EC44" s="607"/>
      <c r="ED44" s="607">
        <f t="shared" si="56"/>
        <v>0</v>
      </c>
      <c r="EE44" s="607"/>
      <c r="EF44" s="607">
        <f t="shared" si="57"/>
        <v>0</v>
      </c>
      <c r="EG44" s="607"/>
      <c r="EH44" s="607">
        <f t="shared" si="58"/>
        <v>0</v>
      </c>
      <c r="EI44" s="607"/>
      <c r="EJ44" s="607">
        <f t="shared" si="59"/>
        <v>0</v>
      </c>
      <c r="EK44" s="674"/>
      <c r="EL44" s="674"/>
      <c r="EM44" s="674"/>
      <c r="EN44" s="674"/>
      <c r="EO44" s="1056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 s="22">
        <f>ROW()</f>
        <v>44</v>
      </c>
      <c r="FH44" s="28" t="s">
        <v>306</v>
      </c>
      <c r="FI44" s="975"/>
      <c r="FJ44" s="1006">
        <v>0</v>
      </c>
      <c r="FK44" s="1058">
        <v>0</v>
      </c>
      <c r="FL44" s="671"/>
      <c r="FM44" s="671"/>
      <c r="FN44" s="671"/>
      <c r="FO44" s="671"/>
      <c r="FP44" s="671"/>
      <c r="FQ44" s="671"/>
      <c r="FR44" s="671"/>
      <c r="FS44" s="671"/>
      <c r="FT44" s="671"/>
      <c r="FY44" s="22"/>
      <c r="FZ44" s="694"/>
      <c r="GA44" s="1059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 s="1207"/>
      <c r="GS44" s="1207"/>
      <c r="GT44" s="611"/>
      <c r="GU44" s="611"/>
      <c r="GV44" s="579"/>
      <c r="GW44" s="611"/>
      <c r="GX44" s="611"/>
      <c r="GY44" s="611"/>
      <c r="GZ44" s="611"/>
      <c r="HA44" s="611"/>
      <c r="HB44" s="611"/>
      <c r="HC44" s="611"/>
      <c r="HD44" s="611"/>
    </row>
    <row r="45" spans="1:212" x14ac:dyDescent="0.25">
      <c r="A45" s="99"/>
      <c r="B45" s="523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/>
      <c r="P45"/>
      <c r="Q45"/>
      <c r="R45"/>
      <c r="S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 s="22">
        <f>ROW()</f>
        <v>45</v>
      </c>
      <c r="BV45" s="971" t="s">
        <v>496</v>
      </c>
      <c r="BW45" s="480"/>
      <c r="BX45" s="756">
        <v>687420</v>
      </c>
      <c r="BY45" s="74">
        <f>BZ45-BX45</f>
        <v>0</v>
      </c>
      <c r="BZ45" s="756">
        <v>687420</v>
      </c>
      <c r="CA45" s="74">
        <f t="shared" ref="CA45:CC61" si="64">CB45-BZ45</f>
        <v>0</v>
      </c>
      <c r="CB45" s="756">
        <v>687420</v>
      </c>
      <c r="CC45" s="74">
        <f t="shared" si="64"/>
        <v>0</v>
      </c>
      <c r="CD45" s="756">
        <v>687420</v>
      </c>
      <c r="CE45" s="74">
        <f>CF45-CD45</f>
        <v>0</v>
      </c>
      <c r="CF45" s="756">
        <v>687420</v>
      </c>
      <c r="CG45" s="74">
        <f>CH45-CF45</f>
        <v>0</v>
      </c>
      <c r="CH45" s="756">
        <v>687420</v>
      </c>
      <c r="CI45" s="74"/>
      <c r="CJ45" s="756"/>
      <c r="CK45" s="74"/>
      <c r="CL45" s="756"/>
      <c r="CM45" s="22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22">
        <f>ROW()</f>
        <v>45</v>
      </c>
      <c r="DX45" s="102" t="s">
        <v>584</v>
      </c>
      <c r="DY45" s="959"/>
      <c r="DZ45" s="979">
        <v>3685747.35</v>
      </c>
      <c r="EA45" s="1020">
        <v>-3685747.35</v>
      </c>
      <c r="EB45" s="607">
        <f t="shared" si="56"/>
        <v>0</v>
      </c>
      <c r="EC45" s="607"/>
      <c r="ED45" s="607">
        <f t="shared" si="56"/>
        <v>0</v>
      </c>
      <c r="EE45" s="607"/>
      <c r="EF45" s="607">
        <f t="shared" si="57"/>
        <v>0</v>
      </c>
      <c r="EG45" s="607"/>
      <c r="EH45" s="607">
        <f t="shared" si="58"/>
        <v>0</v>
      </c>
      <c r="EI45" s="607"/>
      <c r="EJ45" s="607">
        <f t="shared" si="59"/>
        <v>0</v>
      </c>
      <c r="EK45" s="674"/>
      <c r="EL45" s="674"/>
      <c r="EM45" s="674"/>
      <c r="EN45" s="674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 s="22">
        <f>ROW()</f>
        <v>45</v>
      </c>
      <c r="FH45" s="28" t="s">
        <v>258</v>
      </c>
      <c r="FI45" s="975"/>
      <c r="FJ45" s="1060">
        <f>SUM(FJ25,FJ37:FJ44)</f>
        <v>2015996.2268481739</v>
      </c>
      <c r="FK45" s="1060">
        <f>SUM(FK25,FK37:FK44)</f>
        <v>-2015996.2268481739</v>
      </c>
      <c r="FL45" s="979">
        <f>SUM(FL37:FL44)</f>
        <v>0</v>
      </c>
      <c r="FM45" s="979">
        <f t="shared" ref="FM45:FT45" si="65">SUM(FM37:FM44)</f>
        <v>0</v>
      </c>
      <c r="FN45" s="979">
        <f t="shared" si="65"/>
        <v>0</v>
      </c>
      <c r="FO45" s="979">
        <f t="shared" si="65"/>
        <v>0</v>
      </c>
      <c r="FP45" s="979">
        <f t="shared" si="65"/>
        <v>0</v>
      </c>
      <c r="FQ45" s="979">
        <f t="shared" si="65"/>
        <v>0</v>
      </c>
      <c r="FR45" s="979">
        <f t="shared" si="65"/>
        <v>0</v>
      </c>
      <c r="FS45" s="979">
        <f t="shared" si="65"/>
        <v>0</v>
      </c>
      <c r="FT45" s="979">
        <f t="shared" si="65"/>
        <v>0</v>
      </c>
      <c r="FY45" s="22"/>
      <c r="FZ45" s="694"/>
      <c r="GA45" s="694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 s="689"/>
      <c r="GS45" s="690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</row>
    <row r="46" spans="1:212" x14ac:dyDescent="0.25">
      <c r="A46" s="99"/>
      <c r="B46" s="842"/>
      <c r="C46" s="842"/>
      <c r="D46" s="539"/>
      <c r="E46" s="954"/>
      <c r="F46" s="954"/>
      <c r="G46" s="1213"/>
      <c r="H46" s="954"/>
      <c r="I46" s="954"/>
      <c r="J46" s="954"/>
      <c r="K46" s="954"/>
      <c r="L46" s="954"/>
      <c r="M46" s="954"/>
      <c r="N46" s="954"/>
      <c r="O46"/>
      <c r="P46"/>
      <c r="Q46"/>
      <c r="R46"/>
      <c r="S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 s="22">
        <f>ROW()</f>
        <v>46</v>
      </c>
      <c r="BV46" s="971" t="s">
        <v>585</v>
      </c>
      <c r="BW46" s="480"/>
      <c r="BX46" s="756">
        <v>0</v>
      </c>
      <c r="BY46" s="74">
        <f>BZ46-BX46</f>
        <v>0</v>
      </c>
      <c r="BZ46" s="756">
        <v>0</v>
      </c>
      <c r="CA46" s="74">
        <f t="shared" si="64"/>
        <v>0</v>
      </c>
      <c r="CB46" s="756">
        <v>0</v>
      </c>
      <c r="CC46" s="74">
        <f t="shared" si="64"/>
        <v>0</v>
      </c>
      <c r="CD46" s="756">
        <v>0</v>
      </c>
      <c r="CE46" s="74">
        <f>CF46-CD46</f>
        <v>0</v>
      </c>
      <c r="CF46" s="756">
        <v>0</v>
      </c>
      <c r="CG46" s="74">
        <f>CH46-CF46</f>
        <v>0</v>
      </c>
      <c r="CH46" s="756">
        <v>0</v>
      </c>
      <c r="CI46" s="74"/>
      <c r="CJ46" s="756"/>
      <c r="CK46" s="74"/>
      <c r="CL46" s="756"/>
      <c r="CM46" s="22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22">
        <f>ROW()</f>
        <v>46</v>
      </c>
      <c r="DX46" s="102" t="s">
        <v>586</v>
      </c>
      <c r="DY46" s="959"/>
      <c r="DZ46" s="979">
        <v>0</v>
      </c>
      <c r="EA46" s="1020">
        <v>0</v>
      </c>
      <c r="EB46" s="607">
        <f t="shared" si="56"/>
        <v>0</v>
      </c>
      <c r="EC46" s="607"/>
      <c r="ED46" s="607">
        <f t="shared" si="56"/>
        <v>0</v>
      </c>
      <c r="EE46" s="607"/>
      <c r="EF46" s="607">
        <f t="shared" si="57"/>
        <v>0</v>
      </c>
      <c r="EG46" s="607"/>
      <c r="EH46" s="607">
        <f t="shared" si="58"/>
        <v>0</v>
      </c>
      <c r="EI46" s="607"/>
      <c r="EJ46" s="607">
        <f t="shared" si="59"/>
        <v>0</v>
      </c>
      <c r="EK46" s="674"/>
      <c r="EL46" s="674"/>
      <c r="EM46" s="674"/>
      <c r="EN46" s="674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 s="22">
        <f>ROW()</f>
        <v>46</v>
      </c>
      <c r="FH46" s="28"/>
      <c r="FI46" s="975"/>
      <c r="FJ46" s="979"/>
      <c r="FK46" s="979"/>
      <c r="FL46" s="979"/>
      <c r="FM46" s="979"/>
      <c r="FN46" s="979"/>
      <c r="FO46" s="979"/>
      <c r="FP46" s="979"/>
      <c r="FQ46" s="979"/>
      <c r="FR46" s="979"/>
      <c r="FS46" s="979"/>
      <c r="FT46" s="979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 s="1207"/>
      <c r="GS46" s="711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</row>
    <row r="47" spans="1:212" x14ac:dyDescent="0.25">
      <c r="A47" s="99"/>
      <c r="B47" s="1214"/>
      <c r="C47" s="1214"/>
      <c r="D47" s="968"/>
      <c r="E47" s="968"/>
      <c r="F47" s="968"/>
      <c r="G47" s="968"/>
      <c r="H47" s="968"/>
      <c r="I47" s="968"/>
      <c r="J47" s="968"/>
      <c r="K47" s="968"/>
      <c r="L47" s="968"/>
      <c r="M47" s="968"/>
      <c r="N47" s="968"/>
      <c r="O47"/>
      <c r="P47"/>
      <c r="Q47"/>
      <c r="R47"/>
      <c r="S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 s="22">
        <f>ROW()</f>
        <v>47</v>
      </c>
      <c r="BV47" s="971" t="s">
        <v>506</v>
      </c>
      <c r="BW47" s="480"/>
      <c r="BX47" s="756">
        <v>905408.21</v>
      </c>
      <c r="BY47" s="74">
        <f>BZ47-BX47</f>
        <v>0</v>
      </c>
      <c r="BZ47" s="756">
        <v>905408.21</v>
      </c>
      <c r="CA47" s="74">
        <f>CB47-BZ47</f>
        <v>-306360</v>
      </c>
      <c r="CB47" s="756">
        <v>599048.21</v>
      </c>
      <c r="CC47" s="74">
        <f>CD47-CB47</f>
        <v>-599048.21</v>
      </c>
      <c r="CD47" s="756">
        <v>0</v>
      </c>
      <c r="CE47" s="74">
        <f>CF47-CD47</f>
        <v>0</v>
      </c>
      <c r="CF47" s="756">
        <v>0</v>
      </c>
      <c r="CG47" s="74">
        <f>CH47-CF47</f>
        <v>0</v>
      </c>
      <c r="CH47" s="756">
        <v>0</v>
      </c>
      <c r="CI47" s="74"/>
      <c r="CJ47" s="756"/>
      <c r="CK47" s="74"/>
      <c r="CL47" s="756"/>
      <c r="CM47" s="22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F47" s="1053"/>
      <c r="DG47" s="1053"/>
      <c r="DH47" s="1053"/>
      <c r="DI47" s="1053"/>
      <c r="DJ47" s="1053"/>
      <c r="DK47" s="1053"/>
      <c r="DL47" s="1053"/>
      <c r="DM47" s="1053"/>
      <c r="DN47" s="1053"/>
      <c r="DO47" s="1053"/>
      <c r="DP47" s="1053"/>
      <c r="DQ47" s="1053"/>
      <c r="DR47" s="1053"/>
      <c r="DS47" s="1053"/>
      <c r="DT47" s="1053"/>
      <c r="DU47" s="1053"/>
      <c r="DV47" s="1053"/>
      <c r="DW47" s="22">
        <f>ROW()</f>
        <v>47</v>
      </c>
      <c r="DX47" s="102" t="s">
        <v>587</v>
      </c>
      <c r="DY47" s="959"/>
      <c r="DZ47" s="979">
        <v>0</v>
      </c>
      <c r="EA47" s="1020">
        <v>0</v>
      </c>
      <c r="EB47" s="607">
        <f t="shared" si="56"/>
        <v>0</v>
      </c>
      <c r="EC47" s="607"/>
      <c r="ED47" s="607">
        <f t="shared" si="56"/>
        <v>0</v>
      </c>
      <c r="EE47" s="607"/>
      <c r="EF47" s="607">
        <f t="shared" si="57"/>
        <v>0</v>
      </c>
      <c r="EG47" s="607"/>
      <c r="EH47" s="607">
        <f t="shared" si="58"/>
        <v>0</v>
      </c>
      <c r="EI47" s="607"/>
      <c r="EJ47" s="607">
        <f t="shared" si="59"/>
        <v>0</v>
      </c>
      <c r="EK47" s="674"/>
      <c r="EL47" s="674"/>
      <c r="EM47" s="674"/>
      <c r="EN47" s="674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 s="22">
        <f>ROW()</f>
        <v>47</v>
      </c>
      <c r="FH47" s="28" t="s">
        <v>430</v>
      </c>
      <c r="FI47" s="975"/>
      <c r="FJ47" s="1060">
        <f>FJ19-FJ45</f>
        <v>1276.4931518263184</v>
      </c>
      <c r="FK47" s="1060">
        <f>FK19-FK45</f>
        <v>-1276.4931518263184</v>
      </c>
      <c r="FL47" s="979">
        <f t="shared" ref="FL47:FT47" si="66">FL19-FL45</f>
        <v>0</v>
      </c>
      <c r="FM47" s="979">
        <f t="shared" si="66"/>
        <v>0</v>
      </c>
      <c r="FN47" s="979">
        <f t="shared" si="66"/>
        <v>0</v>
      </c>
      <c r="FO47" s="979">
        <f t="shared" si="66"/>
        <v>0</v>
      </c>
      <c r="FP47" s="979">
        <f t="shared" si="66"/>
        <v>0</v>
      </c>
      <c r="FQ47" s="979">
        <f t="shared" si="66"/>
        <v>0</v>
      </c>
      <c r="FR47" s="979">
        <f t="shared" si="66"/>
        <v>0</v>
      </c>
      <c r="FS47" s="979">
        <f t="shared" si="66"/>
        <v>0</v>
      </c>
      <c r="FT47" s="979">
        <f t="shared" si="66"/>
        <v>0</v>
      </c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 s="1207"/>
      <c r="GS47" s="711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</row>
    <row r="48" spans="1:212" ht="15.75" x14ac:dyDescent="0.25">
      <c r="A48" s="99"/>
      <c r="B48" s="1214"/>
      <c r="C48" s="20"/>
      <c r="D48" s="978"/>
      <c r="E48" s="978"/>
      <c r="F48" s="978"/>
      <c r="G48" s="978"/>
      <c r="H48" s="978"/>
      <c r="I48" s="978"/>
      <c r="J48" s="978"/>
      <c r="K48" s="978"/>
      <c r="L48" s="978"/>
      <c r="M48" s="978"/>
      <c r="N48" s="978"/>
      <c r="O48"/>
      <c r="P48"/>
      <c r="Q48"/>
      <c r="R48"/>
      <c r="S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 s="22">
        <f>ROW()</f>
        <v>48</v>
      </c>
      <c r="BV48" s="971" t="s">
        <v>588</v>
      </c>
      <c r="BW48" s="480"/>
      <c r="BX48" s="1055" t="s">
        <v>589</v>
      </c>
      <c r="BY48" s="74"/>
      <c r="BZ48" s="972"/>
      <c r="CA48" s="972"/>
      <c r="CB48" s="972">
        <v>0</v>
      </c>
      <c r="CC48" s="972"/>
      <c r="CD48" s="972">
        <v>0</v>
      </c>
      <c r="CE48" s="972"/>
      <c r="CF48" s="972">
        <v>0</v>
      </c>
      <c r="CG48" s="972"/>
      <c r="CH48" s="972">
        <v>0</v>
      </c>
      <c r="CI48" s="972"/>
      <c r="CJ48" s="972">
        <v>0</v>
      </c>
      <c r="CK48" s="972"/>
      <c r="CL48" s="972">
        <v>0</v>
      </c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 s="22">
        <f>ROW()</f>
        <v>48</v>
      </c>
      <c r="DX48" s="981" t="s">
        <v>590</v>
      </c>
      <c r="DY48" s="959"/>
      <c r="DZ48" s="982">
        <f t="shared" ref="DZ48:EJ48" si="67">SUM(DZ41:DZ47)</f>
        <v>-198499376.86000001</v>
      </c>
      <c r="EA48" s="982">
        <f t="shared" si="67"/>
        <v>198499376.86000001</v>
      </c>
      <c r="EB48" s="982">
        <f t="shared" si="67"/>
        <v>0</v>
      </c>
      <c r="EC48" s="982">
        <f t="shared" si="67"/>
        <v>0</v>
      </c>
      <c r="ED48" s="982">
        <f t="shared" si="67"/>
        <v>0</v>
      </c>
      <c r="EE48" s="982">
        <f t="shared" si="67"/>
        <v>0</v>
      </c>
      <c r="EF48" s="982">
        <f t="shared" si="67"/>
        <v>0</v>
      </c>
      <c r="EG48" s="982">
        <f t="shared" si="67"/>
        <v>0</v>
      </c>
      <c r="EH48" s="982">
        <f t="shared" si="67"/>
        <v>0</v>
      </c>
      <c r="EI48" s="982">
        <f t="shared" si="67"/>
        <v>0</v>
      </c>
      <c r="EJ48" s="982">
        <f t="shared" si="67"/>
        <v>0</v>
      </c>
      <c r="EK48" s="993"/>
      <c r="EL48" s="993"/>
      <c r="EM48" s="993"/>
      <c r="EN48" s="993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 s="22">
        <f>ROW()</f>
        <v>48</v>
      </c>
      <c r="FH48" s="28"/>
      <c r="FI48" s="975"/>
      <c r="FJ48" s="1061"/>
      <c r="FK48" s="1062"/>
      <c r="FL48" s="607"/>
      <c r="FM48" s="607"/>
      <c r="FN48" s="607"/>
      <c r="FO48" s="607"/>
      <c r="FP48" s="607"/>
      <c r="FQ48" s="607"/>
      <c r="FR48" s="607"/>
      <c r="FS48" s="607"/>
      <c r="FT48" s="607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 s="1207"/>
      <c r="GS48" s="711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</row>
    <row r="49" spans="1:219" ht="15.75" x14ac:dyDescent="0.25">
      <c r="A49" s="99"/>
      <c r="B49" s="1214"/>
      <c r="C49" s="1214"/>
      <c r="D49" s="978"/>
      <c r="E49" s="978"/>
      <c r="F49" s="978"/>
      <c r="G49" s="978"/>
      <c r="H49" s="978"/>
      <c r="I49" s="978"/>
      <c r="J49" s="978"/>
      <c r="K49" s="978"/>
      <c r="L49" s="978"/>
      <c r="M49" s="978"/>
      <c r="N49" s="978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 s="22">
        <f>ROW()</f>
        <v>49</v>
      </c>
      <c r="BV49" s="971" t="s">
        <v>591</v>
      </c>
      <c r="BW49" s="480"/>
      <c r="BX49" s="756">
        <v>3817253.5891655334</v>
      </c>
      <c r="BY49" s="756">
        <f>BZ49-BX49</f>
        <v>0</v>
      </c>
      <c r="BZ49" s="756">
        <v>3817253.5891655334</v>
      </c>
      <c r="CA49" s="74">
        <f t="shared" si="64"/>
        <v>-452394.68265141221</v>
      </c>
      <c r="CB49" s="756">
        <v>3364858.9065141212</v>
      </c>
      <c r="CC49" s="74">
        <f t="shared" si="64"/>
        <v>-3364858.9065141212</v>
      </c>
      <c r="CD49" s="756">
        <v>0</v>
      </c>
      <c r="CE49" s="74">
        <f t="shared" ref="CE49:CE61" si="68">CF49-CD49</f>
        <v>0</v>
      </c>
      <c r="CF49" s="756">
        <v>0</v>
      </c>
      <c r="CG49" s="74">
        <f t="shared" ref="CG49:CG61" si="69">CH49-CF49</f>
        <v>0</v>
      </c>
      <c r="CH49" s="756">
        <v>0</v>
      </c>
      <c r="CI49" s="74"/>
      <c r="CJ49" s="756"/>
      <c r="CK49" s="74"/>
      <c r="CL49" s="756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 s="22">
        <f>ROW()</f>
        <v>49</v>
      </c>
      <c r="DX49" s="981" t="s">
        <v>306</v>
      </c>
      <c r="DY49" s="959"/>
      <c r="DZ49" s="986"/>
      <c r="EA49" s="986"/>
      <c r="EB49" s="986"/>
      <c r="EC49" s="986"/>
      <c r="ED49" s="986"/>
      <c r="EE49" s="986"/>
      <c r="EF49" s="986"/>
      <c r="EG49" s="986"/>
      <c r="EH49" s="986"/>
      <c r="EI49" s="986"/>
      <c r="EJ49" s="986"/>
      <c r="EK49" s="1063"/>
      <c r="EL49" s="1063"/>
      <c r="EM49" s="1063"/>
      <c r="EN49" s="1063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 s="22">
        <f>ROW()</f>
        <v>49</v>
      </c>
      <c r="FH49" s="28" t="s">
        <v>259</v>
      </c>
      <c r="FI49" s="1064">
        <v>0.21</v>
      </c>
      <c r="FJ49" s="1065">
        <f>FJ47*$FI$49</f>
        <v>268.06356188352686</v>
      </c>
      <c r="FK49" s="1065">
        <f>FK47*$FI$49</f>
        <v>-268.06356188352686</v>
      </c>
      <c r="FL49" s="979">
        <f>FL47*$FI49</f>
        <v>0</v>
      </c>
      <c r="FM49" s="607"/>
      <c r="FN49" s="979">
        <f>-FN45*$C50</f>
        <v>0</v>
      </c>
      <c r="FO49" s="607"/>
      <c r="FP49" s="979">
        <f>-FP45*$C50</f>
        <v>0</v>
      </c>
      <c r="FQ49" s="607"/>
      <c r="FR49" s="979">
        <f>-FR45*$C50</f>
        <v>0</v>
      </c>
      <c r="FS49" s="607"/>
      <c r="FT49" s="979">
        <f>-FT45*$C50</f>
        <v>0</v>
      </c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 s="690"/>
      <c r="GS49" s="749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/>
      <c r="HF49"/>
      <c r="HG49"/>
      <c r="HH49"/>
      <c r="HI49"/>
      <c r="HJ49"/>
      <c r="HK49"/>
    </row>
    <row r="50" spans="1:219" ht="15.75" x14ac:dyDescent="0.25">
      <c r="A50" s="99"/>
      <c r="B50" s="20"/>
      <c r="C50" s="20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 s="22">
        <f>ROW()</f>
        <v>50</v>
      </c>
      <c r="BV50" s="971" t="s">
        <v>592</v>
      </c>
      <c r="BW50" s="480"/>
      <c r="BX50" s="756">
        <v>865923.28583333339</v>
      </c>
      <c r="BY50" s="756">
        <f t="shared" ref="BY50:BY61" si="70">BZ50-BX50</f>
        <v>0</v>
      </c>
      <c r="BZ50" s="756">
        <v>865923.28583333339</v>
      </c>
      <c r="CA50" s="74">
        <f t="shared" si="64"/>
        <v>915123.33166666701</v>
      </c>
      <c r="CB50" s="756">
        <v>1781046.6175000004</v>
      </c>
      <c r="CC50" s="74">
        <f t="shared" si="64"/>
        <v>49200.045833333395</v>
      </c>
      <c r="CD50" s="756">
        <v>1830246.6633333338</v>
      </c>
      <c r="CE50" s="74">
        <f t="shared" si="68"/>
        <v>0</v>
      </c>
      <c r="CF50" s="756">
        <v>1830246.6633333338</v>
      </c>
      <c r="CG50" s="74">
        <f t="shared" si="69"/>
        <v>-1781046.6633333338</v>
      </c>
      <c r="CH50" s="756">
        <v>49200</v>
      </c>
      <c r="CI50" s="74"/>
      <c r="CJ50" s="756"/>
      <c r="CK50" s="74"/>
      <c r="CL50" s="756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 s="22">
        <f>ROW()</f>
        <v>50</v>
      </c>
      <c r="DX50" s="981" t="s">
        <v>528</v>
      </c>
      <c r="DY50" s="959"/>
      <c r="DZ50" s="986"/>
      <c r="EA50" s="986"/>
      <c r="EB50" s="986"/>
      <c r="EC50" s="986"/>
      <c r="ED50" s="986"/>
      <c r="EE50" s="986"/>
      <c r="EF50" s="986"/>
      <c r="EG50" s="986"/>
      <c r="EH50" s="986"/>
      <c r="EI50" s="986"/>
      <c r="EJ50" s="986"/>
      <c r="EK50" s="1063"/>
      <c r="EL50" s="1063"/>
      <c r="EM50" s="1063"/>
      <c r="EN50" s="1063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 s="22">
        <f>ROW()</f>
        <v>50</v>
      </c>
      <c r="FH50" s="28"/>
      <c r="FI50" s="1064"/>
      <c r="FJ50" s="1061"/>
      <c r="FK50" s="1062"/>
      <c r="FL50" s="607"/>
      <c r="FM50" s="607"/>
      <c r="FN50" s="607"/>
      <c r="FO50" s="607"/>
      <c r="FP50" s="607"/>
      <c r="FQ50" s="607"/>
      <c r="FR50" s="607"/>
      <c r="FS50" s="607"/>
      <c r="FT50" s="607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 s="1207"/>
      <c r="GS50" s="1207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/>
      <c r="HF50"/>
      <c r="HG50"/>
      <c r="HH50"/>
      <c r="HI50"/>
      <c r="HJ50"/>
      <c r="HK50"/>
    </row>
    <row r="51" spans="1:219" ht="15.75" x14ac:dyDescent="0.25">
      <c r="A51" s="99"/>
      <c r="B51" s="1214"/>
      <c r="C51" s="1214"/>
      <c r="D51" s="978"/>
      <c r="E51" s="978"/>
      <c r="F51" s="978"/>
      <c r="G51" s="978"/>
      <c r="H51" s="978"/>
      <c r="I51" s="978"/>
      <c r="J51" s="978"/>
      <c r="K51" s="978"/>
      <c r="L51" s="978"/>
      <c r="M51" s="978"/>
      <c r="N51" s="978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 s="22">
        <f>ROW()</f>
        <v>51</v>
      </c>
      <c r="BV51" s="971" t="s">
        <v>593</v>
      </c>
      <c r="BW51" s="480"/>
      <c r="BX51" s="756">
        <v>1233278.7441224065</v>
      </c>
      <c r="BY51" s="756">
        <f t="shared" si="70"/>
        <v>0</v>
      </c>
      <c r="BZ51" s="756">
        <v>1233278.7441224065</v>
      </c>
      <c r="CA51" s="74">
        <f t="shared" si="64"/>
        <v>1303351.4882448129</v>
      </c>
      <c r="CB51" s="756">
        <v>2536630.2323672194</v>
      </c>
      <c r="CC51" s="74">
        <f t="shared" si="64"/>
        <v>70072.744122406468</v>
      </c>
      <c r="CD51" s="756">
        <v>2606702.9764896259</v>
      </c>
      <c r="CE51" s="74">
        <f t="shared" si="68"/>
        <v>0</v>
      </c>
      <c r="CF51" s="756">
        <v>2606702.9764896259</v>
      </c>
      <c r="CG51" s="74">
        <f t="shared" si="69"/>
        <v>-2536629.9764896259</v>
      </c>
      <c r="CH51" s="756">
        <v>70073</v>
      </c>
      <c r="CI51" s="74"/>
      <c r="CJ51" s="756"/>
      <c r="CK51" s="74"/>
      <c r="CL51" s="756"/>
      <c r="CM51" s="19"/>
      <c r="CN51" s="19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 s="22">
        <f>ROW()</f>
        <v>51</v>
      </c>
      <c r="DX51" s="555" t="s">
        <v>535</v>
      </c>
      <c r="DY51" s="959"/>
      <c r="DZ51" s="963">
        <v>531269628.93000001</v>
      </c>
      <c r="EA51" s="963">
        <v>-531269628.93000001</v>
      </c>
      <c r="EB51" s="963">
        <f t="shared" ref="EB51:EJ54" si="71">EA51+DZ51</f>
        <v>0</v>
      </c>
      <c r="EC51" s="963"/>
      <c r="ED51" s="963">
        <f t="shared" si="71"/>
        <v>0</v>
      </c>
      <c r="EE51" s="963"/>
      <c r="EF51" s="963">
        <f t="shared" si="71"/>
        <v>0</v>
      </c>
      <c r="EG51" s="963"/>
      <c r="EH51" s="963">
        <f t="shared" si="71"/>
        <v>0</v>
      </c>
      <c r="EI51" s="963"/>
      <c r="EJ51" s="963">
        <f t="shared" si="71"/>
        <v>0</v>
      </c>
      <c r="EK51" s="1066"/>
      <c r="EL51" s="1066"/>
      <c r="EM51" s="1066"/>
      <c r="EN51" s="1066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 s="22">
        <f>ROW()</f>
        <v>51</v>
      </c>
      <c r="FH51" s="477" t="s">
        <v>240</v>
      </c>
      <c r="FI51" s="1067"/>
      <c r="FJ51" s="1068">
        <f>FJ47-FJ49</f>
        <v>1008.4295899427915</v>
      </c>
      <c r="FK51" s="1068">
        <f>FK47-FK49</f>
        <v>-1008.4295899427915</v>
      </c>
      <c r="FL51" s="1069">
        <f t="shared" ref="FL51:FT51" si="72">FL47-FL49</f>
        <v>0</v>
      </c>
      <c r="FM51" s="1069">
        <f t="shared" si="72"/>
        <v>0</v>
      </c>
      <c r="FN51" s="1069">
        <f t="shared" si="72"/>
        <v>0</v>
      </c>
      <c r="FO51" s="1069">
        <f t="shared" si="72"/>
        <v>0</v>
      </c>
      <c r="FP51" s="1069">
        <f t="shared" si="72"/>
        <v>0</v>
      </c>
      <c r="FQ51" s="1069">
        <f t="shared" si="72"/>
        <v>0</v>
      </c>
      <c r="FR51" s="1069">
        <f t="shared" si="72"/>
        <v>0</v>
      </c>
      <c r="FS51" s="1069">
        <f t="shared" si="72"/>
        <v>0</v>
      </c>
      <c r="FT51" s="1069">
        <f t="shared" si="72"/>
        <v>0</v>
      </c>
      <c r="FY51" s="22"/>
      <c r="FZ51" s="73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 s="942"/>
      <c r="GS51" s="1207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/>
      <c r="HF51"/>
      <c r="HG51"/>
      <c r="HH51"/>
      <c r="HI51"/>
      <c r="HJ51"/>
      <c r="HK51"/>
    </row>
    <row r="52" spans="1:219" ht="15.75" x14ac:dyDescent="0.25">
      <c r="A52" s="99"/>
      <c r="B52" s="20"/>
      <c r="C52" s="20"/>
      <c r="D52" s="978"/>
      <c r="E52" s="978"/>
      <c r="F52" s="978"/>
      <c r="G52" s="978"/>
      <c r="H52" s="978"/>
      <c r="I52" s="978"/>
      <c r="J52" s="978"/>
      <c r="K52" s="978"/>
      <c r="L52" s="978"/>
      <c r="M52" s="978"/>
      <c r="N52" s="978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 s="22">
        <f>ROW()</f>
        <v>52</v>
      </c>
      <c r="BV52" s="971" t="s">
        <v>594</v>
      </c>
      <c r="BW52" s="480"/>
      <c r="BX52" s="756">
        <v>7607135.1776180407</v>
      </c>
      <c r="BY52" s="756">
        <f t="shared" si="70"/>
        <v>0</v>
      </c>
      <c r="BZ52" s="756">
        <v>7607135.1776180407</v>
      </c>
      <c r="CA52" s="74">
        <f t="shared" si="64"/>
        <v>-1615493.8629363403</v>
      </c>
      <c r="CB52" s="756">
        <v>5991641.3146817004</v>
      </c>
      <c r="CC52" s="74">
        <f t="shared" si="64"/>
        <v>-5991641.3146817004</v>
      </c>
      <c r="CD52" s="756">
        <v>0</v>
      </c>
      <c r="CE52" s="74">
        <f t="shared" si="68"/>
        <v>0</v>
      </c>
      <c r="CF52" s="756">
        <v>0</v>
      </c>
      <c r="CG52" s="74">
        <f t="shared" si="69"/>
        <v>0</v>
      </c>
      <c r="CH52" s="756">
        <v>0</v>
      </c>
      <c r="CI52" s="74"/>
      <c r="CJ52" s="756"/>
      <c r="CK52" s="74"/>
      <c r="CL52" s="756"/>
      <c r="CM52" s="19"/>
      <c r="CN52" s="19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 s="22">
        <f>ROW()</f>
        <v>52</v>
      </c>
      <c r="DX52" s="555" t="s">
        <v>480</v>
      </c>
      <c r="DY52" s="959"/>
      <c r="DZ52" s="979">
        <v>-500301770.78990686</v>
      </c>
      <c r="EA52" s="979">
        <v>500301770.78990686</v>
      </c>
      <c r="EB52" s="979">
        <f t="shared" si="71"/>
        <v>0</v>
      </c>
      <c r="EC52" s="979"/>
      <c r="ED52" s="979">
        <f t="shared" si="71"/>
        <v>0</v>
      </c>
      <c r="EE52" s="979"/>
      <c r="EF52" s="979">
        <f t="shared" si="71"/>
        <v>0</v>
      </c>
      <c r="EG52" s="979"/>
      <c r="EH52" s="979">
        <f t="shared" si="71"/>
        <v>0</v>
      </c>
      <c r="EI52" s="979"/>
      <c r="EJ52" s="979">
        <f t="shared" si="71"/>
        <v>0</v>
      </c>
      <c r="EK52" s="1070"/>
      <c r="EL52" s="1070"/>
      <c r="EM52" s="1070"/>
      <c r="EN52" s="1070"/>
      <c r="ER52" s="1071"/>
      <c r="ES52" s="1071"/>
      <c r="ET52" s="1071"/>
      <c r="EU52" s="1071"/>
      <c r="EV52" s="1071"/>
      <c r="EW52" s="1071"/>
      <c r="EX52" s="1071"/>
      <c r="EY52" s="1071"/>
      <c r="EZ52" s="1071"/>
      <c r="FA52" s="1071"/>
      <c r="FB52" s="1071"/>
      <c r="FC52" s="1071"/>
      <c r="FD52" s="1071"/>
      <c r="FE52" s="1071"/>
      <c r="FF52" s="1071"/>
      <c r="FY52" s="22"/>
      <c r="FZ52" s="104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 s="1207"/>
      <c r="GS52" s="1207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/>
      <c r="HF52"/>
      <c r="HG52"/>
      <c r="HH52"/>
      <c r="HI52"/>
      <c r="HJ52"/>
      <c r="HK52"/>
    </row>
    <row r="53" spans="1:219" ht="15.75" x14ac:dyDescent="0.25">
      <c r="A53" s="99"/>
      <c r="B53" s="1214"/>
      <c r="C53" s="1214"/>
      <c r="D53" s="978"/>
      <c r="E53" s="978"/>
      <c r="F53" s="978"/>
      <c r="G53" s="978"/>
      <c r="H53" s="978"/>
      <c r="I53" s="978"/>
      <c r="J53" s="978"/>
      <c r="K53" s="978"/>
      <c r="L53" s="978"/>
      <c r="M53" s="978"/>
      <c r="N53" s="978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 s="22">
        <f>ROW()</f>
        <v>53</v>
      </c>
      <c r="BV53" s="971" t="s">
        <v>595</v>
      </c>
      <c r="BW53" s="480"/>
      <c r="BX53" s="756">
        <v>134579.74720180564</v>
      </c>
      <c r="BY53" s="756">
        <f t="shared" si="70"/>
        <v>0</v>
      </c>
      <c r="BZ53" s="756">
        <v>134579.74720180564</v>
      </c>
      <c r="CA53" s="74">
        <f t="shared" si="64"/>
        <v>-28579.957866967598</v>
      </c>
      <c r="CB53" s="756">
        <v>105999.78933483805</v>
      </c>
      <c r="CC53" s="74">
        <f t="shared" si="64"/>
        <v>-105999.78933483805</v>
      </c>
      <c r="CD53" s="756">
        <v>0</v>
      </c>
      <c r="CE53" s="74">
        <f t="shared" si="68"/>
        <v>0</v>
      </c>
      <c r="CF53" s="756">
        <v>0</v>
      </c>
      <c r="CG53" s="74">
        <f t="shared" si="69"/>
        <v>0</v>
      </c>
      <c r="CH53" s="756">
        <v>0</v>
      </c>
      <c r="CI53" s="74"/>
      <c r="CJ53" s="756"/>
      <c r="CK53" s="74"/>
      <c r="CL53" s="756"/>
      <c r="CM53" s="19"/>
      <c r="CN53" s="19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 s="22">
        <f>ROW()</f>
        <v>53</v>
      </c>
      <c r="DX53" s="555" t="s">
        <v>114</v>
      </c>
      <c r="DY53" s="959"/>
      <c r="DZ53" s="979">
        <v>-140937658.44999999</v>
      </c>
      <c r="EA53" s="979">
        <v>140937658.44999999</v>
      </c>
      <c r="EB53" s="979">
        <f t="shared" si="71"/>
        <v>0</v>
      </c>
      <c r="EC53" s="979"/>
      <c r="ED53" s="979">
        <f t="shared" si="71"/>
        <v>0</v>
      </c>
      <c r="EE53" s="979"/>
      <c r="EF53" s="979">
        <f t="shared" si="71"/>
        <v>0</v>
      </c>
      <c r="EG53" s="979"/>
      <c r="EH53" s="979">
        <f t="shared" si="71"/>
        <v>0</v>
      </c>
      <c r="EI53" s="979"/>
      <c r="EJ53" s="979">
        <f t="shared" si="71"/>
        <v>0</v>
      </c>
      <c r="EK53" s="1070"/>
      <c r="EL53" s="1070"/>
      <c r="EM53" s="1070"/>
      <c r="EN53" s="1070"/>
      <c r="ER53" s="1071"/>
      <c r="ES53" s="1071"/>
      <c r="ET53" s="1071"/>
      <c r="EU53" s="1071"/>
      <c r="EV53" s="1071"/>
      <c r="EW53" s="1071"/>
      <c r="EX53" s="1071"/>
      <c r="EY53" s="1071"/>
      <c r="EZ53" s="1071"/>
      <c r="FA53" s="1071"/>
      <c r="FB53" s="1071"/>
      <c r="FC53" s="1071"/>
      <c r="FD53" s="1071"/>
      <c r="FE53" s="1071"/>
      <c r="FF53" s="1071"/>
      <c r="FG53" s="65" t="s">
        <v>30</v>
      </c>
      <c r="FY53" s="22"/>
      <c r="FZ53" s="694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 s="1207"/>
      <c r="GS53" s="1207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/>
      <c r="HF53"/>
      <c r="HG53"/>
      <c r="HH53"/>
      <c r="HI53"/>
      <c r="HJ53"/>
      <c r="HK53"/>
    </row>
    <row r="54" spans="1:219" ht="15.75" x14ac:dyDescent="0.25">
      <c r="A54" s="99"/>
      <c r="B54" s="1214"/>
      <c r="C54" s="1214"/>
      <c r="D54" s="978"/>
      <c r="E54" s="978"/>
      <c r="F54" s="978"/>
      <c r="G54" s="978"/>
      <c r="H54" s="978"/>
      <c r="I54" s="978"/>
      <c r="J54" s="978"/>
      <c r="K54" s="978"/>
      <c r="L54" s="978"/>
      <c r="M54" s="978"/>
      <c r="N54" s="978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 s="22">
        <f>ROW()</f>
        <v>54</v>
      </c>
      <c r="BV54" s="971" t="s">
        <v>596</v>
      </c>
      <c r="BW54" s="480"/>
      <c r="BX54" s="756">
        <v>1851840.3521467985</v>
      </c>
      <c r="BY54" s="756">
        <f t="shared" si="70"/>
        <v>0</v>
      </c>
      <c r="BZ54" s="756">
        <v>1851840.3521467985</v>
      </c>
      <c r="CA54" s="74">
        <f t="shared" si="64"/>
        <v>1957058.8225761571</v>
      </c>
      <c r="CB54" s="756">
        <v>3808899.1747229556</v>
      </c>
      <c r="CC54" s="74">
        <f t="shared" si="64"/>
        <v>105218.47042935947</v>
      </c>
      <c r="CD54" s="756">
        <v>3914117.645152315</v>
      </c>
      <c r="CE54" s="74">
        <f t="shared" si="68"/>
        <v>0</v>
      </c>
      <c r="CF54" s="756">
        <v>3914117.645152315</v>
      </c>
      <c r="CG54" s="74">
        <f t="shared" si="69"/>
        <v>-3808899.1747229523</v>
      </c>
      <c r="CH54" s="756">
        <v>105218.47042936273</v>
      </c>
      <c r="CI54" s="74"/>
      <c r="CJ54" s="756"/>
      <c r="CK54" s="74"/>
      <c r="CL54" s="756"/>
      <c r="CM54" s="19"/>
      <c r="CN54" s="19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 s="22">
        <f>ROW()</f>
        <v>54</v>
      </c>
      <c r="DX54" s="555" t="s">
        <v>545</v>
      </c>
      <c r="DY54" s="959"/>
      <c r="DZ54" s="979">
        <v>9256294.7911672127</v>
      </c>
      <c r="EA54" s="979">
        <v>-9256294.7911672127</v>
      </c>
      <c r="EB54" s="979">
        <f t="shared" si="71"/>
        <v>0</v>
      </c>
      <c r="EC54" s="979"/>
      <c r="ED54" s="979">
        <f t="shared" si="71"/>
        <v>0</v>
      </c>
      <c r="EE54" s="979"/>
      <c r="EF54" s="979">
        <f t="shared" si="71"/>
        <v>0</v>
      </c>
      <c r="EG54" s="979"/>
      <c r="EH54" s="979">
        <f t="shared" si="71"/>
        <v>0</v>
      </c>
      <c r="EI54" s="979"/>
      <c r="EJ54" s="979">
        <f t="shared" si="71"/>
        <v>0</v>
      </c>
      <c r="EK54" s="1070"/>
      <c r="EL54" s="1070"/>
      <c r="EM54" s="1070"/>
      <c r="EN54" s="1070"/>
      <c r="FY54" s="22"/>
      <c r="FZ54" s="69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 s="690"/>
      <c r="GS54" s="749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/>
      <c r="HF54"/>
      <c r="HG54"/>
      <c r="HH54"/>
      <c r="HI54"/>
      <c r="HJ54"/>
      <c r="HK54"/>
    </row>
    <row r="55" spans="1:219" ht="16.5" thickBot="1" x14ac:dyDescent="0.3">
      <c r="A55" s="99"/>
      <c r="B55" s="1214"/>
      <c r="C55" s="1214"/>
      <c r="D55" s="978"/>
      <c r="E55" s="978"/>
      <c r="F55" s="978"/>
      <c r="G55" s="978"/>
      <c r="H55" s="978"/>
      <c r="I55" s="978"/>
      <c r="J55" s="978"/>
      <c r="K55" s="978"/>
      <c r="L55" s="978"/>
      <c r="M55" s="978"/>
      <c r="N55" s="978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 s="22">
        <f>ROW()</f>
        <v>55</v>
      </c>
      <c r="BV55" s="971" t="s">
        <v>597</v>
      </c>
      <c r="BW55" s="480"/>
      <c r="BX55" s="756">
        <v>82143.473842208608</v>
      </c>
      <c r="BY55" s="756">
        <f t="shared" si="70"/>
        <v>0</v>
      </c>
      <c r="BZ55" s="756">
        <v>82143.473842208608</v>
      </c>
      <c r="CA55" s="74">
        <f t="shared" si="64"/>
        <v>86810.968610650321</v>
      </c>
      <c r="CB55" s="756">
        <v>168954.44245285893</v>
      </c>
      <c r="CC55" s="74">
        <f t="shared" si="64"/>
        <v>4667.4947684417421</v>
      </c>
      <c r="CD55" s="756">
        <v>173621.93722130067</v>
      </c>
      <c r="CE55" s="74">
        <f t="shared" si="68"/>
        <v>0</v>
      </c>
      <c r="CF55" s="756">
        <v>173621.93722130067</v>
      </c>
      <c r="CG55" s="74">
        <f t="shared" si="69"/>
        <v>-168954.44245285873</v>
      </c>
      <c r="CH55" s="756">
        <v>4667.4947684419458</v>
      </c>
      <c r="CI55" s="74"/>
      <c r="CJ55" s="756"/>
      <c r="CK55" s="74"/>
      <c r="CL55" s="756"/>
      <c r="CM55" s="19"/>
      <c r="CN55" s="19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 s="22">
        <f>ROW()</f>
        <v>55</v>
      </c>
      <c r="DX55" s="515" t="s">
        <v>550</v>
      </c>
      <c r="DY55" s="959"/>
      <c r="DZ55" s="1022">
        <f t="shared" ref="DZ55:EJ55" si="73">SUM(DZ51:DZ54)</f>
        <v>-100713505.51873963</v>
      </c>
      <c r="EA55" s="1022">
        <f t="shared" si="73"/>
        <v>100713505.51873963</v>
      </c>
      <c r="EB55" s="1022">
        <f t="shared" si="73"/>
        <v>0</v>
      </c>
      <c r="EC55" s="1022">
        <f t="shared" si="73"/>
        <v>0</v>
      </c>
      <c r="ED55" s="1022">
        <f t="shared" si="73"/>
        <v>0</v>
      </c>
      <c r="EE55" s="1022">
        <f t="shared" si="73"/>
        <v>0</v>
      </c>
      <c r="EF55" s="1022">
        <f t="shared" si="73"/>
        <v>0</v>
      </c>
      <c r="EG55" s="1022">
        <f t="shared" si="73"/>
        <v>0</v>
      </c>
      <c r="EH55" s="1022">
        <f t="shared" si="73"/>
        <v>0</v>
      </c>
      <c r="EI55" s="1022">
        <f t="shared" si="73"/>
        <v>0</v>
      </c>
      <c r="EJ55" s="1022">
        <f t="shared" si="73"/>
        <v>0</v>
      </c>
      <c r="EK55" s="1072"/>
      <c r="EL55" s="1072"/>
      <c r="EM55" s="1072"/>
      <c r="EN55" s="1072"/>
      <c r="FH55" s="523"/>
      <c r="FI55" s="20"/>
      <c r="FJ55" s="1222"/>
      <c r="FK55" s="1222"/>
      <c r="FL55" s="1223"/>
      <c r="FM55" s="89"/>
      <c r="FN55" s="89"/>
      <c r="FO55" s="89"/>
      <c r="FP55" s="89"/>
      <c r="FQ55" s="89"/>
      <c r="FR55" s="89"/>
      <c r="FS55" s="89"/>
      <c r="FT55" s="89"/>
      <c r="FY55" s="22"/>
      <c r="FZ55" s="694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 s="1207"/>
      <c r="GS55" s="1207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/>
      <c r="HF55"/>
      <c r="HG55"/>
      <c r="HH55"/>
      <c r="HI55"/>
      <c r="HJ55"/>
      <c r="HK55"/>
    </row>
    <row r="56" spans="1:219" ht="15.75" thickTop="1" x14ac:dyDescent="0.25">
      <c r="A56" s="99"/>
      <c r="B56" s="4"/>
      <c r="C56" s="842"/>
      <c r="D56" s="1009"/>
      <c r="E56" s="1009"/>
      <c r="F56" s="1009"/>
      <c r="G56" s="1009"/>
      <c r="H56" s="1009"/>
      <c r="I56" s="1009"/>
      <c r="J56" s="1009"/>
      <c r="K56" s="1009"/>
      <c r="L56" s="1009"/>
      <c r="M56" s="1009"/>
      <c r="N56" s="1009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 s="22">
        <f>ROW()</f>
        <v>56</v>
      </c>
      <c r="BV56" s="971" t="s">
        <v>598</v>
      </c>
      <c r="BW56" s="480"/>
      <c r="BX56" s="756">
        <v>1318842</v>
      </c>
      <c r="BY56" s="756">
        <f t="shared" si="70"/>
        <v>0</v>
      </c>
      <c r="BZ56" s="756">
        <v>1318842</v>
      </c>
      <c r="CA56" s="74">
        <f t="shared" si="64"/>
        <v>1393776</v>
      </c>
      <c r="CB56" s="756">
        <v>2712618</v>
      </c>
      <c r="CC56" s="74">
        <f t="shared" si="64"/>
        <v>74934</v>
      </c>
      <c r="CD56" s="756">
        <v>2787552</v>
      </c>
      <c r="CE56" s="74">
        <f t="shared" si="68"/>
        <v>0</v>
      </c>
      <c r="CF56" s="756">
        <v>2787552</v>
      </c>
      <c r="CG56" s="74">
        <f t="shared" si="69"/>
        <v>0</v>
      </c>
      <c r="CH56" s="756">
        <v>2787552</v>
      </c>
      <c r="CI56" s="74"/>
      <c r="CJ56" s="756"/>
      <c r="CK56" s="74"/>
      <c r="CL56" s="756"/>
      <c r="CM56" s="19"/>
      <c r="CN56" s="19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 s="22">
        <f>ROW()</f>
        <v>56</v>
      </c>
      <c r="DX56" s="23" t="s">
        <v>306</v>
      </c>
      <c r="DY56" s="959"/>
      <c r="DZ56" s="858"/>
      <c r="EA56" s="1075"/>
      <c r="EB56" s="102"/>
      <c r="EC56" s="102"/>
      <c r="ED56" s="102"/>
      <c r="EE56" s="102"/>
      <c r="EF56" s="102"/>
      <c r="EG56" s="102"/>
      <c r="EH56" s="102"/>
      <c r="EI56" s="102"/>
      <c r="EJ56" s="102"/>
      <c r="EK56" s="616"/>
      <c r="EL56" s="616"/>
      <c r="EM56" s="616"/>
      <c r="EN56" s="616"/>
      <c r="FH56" s="942"/>
      <c r="FI56" s="975"/>
      <c r="FJ56" s="611"/>
      <c r="FK56" s="573"/>
      <c r="FL56" s="573"/>
      <c r="FM56" s="573"/>
      <c r="FN56" s="573"/>
      <c r="FO56" s="573"/>
      <c r="FP56" s="573"/>
      <c r="FQ56" s="573"/>
      <c r="FR56" s="573"/>
      <c r="FS56" s="573"/>
      <c r="FT56" s="573"/>
      <c r="FZ56" s="694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 s="942"/>
      <c r="GS56" s="1225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/>
      <c r="HF56"/>
      <c r="HG56"/>
      <c r="HH56"/>
      <c r="HI56"/>
      <c r="HJ56"/>
      <c r="HK56"/>
    </row>
    <row r="57" spans="1:219" x14ac:dyDescent="0.25">
      <c r="A57" s="99"/>
      <c r="B57" s="842"/>
      <c r="C57" s="842"/>
      <c r="D57" s="1009"/>
      <c r="E57" s="1009"/>
      <c r="F57" s="1009"/>
      <c r="G57" s="1009"/>
      <c r="H57" s="1009"/>
      <c r="I57" s="1009"/>
      <c r="J57" s="1009"/>
      <c r="K57" s="1009"/>
      <c r="L57" s="1009"/>
      <c r="M57" s="1009"/>
      <c r="N57" s="1009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 s="22">
        <f>ROW()</f>
        <v>57</v>
      </c>
      <c r="BV57" s="971" t="s">
        <v>599</v>
      </c>
      <c r="BW57" s="480"/>
      <c r="BX57" s="756">
        <v>44868</v>
      </c>
      <c r="BY57" s="756">
        <f t="shared" si="70"/>
        <v>0</v>
      </c>
      <c r="BZ57" s="756">
        <v>44868</v>
      </c>
      <c r="CA57" s="74">
        <f t="shared" si="64"/>
        <v>47418</v>
      </c>
      <c r="CB57" s="756">
        <v>92286</v>
      </c>
      <c r="CC57" s="74">
        <f t="shared" si="64"/>
        <v>2550</v>
      </c>
      <c r="CD57" s="756">
        <v>94836</v>
      </c>
      <c r="CE57" s="74">
        <f t="shared" si="68"/>
        <v>21981.119999999981</v>
      </c>
      <c r="CF57" s="756">
        <v>116817.11999999998</v>
      </c>
      <c r="CG57" s="74">
        <f t="shared" si="69"/>
        <v>0</v>
      </c>
      <c r="CH57" s="756">
        <v>116817.11999999998</v>
      </c>
      <c r="CI57" s="74"/>
      <c r="CJ57" s="756"/>
      <c r="CK57" s="74"/>
      <c r="CL57" s="756"/>
      <c r="CM57" s="19"/>
      <c r="CN57" s="19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 s="22">
        <f>ROW()</f>
        <v>57</v>
      </c>
      <c r="DX57" s="477" t="s">
        <v>600</v>
      </c>
      <c r="DY57" s="959"/>
      <c r="DZ57" s="858"/>
      <c r="EA57" s="1075"/>
      <c r="EB57" s="102"/>
      <c r="EC57" s="102"/>
      <c r="ED57" s="102"/>
      <c r="EE57" s="102"/>
      <c r="EF57" s="102"/>
      <c r="EG57" s="102"/>
      <c r="EH57" s="102"/>
      <c r="EI57" s="102"/>
      <c r="EJ57" s="102"/>
      <c r="EK57" s="616"/>
      <c r="EL57" s="616"/>
      <c r="EM57" s="616"/>
      <c r="EN57" s="616"/>
      <c r="FH57" s="1215"/>
      <c r="FI57" s="975"/>
      <c r="FJ57" s="986"/>
      <c r="FK57" s="986"/>
      <c r="FL57" s="986"/>
      <c r="FM57" s="986"/>
      <c r="FN57" s="986"/>
      <c r="FO57" s="986"/>
      <c r="FP57" s="986"/>
      <c r="FQ57" s="986"/>
      <c r="FR57" s="986"/>
      <c r="FS57" s="986"/>
      <c r="FT57" s="986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 s="1207"/>
      <c r="GS57" s="1225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/>
      <c r="HF57"/>
      <c r="HG57"/>
      <c r="HH57"/>
      <c r="HI57"/>
      <c r="HJ57"/>
      <c r="HK57"/>
    </row>
    <row r="58" spans="1:219" x14ac:dyDescent="0.25">
      <c r="A58" s="99"/>
      <c r="B58" s="842"/>
      <c r="C58" s="842"/>
      <c r="D58" s="1009"/>
      <c r="E58" s="1009"/>
      <c r="F58" s="1009"/>
      <c r="G58" s="1009"/>
      <c r="H58" s="1009"/>
      <c r="I58" s="1009"/>
      <c r="J58" s="1009"/>
      <c r="K58" s="1009"/>
      <c r="L58" s="1009"/>
      <c r="M58" s="1009"/>
      <c r="N58" s="1009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 s="22">
        <f>ROW()</f>
        <v>58</v>
      </c>
      <c r="BV58" s="971" t="s">
        <v>601</v>
      </c>
      <c r="BW58" s="480"/>
      <c r="BX58" s="756">
        <v>924420.13</v>
      </c>
      <c r="BY58" s="756">
        <f t="shared" si="70"/>
        <v>0</v>
      </c>
      <c r="BZ58" s="756">
        <v>924420.13</v>
      </c>
      <c r="CA58" s="74">
        <f t="shared" si="64"/>
        <v>976943.99999999988</v>
      </c>
      <c r="CB58" s="756">
        <v>1901364.13</v>
      </c>
      <c r="CC58" s="74">
        <f t="shared" si="64"/>
        <v>52523.870000000112</v>
      </c>
      <c r="CD58" s="756">
        <v>1953888</v>
      </c>
      <c r="CE58" s="74">
        <f t="shared" si="68"/>
        <v>-357254.39999999967</v>
      </c>
      <c r="CF58" s="756">
        <v>1596633.6000000003</v>
      </c>
      <c r="CG58" s="74">
        <f t="shared" si="69"/>
        <v>0</v>
      </c>
      <c r="CH58" s="756">
        <v>1596633.6000000003</v>
      </c>
      <c r="CI58" s="74"/>
      <c r="CJ58" s="756"/>
      <c r="CK58" s="74"/>
      <c r="CL58" s="756"/>
      <c r="CM58" s="19"/>
      <c r="CN58" s="19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 s="22">
        <f>ROW()</f>
        <v>58</v>
      </c>
      <c r="DX58" s="311" t="s">
        <v>602</v>
      </c>
      <c r="DY58" s="959"/>
      <c r="DZ58" s="312">
        <v>26265550.759999998</v>
      </c>
      <c r="EA58" s="1077">
        <f>-DZ58</f>
        <v>-26265550.759999998</v>
      </c>
      <c r="EB58" s="312">
        <f t="shared" ref="EB58:EB70" si="74">DZ58+EA58</f>
        <v>0</v>
      </c>
      <c r="EC58" s="571"/>
      <c r="ED58" s="571"/>
      <c r="EE58" s="571"/>
      <c r="EF58" s="571"/>
      <c r="EG58" s="571"/>
      <c r="EH58" s="571"/>
      <c r="EI58" s="571"/>
      <c r="EJ58" s="571"/>
      <c r="EK58" s="616"/>
      <c r="EL58" s="616"/>
      <c r="EM58" s="616"/>
      <c r="EN58" s="616"/>
      <c r="FH58" s="1215"/>
      <c r="FI58" s="985"/>
      <c r="FJ58" s="986"/>
      <c r="FK58" s="986"/>
      <c r="FL58" s="986"/>
      <c r="FM58" s="986"/>
      <c r="FN58" s="986"/>
      <c r="FO58" s="986"/>
      <c r="FP58" s="986"/>
      <c r="FQ58" s="986"/>
      <c r="FR58" s="986"/>
      <c r="FS58" s="986"/>
      <c r="FT58" s="986"/>
      <c r="GR58" s="20"/>
      <c r="GS58" s="1225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</row>
    <row r="59" spans="1:219" x14ac:dyDescent="0.25">
      <c r="A59" s="99"/>
      <c r="B59" s="513"/>
      <c r="C59" s="842"/>
      <c r="D59" s="978"/>
      <c r="E59" s="978"/>
      <c r="F59" s="978"/>
      <c r="G59" s="978"/>
      <c r="H59" s="978"/>
      <c r="I59" s="978"/>
      <c r="J59" s="978"/>
      <c r="K59" s="978"/>
      <c r="L59" s="978"/>
      <c r="M59" s="978"/>
      <c r="N59" s="978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 s="22">
        <f>ROW()</f>
        <v>59</v>
      </c>
      <c r="BV59" s="971" t="s">
        <v>603</v>
      </c>
      <c r="BW59" s="23"/>
      <c r="BX59" s="756">
        <v>56501.68</v>
      </c>
      <c r="BY59" s="756">
        <f t="shared" si="70"/>
        <v>0</v>
      </c>
      <c r="BZ59" s="756">
        <v>56501.68</v>
      </c>
      <c r="CA59" s="74">
        <f t="shared" si="64"/>
        <v>59711.999999999993</v>
      </c>
      <c r="CB59" s="756">
        <v>116213.68</v>
      </c>
      <c r="CC59" s="74">
        <f t="shared" si="64"/>
        <v>3210.320000000007</v>
      </c>
      <c r="CD59" s="756">
        <v>119424</v>
      </c>
      <c r="CE59" s="74">
        <f t="shared" si="68"/>
        <v>0</v>
      </c>
      <c r="CF59" s="756">
        <v>119424</v>
      </c>
      <c r="CG59" s="74">
        <f t="shared" si="69"/>
        <v>0</v>
      </c>
      <c r="CH59" s="756">
        <v>119424</v>
      </c>
      <c r="CI59" s="74"/>
      <c r="CJ59" s="756"/>
      <c r="CK59" s="74"/>
      <c r="CL59" s="756"/>
      <c r="CM59" s="19"/>
      <c r="CN59" s="1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 s="22">
        <f>ROW()</f>
        <v>59</v>
      </c>
      <c r="DX59" s="477" t="s">
        <v>604</v>
      </c>
      <c r="DY59" s="959"/>
      <c r="DZ59" s="979"/>
      <c r="EA59" s="1057"/>
      <c r="EB59" s="607">
        <f t="shared" si="74"/>
        <v>0</v>
      </c>
      <c r="EC59" s="607"/>
      <c r="ED59" s="607"/>
      <c r="EE59" s="607"/>
      <c r="EF59" s="607"/>
      <c r="EG59" s="607"/>
      <c r="EH59" s="607"/>
      <c r="EI59" s="607"/>
      <c r="EJ59" s="607"/>
      <c r="EK59" s="653"/>
      <c r="EL59" s="653"/>
      <c r="EM59" s="653"/>
      <c r="EN59" s="653"/>
      <c r="FH59" s="1215"/>
      <c r="FI59" s="985"/>
      <c r="FJ59" s="986"/>
      <c r="FK59" s="986"/>
      <c r="FL59" s="986"/>
      <c r="FM59" s="986"/>
      <c r="FN59" s="986"/>
      <c r="FO59" s="986"/>
      <c r="FP59" s="986"/>
      <c r="FQ59" s="986"/>
      <c r="FR59" s="986"/>
      <c r="FS59" s="986"/>
      <c r="FT59" s="986"/>
      <c r="GR59" s="1211"/>
      <c r="GS59" s="1211"/>
      <c r="GT59" s="1226"/>
      <c r="GU59" s="1226"/>
      <c r="GV59" s="1226"/>
      <c r="GW59" s="1226"/>
      <c r="GX59" s="1226"/>
      <c r="GY59" s="1226"/>
      <c r="GZ59" s="1226"/>
      <c r="HA59" s="1226"/>
      <c r="HB59" s="1226"/>
      <c r="HC59" s="1226"/>
      <c r="HD59" s="1226"/>
    </row>
    <row r="60" spans="1:219" x14ac:dyDescent="0.25">
      <c r="A60" s="99"/>
      <c r="B60" s="4"/>
      <c r="C60" s="842"/>
      <c r="D60" s="978"/>
      <c r="E60" s="978"/>
      <c r="F60" s="978"/>
      <c r="G60" s="978"/>
      <c r="H60" s="978"/>
      <c r="I60" s="978"/>
      <c r="J60" s="978"/>
      <c r="K60" s="978"/>
      <c r="L60" s="978"/>
      <c r="M60" s="978"/>
      <c r="N60" s="978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 s="22">
        <f>ROW()</f>
        <v>60</v>
      </c>
      <c r="BV60" s="971" t="s">
        <v>605</v>
      </c>
      <c r="BW60" s="23"/>
      <c r="BX60" s="756">
        <v>18332.39</v>
      </c>
      <c r="BY60" s="756">
        <f t="shared" si="70"/>
        <v>0</v>
      </c>
      <c r="BZ60" s="756">
        <v>18332.39</v>
      </c>
      <c r="CA60" s="74">
        <f t="shared" si="64"/>
        <v>19374</v>
      </c>
      <c r="CB60" s="756">
        <v>37706.39</v>
      </c>
      <c r="CC60" s="74">
        <f t="shared" si="64"/>
        <v>1041.6100000000006</v>
      </c>
      <c r="CD60" s="756">
        <v>38748</v>
      </c>
      <c r="CE60" s="74">
        <f t="shared" si="68"/>
        <v>0</v>
      </c>
      <c r="CF60" s="756">
        <v>38748</v>
      </c>
      <c r="CG60" s="74">
        <f t="shared" si="69"/>
        <v>0</v>
      </c>
      <c r="CH60" s="756">
        <v>38748</v>
      </c>
      <c r="CI60" s="74"/>
      <c r="CJ60" s="756"/>
      <c r="CK60" s="74"/>
      <c r="CL60" s="756"/>
      <c r="CM60" s="19"/>
      <c r="CN60" s="19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 s="22">
        <f>ROW()</f>
        <v>60</v>
      </c>
      <c r="DX60" s="73" t="s">
        <v>606</v>
      </c>
      <c r="DY60" s="959"/>
      <c r="DZ60" s="979">
        <v>27007342.370000001</v>
      </c>
      <c r="EA60" s="1057">
        <v>-27007342.370000001</v>
      </c>
      <c r="EB60" s="607">
        <f t="shared" si="74"/>
        <v>0</v>
      </c>
      <c r="EC60" s="607"/>
      <c r="ED60" s="607">
        <f>EB60+EC60</f>
        <v>0</v>
      </c>
      <c r="EE60" s="607"/>
      <c r="EF60" s="607">
        <f>ED60+EE60</f>
        <v>0</v>
      </c>
      <c r="EG60" s="607"/>
      <c r="EH60" s="607">
        <f>EF60+EG60</f>
        <v>0</v>
      </c>
      <c r="EI60" s="607"/>
      <c r="EJ60" s="607">
        <f>EH60+EI60</f>
        <v>0</v>
      </c>
      <c r="EK60" s="674"/>
      <c r="EL60" s="674"/>
      <c r="EM60" s="674"/>
      <c r="EN60" s="674"/>
      <c r="FH60" s="842"/>
      <c r="FI60" s="1175"/>
      <c r="FJ60" s="999"/>
      <c r="FK60" s="999"/>
      <c r="FL60" s="963"/>
      <c r="FM60" s="986"/>
      <c r="FN60" s="986"/>
      <c r="FO60" s="986"/>
      <c r="FP60" s="986"/>
      <c r="FQ60" s="986"/>
      <c r="FR60" s="986"/>
      <c r="FS60" s="986"/>
      <c r="FT60" s="986"/>
      <c r="GR60" s="1207"/>
      <c r="GS60" s="1211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</row>
    <row r="61" spans="1:219" x14ac:dyDescent="0.25">
      <c r="A61" s="99"/>
      <c r="B61" s="4"/>
      <c r="C61" s="842"/>
      <c r="D61" s="978"/>
      <c r="E61" s="978"/>
      <c r="F61" s="978"/>
      <c r="G61" s="978"/>
      <c r="H61" s="978"/>
      <c r="I61" s="978"/>
      <c r="J61" s="978"/>
      <c r="K61" s="978"/>
      <c r="L61" s="978"/>
      <c r="M61" s="978"/>
      <c r="N61" s="978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 s="22">
        <f>ROW()</f>
        <v>61</v>
      </c>
      <c r="BV61" s="971" t="s">
        <v>607</v>
      </c>
      <c r="BX61" s="756">
        <v>0</v>
      </c>
      <c r="BY61" s="756">
        <f t="shared" si="70"/>
        <v>0</v>
      </c>
      <c r="BZ61" s="756">
        <v>0</v>
      </c>
      <c r="CA61" s="74">
        <f t="shared" si="64"/>
        <v>336784.35655947926</v>
      </c>
      <c r="CB61" s="756">
        <v>336784.35655947926</v>
      </c>
      <c r="CC61" s="74">
        <f t="shared" si="64"/>
        <v>3704627.922154271</v>
      </c>
      <c r="CD61" s="756">
        <v>4041412.2787137502</v>
      </c>
      <c r="CE61" s="74">
        <f t="shared" si="68"/>
        <v>0</v>
      </c>
      <c r="CF61" s="756">
        <v>4041412.2787137502</v>
      </c>
      <c r="CG61" s="74">
        <f t="shared" si="69"/>
        <v>0</v>
      </c>
      <c r="CH61" s="756">
        <v>4041412.2787137502</v>
      </c>
      <c r="CI61" s="74"/>
      <c r="CJ61" s="756"/>
      <c r="CK61" s="74"/>
      <c r="CL61" s="756"/>
      <c r="CM61" s="19"/>
      <c r="CN61" s="19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 s="22">
        <f>ROW()</f>
        <v>61</v>
      </c>
      <c r="DX61" s="1080" t="s">
        <v>608</v>
      </c>
      <c r="DY61" s="959"/>
      <c r="DZ61" s="979">
        <v>945506.81</v>
      </c>
      <c r="EA61" s="1057">
        <v>-945506.81</v>
      </c>
      <c r="EB61" s="607">
        <f t="shared" si="74"/>
        <v>0</v>
      </c>
      <c r="EC61" s="607"/>
      <c r="ED61" s="607">
        <f>EB61+EC61</f>
        <v>0</v>
      </c>
      <c r="EE61" s="607"/>
      <c r="EF61" s="607">
        <f>ED61+EE61</f>
        <v>0</v>
      </c>
      <c r="EG61" s="607"/>
      <c r="EH61" s="607">
        <f>EF61+EG61</f>
        <v>0</v>
      </c>
      <c r="EI61" s="607"/>
      <c r="EJ61" s="607">
        <f>EH61+EI61</f>
        <v>0</v>
      </c>
      <c r="EK61" s="674"/>
      <c r="EL61" s="674"/>
      <c r="EM61" s="674"/>
      <c r="EN61" s="674"/>
      <c r="FH61" s="842"/>
      <c r="FI61" s="1175"/>
      <c r="FJ61" s="999"/>
      <c r="FK61" s="999"/>
      <c r="FL61" s="979"/>
      <c r="FM61" s="986"/>
      <c r="FN61" s="986"/>
      <c r="FO61" s="986"/>
      <c r="FP61" s="986"/>
      <c r="FQ61" s="986"/>
      <c r="FR61" s="986"/>
      <c r="FS61" s="986"/>
      <c r="FT61" s="986"/>
      <c r="GR61" s="694"/>
      <c r="GS61" s="695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</row>
    <row r="62" spans="1:219" ht="15.75" thickBot="1" x14ac:dyDescent="0.3">
      <c r="A62" s="99"/>
      <c r="B62" s="1019"/>
      <c r="C62" s="20"/>
      <c r="D62" s="978"/>
      <c r="E62" s="978"/>
      <c r="F62" s="978"/>
      <c r="G62" s="978"/>
      <c r="H62" s="978"/>
      <c r="I62" s="978"/>
      <c r="J62" s="978"/>
      <c r="K62" s="978"/>
      <c r="L62" s="978"/>
      <c r="M62" s="978"/>
      <c r="N62" s="978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 s="22">
        <f>ROW()</f>
        <v>62</v>
      </c>
      <c r="BV62" s="730" t="s">
        <v>307</v>
      </c>
      <c r="BW62" s="23"/>
      <c r="BX62" s="1082">
        <f t="shared" ref="BX62:CL62" si="75">SUM(BX42:BX61)</f>
        <v>22432998.779930122</v>
      </c>
      <c r="BY62" s="1082">
        <f t="shared" si="75"/>
        <v>0</v>
      </c>
      <c r="BZ62" s="1082">
        <f t="shared" si="75"/>
        <v>22432998.779930122</v>
      </c>
      <c r="CA62" s="1082">
        <f t="shared" si="75"/>
        <v>4693524.4642030466</v>
      </c>
      <c r="CB62" s="1082">
        <f t="shared" si="75"/>
        <v>27126523.244133171</v>
      </c>
      <c r="CC62" s="1082">
        <f t="shared" si="75"/>
        <v>-5993501.7432228466</v>
      </c>
      <c r="CD62" s="1082">
        <f t="shared" si="75"/>
        <v>21133021.500910327</v>
      </c>
      <c r="CE62" s="1082">
        <f t="shared" si="75"/>
        <v>-2665301.9049776923</v>
      </c>
      <c r="CF62" s="1082">
        <f t="shared" si="75"/>
        <v>18467719.595932633</v>
      </c>
      <c r="CG62" s="1082">
        <f t="shared" si="75"/>
        <v>-8850553.6320210788</v>
      </c>
      <c r="CH62" s="1082">
        <f t="shared" si="75"/>
        <v>9617165.9639115557</v>
      </c>
      <c r="CI62" s="1082">
        <f t="shared" si="75"/>
        <v>0</v>
      </c>
      <c r="CJ62" s="1082">
        <f t="shared" si="75"/>
        <v>0</v>
      </c>
      <c r="CK62" s="1082">
        <f t="shared" si="75"/>
        <v>0</v>
      </c>
      <c r="CL62" s="1082">
        <f t="shared" si="75"/>
        <v>0</v>
      </c>
      <c r="CM62" s="19"/>
      <c r="CN62" s="19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 s="22">
        <f>ROW()</f>
        <v>62</v>
      </c>
      <c r="DX62" s="648" t="s">
        <v>609</v>
      </c>
      <c r="DY62" s="959"/>
      <c r="DZ62" s="979">
        <v>1216989.8199999998</v>
      </c>
      <c r="EA62" s="1057">
        <v>-1216989.8199999998</v>
      </c>
      <c r="EB62" s="607">
        <f t="shared" si="74"/>
        <v>0</v>
      </c>
      <c r="EC62" s="607"/>
      <c r="ED62" s="607">
        <f>EB62+EC62</f>
        <v>0</v>
      </c>
      <c r="EE62" s="607"/>
      <c r="EF62" s="607">
        <f>ED62+EE62</f>
        <v>0</v>
      </c>
      <c r="EG62" s="607"/>
      <c r="EH62" s="607">
        <f>EF62+EG62</f>
        <v>0</v>
      </c>
      <c r="EI62" s="607"/>
      <c r="EJ62" s="607">
        <f>EH62+EI62</f>
        <v>0</v>
      </c>
      <c r="EK62" s="674"/>
      <c r="EL62" s="674"/>
      <c r="EM62" s="674"/>
      <c r="EN62" s="674"/>
      <c r="FH62" s="842"/>
      <c r="FI62" s="1175"/>
      <c r="FJ62" s="999"/>
      <c r="FK62" s="999"/>
      <c r="FL62" s="979"/>
      <c r="FM62" s="986"/>
      <c r="FN62" s="986"/>
      <c r="FO62" s="986"/>
      <c r="FP62" s="986"/>
      <c r="FQ62" s="986"/>
      <c r="FR62" s="986"/>
      <c r="FS62" s="986"/>
      <c r="FT62" s="986"/>
      <c r="GR62" s="694"/>
      <c r="GS62" s="694"/>
      <c r="GT62" s="1227"/>
      <c r="GU62" s="1227"/>
      <c r="GV62" s="1227"/>
      <c r="GW62" s="1227"/>
      <c r="GX62" s="1227"/>
      <c r="GY62" s="1227"/>
      <c r="GZ62" s="1227"/>
      <c r="HA62" s="1227"/>
      <c r="HB62" s="1227"/>
      <c r="HC62" s="1227"/>
      <c r="HD62" s="1227"/>
    </row>
    <row r="63" spans="1:219" ht="15.75" thickTop="1" x14ac:dyDescent="0.25">
      <c r="A63" s="99"/>
      <c r="B63" s="4"/>
      <c r="C63" s="842"/>
      <c r="D63" s="978"/>
      <c r="E63" s="978"/>
      <c r="F63" s="978"/>
      <c r="G63" s="978"/>
      <c r="H63" s="978"/>
      <c r="I63" s="978"/>
      <c r="J63" s="978"/>
      <c r="K63" s="978"/>
      <c r="L63" s="978"/>
      <c r="M63" s="978"/>
      <c r="N63" s="978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 s="22">
        <f>ROW()</f>
        <v>63</v>
      </c>
      <c r="BV63" s="23"/>
      <c r="BW63" s="23"/>
      <c r="BX63" s="1083"/>
      <c r="BY63" s="1083"/>
      <c r="BZ63" s="1083"/>
      <c r="CA63" s="1083"/>
      <c r="CB63" s="1083"/>
      <c r="CC63" s="1083"/>
      <c r="CD63" s="1083"/>
      <c r="CE63" s="1083"/>
      <c r="CF63" s="1083"/>
      <c r="CG63" s="1083"/>
      <c r="CH63" s="1083"/>
      <c r="CI63" s="1083"/>
      <c r="CJ63" s="1083"/>
      <c r="CK63" s="1083"/>
      <c r="CL63" s="1083"/>
      <c r="CM63" s="19"/>
      <c r="CN63" s="19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 s="22">
        <f>ROW()</f>
        <v>63</v>
      </c>
      <c r="DX63" s="648" t="s">
        <v>610</v>
      </c>
      <c r="DY63" s="959"/>
      <c r="DZ63" s="979">
        <v>2863862.0700000003</v>
      </c>
      <c r="EA63" s="1057">
        <v>-2863862.0700000003</v>
      </c>
      <c r="EB63" s="607">
        <f t="shared" si="74"/>
        <v>0</v>
      </c>
      <c r="EC63" s="607"/>
      <c r="ED63" s="607"/>
      <c r="EE63" s="607"/>
      <c r="EF63" s="607"/>
      <c r="EG63" s="607"/>
      <c r="EH63" s="607"/>
      <c r="EI63" s="607"/>
      <c r="EJ63" s="607"/>
      <c r="EK63" s="674"/>
      <c r="EL63" s="674"/>
      <c r="EM63" s="674"/>
      <c r="EN63" s="674"/>
      <c r="FH63" s="842"/>
      <c r="FI63" s="985"/>
      <c r="FJ63" s="986"/>
      <c r="FK63" s="986"/>
      <c r="FL63" s="986"/>
      <c r="FM63" s="986"/>
      <c r="FN63" s="986"/>
      <c r="FO63" s="986"/>
      <c r="FP63" s="986"/>
      <c r="FQ63" s="986"/>
      <c r="FR63" s="986"/>
      <c r="FS63" s="986"/>
      <c r="FT63" s="986"/>
      <c r="GR63" s="523"/>
      <c r="GS63" s="89"/>
      <c r="GT63" s="1224"/>
      <c r="GU63" s="1224"/>
      <c r="GV63" s="1224"/>
      <c r="GW63" s="1224"/>
      <c r="GX63" s="1224"/>
      <c r="GY63" s="1224"/>
      <c r="GZ63" s="1224"/>
      <c r="HA63" s="1224"/>
      <c r="HB63" s="1224"/>
      <c r="HC63" s="1224"/>
      <c r="HD63" s="1224"/>
    </row>
    <row r="64" spans="1:219" x14ac:dyDescent="0.25">
      <c r="A64" s="99"/>
      <c r="B64" s="4"/>
      <c r="C64" s="842"/>
      <c r="D64" s="1009"/>
      <c r="E64" s="1009"/>
      <c r="F64" s="1009"/>
      <c r="G64" s="1009"/>
      <c r="H64" s="1009"/>
      <c r="I64" s="1009"/>
      <c r="J64" s="1009"/>
      <c r="K64" s="1009"/>
      <c r="L64" s="1009"/>
      <c r="M64" s="1009"/>
      <c r="N64" s="1009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 s="22">
        <f>ROW()</f>
        <v>64</v>
      </c>
      <c r="BV64" s="23" t="s">
        <v>301</v>
      </c>
      <c r="BW64" s="755">
        <v>0.21</v>
      </c>
      <c r="BX64" s="1084">
        <f t="shared" ref="BX64:CL64" si="76">-BX62*$BW$64</f>
        <v>-4710929.7437853254</v>
      </c>
      <c r="BY64" s="1084">
        <f t="shared" si="76"/>
        <v>0</v>
      </c>
      <c r="BZ64" s="1084">
        <f t="shared" si="76"/>
        <v>-4710929.7437853254</v>
      </c>
      <c r="CA64" s="1084">
        <f t="shared" si="76"/>
        <v>-985640.13748263975</v>
      </c>
      <c r="CB64" s="1084">
        <f t="shared" si="76"/>
        <v>-5696569.8812679658</v>
      </c>
      <c r="CC64" s="1084">
        <f t="shared" si="76"/>
        <v>1258635.3660767977</v>
      </c>
      <c r="CD64" s="1084">
        <f t="shared" si="76"/>
        <v>-4437934.5151911685</v>
      </c>
      <c r="CE64" s="1084">
        <f t="shared" si="76"/>
        <v>559713.40004531539</v>
      </c>
      <c r="CF64" s="1084">
        <f t="shared" si="76"/>
        <v>-3878221.1151458528</v>
      </c>
      <c r="CG64" s="1084">
        <f t="shared" si="76"/>
        <v>1858616.2627244266</v>
      </c>
      <c r="CH64" s="1084">
        <f>-CH62*$BW$64</f>
        <v>-2019604.8524214267</v>
      </c>
      <c r="CI64" s="1084">
        <f t="shared" si="76"/>
        <v>0</v>
      </c>
      <c r="CJ64" s="1084">
        <f t="shared" si="76"/>
        <v>0</v>
      </c>
      <c r="CK64" s="1084">
        <f t="shared" si="76"/>
        <v>0</v>
      </c>
      <c r="CL64" s="1084">
        <f t="shared" si="76"/>
        <v>0</v>
      </c>
      <c r="CM64" s="19"/>
      <c r="CN64" s="19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 s="22">
        <f>ROW()</f>
        <v>64</v>
      </c>
      <c r="DX64" s="598" t="s">
        <v>611</v>
      </c>
      <c r="DY64" s="959"/>
      <c r="DZ64" s="979">
        <v>170410.89333087998</v>
      </c>
      <c r="EA64" s="74">
        <f>-DZ64</f>
        <v>-170410.89333087998</v>
      </c>
      <c r="EB64" s="607">
        <f t="shared" si="74"/>
        <v>0</v>
      </c>
      <c r="EK64" s="674"/>
      <c r="EL64" s="674"/>
      <c r="EM64" s="674"/>
      <c r="EN64" s="674"/>
      <c r="FH64" s="842"/>
      <c r="FI64" s="985"/>
      <c r="FJ64" s="986"/>
      <c r="FK64" s="986"/>
      <c r="FL64" s="986"/>
      <c r="FM64" s="986"/>
      <c r="FN64" s="986"/>
      <c r="FO64" s="986"/>
      <c r="FP64" s="986"/>
      <c r="FQ64" s="986"/>
      <c r="FR64" s="986"/>
      <c r="FS64" s="986"/>
      <c r="FT64" s="986"/>
      <c r="GR64" s="942"/>
      <c r="GS64" s="1207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</row>
    <row r="65" spans="1:212" x14ac:dyDescent="0.25">
      <c r="A65" s="99"/>
      <c r="B65" s="547"/>
      <c r="C65" s="547"/>
      <c r="D65" s="1024"/>
      <c r="E65" s="1024"/>
      <c r="F65" s="1024"/>
      <c r="G65" s="1024"/>
      <c r="H65" s="1024"/>
      <c r="I65" s="1024"/>
      <c r="J65" s="1024"/>
      <c r="K65" s="1024"/>
      <c r="L65" s="1024"/>
      <c r="M65" s="1024"/>
      <c r="N65" s="1024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 s="22">
        <f>ROW()</f>
        <v>65</v>
      </c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19"/>
      <c r="CN65" s="19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 s="22">
        <f>ROW()</f>
        <v>65</v>
      </c>
      <c r="DX65" s="598" t="s">
        <v>612</v>
      </c>
      <c r="DY65" s="959"/>
      <c r="DZ65" s="1060">
        <v>131327.75380000001</v>
      </c>
      <c r="EA65" s="46">
        <f>-DZ65</f>
        <v>-131327.75380000001</v>
      </c>
      <c r="EB65" s="607">
        <f t="shared" si="74"/>
        <v>0</v>
      </c>
      <c r="EK65" s="674"/>
      <c r="EL65" s="674"/>
      <c r="EM65" s="674"/>
      <c r="EN65" s="674"/>
      <c r="FH65" s="842"/>
      <c r="FI65" s="985"/>
      <c r="FJ65" s="986"/>
      <c r="FK65" s="986"/>
      <c r="FL65" s="986"/>
      <c r="FM65" s="986"/>
      <c r="FN65" s="986"/>
      <c r="FO65" s="986"/>
      <c r="FP65" s="986"/>
      <c r="FQ65" s="986"/>
      <c r="FR65" s="986"/>
      <c r="FS65" s="986"/>
      <c r="FT65" s="986"/>
      <c r="GR65" s="1207"/>
      <c r="GS65" s="1207"/>
      <c r="GT65" s="611"/>
      <c r="GU65" s="611"/>
      <c r="GV65" s="579"/>
      <c r="GW65" s="611"/>
      <c r="GX65" s="611"/>
      <c r="GY65" s="611"/>
      <c r="GZ65" s="611"/>
      <c r="HA65" s="611"/>
      <c r="HB65" s="611"/>
      <c r="HC65" s="611"/>
      <c r="HD65" s="611"/>
    </row>
    <row r="66" spans="1:212" ht="15.75" thickBot="1" x14ac:dyDescent="0.3">
      <c r="A66" s="99"/>
      <c r="B66" s="679"/>
      <c r="C66" s="547"/>
      <c r="D66" s="1025"/>
      <c r="E66" s="1025"/>
      <c r="F66" s="978"/>
      <c r="G66" s="1025"/>
      <c r="H66" s="978"/>
      <c r="I66" s="1025"/>
      <c r="J66" s="978"/>
      <c r="K66" s="1025"/>
      <c r="L66" s="1025"/>
      <c r="M66" s="1025"/>
      <c r="N66" s="1025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 s="22">
        <f>ROW()</f>
        <v>66</v>
      </c>
      <c r="BV66" s="23" t="s">
        <v>240</v>
      </c>
      <c r="BW66" s="23"/>
      <c r="BX66" s="725">
        <f>-BX62-BX64</f>
        <v>-17722069.036144797</v>
      </c>
      <c r="BY66" s="725">
        <f t="shared" ref="BY66:CL66" si="77">-BY62-BY64</f>
        <v>0</v>
      </c>
      <c r="BZ66" s="725">
        <f t="shared" si="77"/>
        <v>-17722069.036144797</v>
      </c>
      <c r="CA66" s="725">
        <f t="shared" si="77"/>
        <v>-3707884.3267204068</v>
      </c>
      <c r="CB66" s="725">
        <f t="shared" si="77"/>
        <v>-21429953.362865206</v>
      </c>
      <c r="CC66" s="725">
        <f t="shared" si="77"/>
        <v>4734866.3771460485</v>
      </c>
      <c r="CD66" s="725">
        <f t="shared" si="77"/>
        <v>-16695086.985719159</v>
      </c>
      <c r="CE66" s="725">
        <f t="shared" si="77"/>
        <v>2105588.504932377</v>
      </c>
      <c r="CF66" s="725">
        <f t="shared" si="77"/>
        <v>-14589498.48078678</v>
      </c>
      <c r="CG66" s="725">
        <f t="shared" si="77"/>
        <v>6991937.3692966523</v>
      </c>
      <c r="CH66" s="725">
        <f>-CH62-CH64</f>
        <v>-7597561.1114901286</v>
      </c>
      <c r="CI66" s="725">
        <f t="shared" si="77"/>
        <v>0</v>
      </c>
      <c r="CJ66" s="725">
        <f t="shared" si="77"/>
        <v>0</v>
      </c>
      <c r="CK66" s="725">
        <f t="shared" si="77"/>
        <v>0</v>
      </c>
      <c r="CL66" s="725">
        <f t="shared" si="77"/>
        <v>0</v>
      </c>
      <c r="CM66" s="19"/>
      <c r="CN66" s="19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 s="22">
        <f>ROW()</f>
        <v>66</v>
      </c>
      <c r="DX66" s="648" t="s">
        <v>360</v>
      </c>
      <c r="DY66" s="959"/>
      <c r="DZ66" s="979">
        <v>32823061.170000006</v>
      </c>
      <c r="EA66" s="1057">
        <v>-32823061.170000006</v>
      </c>
      <c r="EB66" s="607">
        <f t="shared" si="74"/>
        <v>0</v>
      </c>
      <c r="EC66" s="607"/>
      <c r="ED66" s="607">
        <f>EB66+EC66</f>
        <v>0</v>
      </c>
      <c r="EE66" s="607"/>
      <c r="EF66" s="607">
        <f>ED66+EE66</f>
        <v>0</v>
      </c>
      <c r="EG66" s="607"/>
      <c r="EH66" s="607">
        <f>EF66+EG66</f>
        <v>0</v>
      </c>
      <c r="EI66" s="607"/>
      <c r="EJ66" s="607">
        <f>EH66+EI66</f>
        <v>0</v>
      </c>
      <c r="EK66" s="674"/>
      <c r="EL66" s="674"/>
      <c r="EM66" s="674"/>
      <c r="EN66" s="674"/>
      <c r="FH66" s="1215"/>
      <c r="FI66" s="975"/>
      <c r="FJ66" s="986"/>
      <c r="FK66" s="986"/>
      <c r="FL66" s="986"/>
      <c r="FM66" s="986"/>
      <c r="FN66" s="986"/>
      <c r="FO66" s="986"/>
      <c r="FP66" s="986"/>
      <c r="FQ66" s="986"/>
      <c r="FR66" s="986"/>
      <c r="FS66" s="986"/>
      <c r="FT66" s="986"/>
      <c r="GR66" s="1207"/>
      <c r="GS66" s="1207"/>
      <c r="GT66" s="611"/>
      <c r="GU66" s="611"/>
      <c r="GV66" s="579"/>
      <c r="GW66" s="611"/>
      <c r="GX66" s="611"/>
      <c r="GY66" s="611"/>
      <c r="GZ66" s="611"/>
      <c r="HA66" s="611"/>
      <c r="HB66" s="611"/>
      <c r="HC66" s="611"/>
      <c r="HD66" s="611"/>
    </row>
    <row r="67" spans="1:212" ht="15.75" thickTop="1" x14ac:dyDescent="0.25">
      <c r="A67" s="99"/>
      <c r="B67" s="4"/>
      <c r="C67" s="547"/>
      <c r="D67" s="647"/>
      <c r="E67" s="647"/>
      <c r="F67" s="647"/>
      <c r="G67" s="647"/>
      <c r="H67" s="647"/>
      <c r="I67" s="647"/>
      <c r="J67" s="647"/>
      <c r="K67" s="647"/>
      <c r="L67" s="647"/>
      <c r="M67" s="647"/>
      <c r="N67" s="64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 s="22">
        <f>ROW()</f>
        <v>67</v>
      </c>
      <c r="CC67" s="573"/>
      <c r="CD67" s="573"/>
      <c r="CE67" s="573"/>
      <c r="CF67" s="573"/>
      <c r="CG67" s="573"/>
      <c r="CH67" s="573"/>
      <c r="CI67" s="573"/>
      <c r="CJ67" s="573"/>
      <c r="CK67" s="573"/>
      <c r="CL67" s="573"/>
      <c r="CM67" s="19"/>
      <c r="CN67" s="19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 s="22">
        <f>ROW()</f>
        <v>67</v>
      </c>
      <c r="DX67" s="648" t="s">
        <v>542</v>
      </c>
      <c r="DY67" s="959"/>
      <c r="DZ67" s="979">
        <v>715282.67999999993</v>
      </c>
      <c r="EA67" s="1057">
        <v>-715282.67999999993</v>
      </c>
      <c r="EB67" s="607">
        <f t="shared" si="74"/>
        <v>0</v>
      </c>
      <c r="EC67" s="607"/>
      <c r="ED67" s="607"/>
      <c r="EE67" s="607"/>
      <c r="EF67" s="607"/>
      <c r="EG67" s="607"/>
      <c r="EH67" s="607"/>
      <c r="EI67" s="607"/>
      <c r="EJ67" s="607"/>
      <c r="EK67" s="674"/>
      <c r="EL67" s="674"/>
      <c r="EM67" s="674"/>
      <c r="EN67" s="674"/>
      <c r="FH67" s="609"/>
      <c r="FI67" s="975"/>
      <c r="FJ67" s="963"/>
      <c r="FK67" s="963"/>
      <c r="FL67" s="963"/>
      <c r="FM67" s="963"/>
      <c r="FN67" s="963"/>
      <c r="FO67" s="963"/>
      <c r="FP67" s="963"/>
      <c r="FQ67" s="963"/>
      <c r="FR67" s="963"/>
      <c r="FS67" s="963"/>
      <c r="FT67" s="963"/>
      <c r="GR67" s="689"/>
      <c r="GS67" s="690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</row>
    <row r="68" spans="1:212" ht="15.75" x14ac:dyDescent="0.25">
      <c r="A68" s="99"/>
      <c r="B68" s="679"/>
      <c r="C68" s="547"/>
      <c r="D68" s="647"/>
      <c r="E68" s="647"/>
      <c r="F68" s="647"/>
      <c r="G68" s="647"/>
      <c r="H68" s="647"/>
      <c r="I68" s="647"/>
      <c r="J68" s="647"/>
      <c r="K68" s="647"/>
      <c r="L68" s="647"/>
      <c r="M68" s="647"/>
      <c r="N68" s="647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U68" s="22">
        <f>ROW()</f>
        <v>68</v>
      </c>
      <c r="BV68" s="550" t="s">
        <v>613</v>
      </c>
      <c r="BW68" s="1085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1086"/>
      <c r="CJ68" s="1086"/>
      <c r="CK68" s="1086"/>
      <c r="CL68" s="1086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 s="22">
        <f>ROW()</f>
        <v>68</v>
      </c>
      <c r="DX68" s="598" t="s">
        <v>614</v>
      </c>
      <c r="DY68" s="959"/>
      <c r="DZ68" s="979">
        <v>1010777.18989708</v>
      </c>
      <c r="EA68" s="74">
        <f>-DZ68</f>
        <v>-1010777.18989708</v>
      </c>
      <c r="EB68" s="607">
        <f t="shared" si="74"/>
        <v>0</v>
      </c>
      <c r="EK68" s="1087"/>
      <c r="EL68" s="1087"/>
      <c r="EM68" s="1087"/>
      <c r="EN68" s="1087"/>
      <c r="FH68" s="609"/>
      <c r="FI68" s="975"/>
      <c r="FJ68" s="999"/>
      <c r="FK68" s="979"/>
      <c r="FL68" s="979"/>
      <c r="FM68" s="979"/>
      <c r="FN68" s="979"/>
      <c r="FO68" s="979"/>
      <c r="FP68" s="979"/>
      <c r="FQ68" s="979"/>
      <c r="FR68" s="979"/>
      <c r="FS68" s="979"/>
      <c r="FT68" s="979"/>
      <c r="GR68" s="1207"/>
      <c r="GS68" s="711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</row>
    <row r="69" spans="1:212" x14ac:dyDescent="0.25">
      <c r="A69" s="99"/>
      <c r="B69" s="547"/>
      <c r="C69" s="699"/>
      <c r="D69" s="647"/>
      <c r="E69" s="647"/>
      <c r="F69" s="978"/>
      <c r="G69" s="647"/>
      <c r="H69" s="978"/>
      <c r="I69" s="647"/>
      <c r="J69" s="978"/>
      <c r="K69" s="647"/>
      <c r="L69" s="647"/>
      <c r="M69" s="647"/>
      <c r="N69" s="647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U69" s="22">
        <f>ROW()</f>
        <v>69</v>
      </c>
      <c r="BV69" s="550"/>
      <c r="BW69" s="1088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1086"/>
      <c r="CJ69" s="1086"/>
      <c r="CK69" s="1086"/>
      <c r="CL69" s="1086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 s="22">
        <f>ROW()</f>
        <v>69</v>
      </c>
      <c r="DX69" s="648" t="s">
        <v>615</v>
      </c>
      <c r="DY69" s="959"/>
      <c r="DZ69" s="979">
        <v>-2877583.3600000003</v>
      </c>
      <c r="EA69" s="1057">
        <v>2877583.3600000003</v>
      </c>
      <c r="EB69" s="607">
        <f t="shared" si="74"/>
        <v>0</v>
      </c>
      <c r="EC69" s="607"/>
      <c r="ED69" s="607">
        <f>EB69+EC69</f>
        <v>0</v>
      </c>
      <c r="EE69" s="607"/>
      <c r="EF69" s="607">
        <f>ED69+EE69</f>
        <v>0</v>
      </c>
      <c r="EG69" s="607"/>
      <c r="EH69" s="607">
        <f>EF69+EG69</f>
        <v>0</v>
      </c>
      <c r="EI69" s="607"/>
      <c r="EJ69" s="607">
        <f>EH69+EI69</f>
        <v>0</v>
      </c>
      <c r="EK69"/>
      <c r="EL69"/>
      <c r="EM69"/>
      <c r="EN69"/>
      <c r="FH69" s="609"/>
      <c r="FI69" s="975"/>
      <c r="FJ69" s="979"/>
      <c r="FK69" s="979"/>
      <c r="FL69" s="979"/>
      <c r="FM69" s="979"/>
      <c r="FN69" s="979"/>
      <c r="FO69" s="979"/>
      <c r="FP69" s="979"/>
      <c r="FQ69" s="979"/>
      <c r="FR69" s="979"/>
      <c r="FS69" s="979"/>
      <c r="FT69" s="979"/>
      <c r="GR69" s="1207"/>
      <c r="GS69" s="711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</row>
    <row r="70" spans="1:212" x14ac:dyDescent="0.25">
      <c r="A70" s="99"/>
      <c r="B70" s="547"/>
      <c r="C70" s="54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U70" s="22">
        <f>ROW()</f>
        <v>70</v>
      </c>
      <c r="BV70" s="550" t="s">
        <v>616</v>
      </c>
      <c r="BW70" s="1088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1086"/>
      <c r="CJ70" s="1086"/>
      <c r="CK70" s="1086"/>
      <c r="CL70" s="1086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 s="22">
        <f>ROW()</f>
        <v>70</v>
      </c>
      <c r="DX70" s="648" t="s">
        <v>617</v>
      </c>
      <c r="DY70" s="959"/>
      <c r="DZ70" s="1006">
        <v>-864206.9855999999</v>
      </c>
      <c r="EA70" s="1058">
        <v>864206.9855999999</v>
      </c>
      <c r="EB70" s="671">
        <f t="shared" si="74"/>
        <v>0</v>
      </c>
      <c r="EC70" s="607"/>
      <c r="ED70" s="607">
        <f>EB70+EC70</f>
        <v>0</v>
      </c>
      <c r="EE70" s="607"/>
      <c r="EF70" s="607">
        <f>ED70+EE70</f>
        <v>0</v>
      </c>
      <c r="EG70" s="607"/>
      <c r="EH70" s="607">
        <f>EF70+EG70</f>
        <v>0</v>
      </c>
      <c r="EI70" s="607"/>
      <c r="EJ70" s="607">
        <f>EH70+EI70</f>
        <v>0</v>
      </c>
      <c r="EK70"/>
      <c r="EL70"/>
      <c r="EM70"/>
      <c r="EN70"/>
      <c r="FH70" s="609"/>
      <c r="FI70" s="975"/>
      <c r="FJ70" s="979"/>
      <c r="FK70" s="979"/>
      <c r="FL70" s="979"/>
      <c r="FM70" s="979"/>
      <c r="FN70" s="979"/>
      <c r="FO70" s="979"/>
      <c r="FP70" s="979"/>
      <c r="FQ70" s="979"/>
      <c r="FR70" s="979"/>
      <c r="FS70" s="979"/>
      <c r="FT70" s="979"/>
      <c r="GR70" s="1207"/>
      <c r="GS70" s="711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</row>
    <row r="71" spans="1:212" x14ac:dyDescent="0.25">
      <c r="A71" s="99"/>
      <c r="B71" s="523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U71" s="22"/>
      <c r="BW71" s="1088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1086"/>
      <c r="CJ71" s="1086"/>
      <c r="CK71" s="1086"/>
      <c r="CL71" s="1086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 s="22">
        <f>ROW()</f>
        <v>71</v>
      </c>
      <c r="DX71" s="648" t="s">
        <v>258</v>
      </c>
      <c r="DY71" s="1089"/>
      <c r="DZ71" s="1060">
        <v>63142770.411427967</v>
      </c>
      <c r="EA71" s="1090">
        <f>SUM(EA59:EA70)</f>
        <v>-63142770.411427967</v>
      </c>
      <c r="EB71" s="1057">
        <f>SUM(EB59:EB70)</f>
        <v>0</v>
      </c>
      <c r="EC71" s="607"/>
      <c r="ED71" s="607"/>
      <c r="EE71" s="607"/>
      <c r="EF71" s="607"/>
      <c r="EG71" s="607"/>
      <c r="EH71" s="607"/>
      <c r="EI71" s="607"/>
      <c r="EJ71" s="607"/>
      <c r="FH71" s="515"/>
      <c r="FI71" s="975"/>
      <c r="FJ71" s="1216"/>
      <c r="FK71" s="1216"/>
      <c r="FL71" s="1216"/>
      <c r="FM71" s="1216"/>
      <c r="FN71" s="1216"/>
      <c r="FO71" s="1216"/>
      <c r="FP71" s="1216"/>
      <c r="FQ71" s="1216"/>
      <c r="FR71" s="1216"/>
      <c r="FS71" s="1216"/>
      <c r="FT71" s="1216"/>
      <c r="GR71" s="690"/>
      <c r="GS71" s="749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</row>
    <row r="72" spans="1:212" x14ac:dyDescent="0.25">
      <c r="A72" s="99"/>
      <c r="B72" s="842"/>
      <c r="C72" s="842"/>
      <c r="D72" s="539"/>
      <c r="E72" s="954"/>
      <c r="F72" s="954"/>
      <c r="G72" s="1213"/>
      <c r="H72" s="954"/>
      <c r="I72" s="954"/>
      <c r="J72" s="954"/>
      <c r="K72" s="954"/>
      <c r="L72" s="954"/>
      <c r="M72" s="954"/>
      <c r="N72" s="954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U72" s="22"/>
      <c r="BV72" s="550"/>
      <c r="BW72" s="1088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1086"/>
      <c r="CJ72" s="1086"/>
      <c r="CK72" s="1086"/>
      <c r="CL72" s="1086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 s="22">
        <f>ROW()</f>
        <v>72</v>
      </c>
      <c r="DX72" s="28"/>
      <c r="DY72" s="1089"/>
      <c r="DZ72" s="979"/>
      <c r="EA72" s="1057"/>
      <c r="EB72" s="1057"/>
      <c r="EC72" s="607"/>
      <c r="ED72" s="607"/>
      <c r="EE72" s="607"/>
      <c r="EF72" s="607"/>
      <c r="EG72" s="607"/>
      <c r="EH72" s="607"/>
      <c r="EI72" s="607"/>
      <c r="EJ72" s="607"/>
      <c r="EK72"/>
      <c r="EL72"/>
      <c r="EM72"/>
      <c r="EN72"/>
      <c r="FH72" s="547"/>
      <c r="FI72" s="975"/>
      <c r="FJ72" s="20"/>
      <c r="FK72" s="973"/>
      <c r="FL72" s="20"/>
      <c r="FM72" s="20"/>
      <c r="FN72" s="20"/>
      <c r="FO72" s="20"/>
      <c r="FP72" s="20"/>
      <c r="FQ72" s="20"/>
      <c r="FR72" s="20"/>
      <c r="FS72" s="20"/>
      <c r="FT72" s="20"/>
      <c r="GR72" s="1207"/>
      <c r="GS72" s="1207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</row>
    <row r="73" spans="1:212" x14ac:dyDescent="0.25">
      <c r="A73" s="99"/>
      <c r="B73" s="1214"/>
      <c r="C73" s="1214"/>
      <c r="D73" s="968"/>
      <c r="E73" s="968"/>
      <c r="F73" s="968"/>
      <c r="G73" s="968"/>
      <c r="H73" s="968"/>
      <c r="I73" s="968"/>
      <c r="J73" s="968"/>
      <c r="K73" s="968"/>
      <c r="L73" s="968"/>
      <c r="M73" s="968"/>
      <c r="N73" s="968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U73" s="22"/>
      <c r="BV73" s="550"/>
      <c r="BW73" s="1088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1086"/>
      <c r="CJ73" s="1086"/>
      <c r="CK73" s="1086"/>
      <c r="CL73" s="1086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 s="22">
        <f>ROW()</f>
        <v>73</v>
      </c>
      <c r="DX73" s="28" t="s">
        <v>259</v>
      </c>
      <c r="DY73" s="1092">
        <v>0.21</v>
      </c>
      <c r="DZ73" s="1060">
        <v>-8529992.0993758738</v>
      </c>
      <c r="EA73" s="1090">
        <v>8529992.0993758738</v>
      </c>
      <c r="EB73" s="1057">
        <f>DZ73+EA73</f>
        <v>0</v>
      </c>
      <c r="EC73" s="607"/>
      <c r="ED73" s="607">
        <f>EB73+EC73</f>
        <v>0</v>
      </c>
      <c r="EE73" s="607"/>
      <c r="EF73" s="607">
        <f>ED73+EE73</f>
        <v>0</v>
      </c>
      <c r="EG73" s="607"/>
      <c r="EH73" s="607">
        <f>EF73+EG73</f>
        <v>0</v>
      </c>
      <c r="EI73" s="607"/>
      <c r="EJ73" s="607">
        <f>EH73+EI73</f>
        <v>0</v>
      </c>
      <c r="EK73"/>
      <c r="EL73"/>
      <c r="EM73"/>
      <c r="EN73"/>
      <c r="FH73" s="20"/>
      <c r="FI73" s="975"/>
      <c r="FJ73" s="20"/>
      <c r="FK73" s="973"/>
      <c r="FL73" s="20"/>
      <c r="FM73" s="20"/>
      <c r="FN73" s="20"/>
      <c r="FO73" s="20"/>
      <c r="FP73" s="20"/>
      <c r="FQ73" s="20"/>
      <c r="FR73" s="20"/>
      <c r="FS73" s="20"/>
      <c r="FT73" s="20"/>
      <c r="GR73" s="942"/>
      <c r="GS73" s="1207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</row>
    <row r="74" spans="1:212" x14ac:dyDescent="0.25">
      <c r="A74" s="99"/>
      <c r="B74" s="1214"/>
      <c r="C74" s="20"/>
      <c r="D74" s="978"/>
      <c r="E74" s="978"/>
      <c r="F74" s="978"/>
      <c r="G74" s="978"/>
      <c r="H74" s="978"/>
      <c r="I74" s="978"/>
      <c r="J74" s="978"/>
      <c r="K74" s="978"/>
      <c r="L74" s="978"/>
      <c r="M74" s="978"/>
      <c r="N74" s="978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 s="22">
        <f>ROW()</f>
        <v>74</v>
      </c>
      <c r="DX74" s="28"/>
      <c r="DY74" s="1092"/>
      <c r="DZ74" s="979"/>
      <c r="EA74" s="1057"/>
      <c r="EB74" s="1057"/>
      <c r="EC74" s="607"/>
      <c r="ED74" s="607"/>
      <c r="EE74" s="607"/>
      <c r="EF74" s="607"/>
      <c r="EG74" s="607"/>
      <c r="EH74" s="607"/>
      <c r="EI74" s="607"/>
      <c r="EJ74" s="607"/>
      <c r="EK74"/>
      <c r="EL74"/>
      <c r="EM74"/>
      <c r="EN74"/>
      <c r="FH74" s="942"/>
      <c r="FI74" s="975"/>
      <c r="FJ74" s="20"/>
      <c r="FK74" s="973"/>
      <c r="FL74" s="20"/>
      <c r="FM74" s="20"/>
      <c r="FN74" s="20"/>
      <c r="FO74" s="20"/>
      <c r="FP74" s="20"/>
      <c r="FQ74" s="20"/>
      <c r="FR74" s="20"/>
      <c r="FS74" s="20"/>
      <c r="FT74" s="20"/>
      <c r="GR74" s="1207"/>
      <c r="GS74" s="1207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</row>
    <row r="75" spans="1:212" x14ac:dyDescent="0.25">
      <c r="A75" s="99"/>
      <c r="B75" s="1214"/>
      <c r="C75" s="1214"/>
      <c r="D75" s="978"/>
      <c r="E75" s="978"/>
      <c r="F75" s="978"/>
      <c r="G75" s="978"/>
      <c r="H75" s="978"/>
      <c r="I75" s="978"/>
      <c r="J75" s="978"/>
      <c r="K75" s="978"/>
      <c r="L75" s="978"/>
      <c r="M75" s="978"/>
      <c r="N75" s="978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 s="22">
        <f>ROW()</f>
        <v>75</v>
      </c>
      <c r="DX75" s="477" t="s">
        <v>240</v>
      </c>
      <c r="DY75" s="1089"/>
      <c r="DZ75" s="1068">
        <f>DZ58-DZ71-DZ73</f>
        <v>-28347227.552052096</v>
      </c>
      <c r="EA75" s="1068">
        <f>EA58-EA71-EA73</f>
        <v>28347227.552052096</v>
      </c>
      <c r="EB75" s="1069">
        <f t="shared" ref="EB75:EJ75" si="78">-EB71-EB73</f>
        <v>0</v>
      </c>
      <c r="EC75" s="1069">
        <f t="shared" si="78"/>
        <v>0</v>
      </c>
      <c r="ED75" s="1069">
        <f t="shared" si="78"/>
        <v>0</v>
      </c>
      <c r="EE75" s="1069">
        <f t="shared" si="78"/>
        <v>0</v>
      </c>
      <c r="EF75" s="1069">
        <f t="shared" si="78"/>
        <v>0</v>
      </c>
      <c r="EG75" s="1069">
        <f t="shared" si="78"/>
        <v>0</v>
      </c>
      <c r="EH75" s="1069">
        <f t="shared" si="78"/>
        <v>0</v>
      </c>
      <c r="EI75" s="1069">
        <f t="shared" si="78"/>
        <v>0</v>
      </c>
      <c r="EJ75" s="1069">
        <f t="shared" si="78"/>
        <v>0</v>
      </c>
      <c r="EK75"/>
      <c r="EL75"/>
      <c r="EM75"/>
      <c r="EN75"/>
      <c r="FH75" s="842"/>
      <c r="FI75" s="975"/>
      <c r="FJ75" s="573"/>
      <c r="FK75" s="963"/>
      <c r="FL75" s="573"/>
      <c r="FM75" s="573"/>
      <c r="FN75" s="573"/>
      <c r="FO75" s="573"/>
      <c r="FP75" s="573"/>
      <c r="FQ75" s="573"/>
      <c r="FR75" s="573"/>
      <c r="FS75" s="573"/>
      <c r="FT75" s="573"/>
      <c r="GR75" s="1207"/>
      <c r="GS75" s="1207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</row>
    <row r="76" spans="1:212" x14ac:dyDescent="0.25">
      <c r="A76" s="99"/>
      <c r="B76" s="20"/>
      <c r="C76" s="20"/>
      <c r="D76" s="978"/>
      <c r="E76" s="978"/>
      <c r="F76" s="978"/>
      <c r="G76" s="978"/>
      <c r="H76" s="978"/>
      <c r="I76" s="978"/>
      <c r="J76" s="978"/>
      <c r="K76" s="978"/>
      <c r="L76" s="978"/>
      <c r="M76" s="978"/>
      <c r="N76" s="978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FH76" s="842"/>
      <c r="FI76" s="975"/>
      <c r="FJ76" s="979"/>
      <c r="FK76" s="979"/>
      <c r="FL76" s="42"/>
      <c r="FM76" s="42"/>
      <c r="FN76" s="42"/>
      <c r="FO76" s="42"/>
      <c r="FP76" s="42"/>
      <c r="FQ76" s="42"/>
      <c r="FR76" s="42"/>
      <c r="FS76" s="42"/>
      <c r="FT76" s="42"/>
      <c r="GR76" s="690"/>
      <c r="GS76" s="749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</row>
    <row r="77" spans="1:212" x14ac:dyDescent="0.25">
      <c r="A77" s="99"/>
      <c r="B77" s="1214"/>
      <c r="C77" s="1214"/>
      <c r="D77" s="978"/>
      <c r="E77" s="978"/>
      <c r="F77" s="978"/>
      <c r="G77" s="978"/>
      <c r="H77" s="978"/>
      <c r="I77" s="978"/>
      <c r="J77" s="978"/>
      <c r="K77" s="978"/>
      <c r="L77" s="978"/>
      <c r="M77" s="978"/>
      <c r="N77" s="978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 s="97" t="s">
        <v>30</v>
      </c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FH77" s="842"/>
      <c r="FI77" s="975"/>
      <c r="FJ77" s="979"/>
      <c r="FK77" s="979"/>
      <c r="FL77" s="42"/>
      <c r="FM77" s="42"/>
      <c r="FN77" s="42"/>
      <c r="FO77" s="42"/>
      <c r="FP77" s="42"/>
      <c r="FQ77" s="42"/>
      <c r="FR77" s="42"/>
      <c r="FS77" s="42"/>
      <c r="FT77" s="42"/>
      <c r="GR77" s="1207"/>
      <c r="GS77" s="1207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</row>
    <row r="78" spans="1:212" x14ac:dyDescent="0.25">
      <c r="A78" s="99"/>
      <c r="B78" s="20"/>
      <c r="C78" s="20"/>
      <c r="D78" s="978"/>
      <c r="E78" s="978"/>
      <c r="F78" s="978"/>
      <c r="G78" s="978"/>
      <c r="H78" s="978"/>
      <c r="I78" s="978"/>
      <c r="J78" s="978"/>
      <c r="K78" s="978"/>
      <c r="L78" s="978"/>
      <c r="M78" s="978"/>
      <c r="N78" s="9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EK78"/>
      <c r="EL78"/>
      <c r="EM78"/>
      <c r="EN78"/>
      <c r="FH78" s="842"/>
      <c r="FI78" s="975"/>
      <c r="FJ78" s="979"/>
      <c r="FK78" s="979"/>
      <c r="FL78" s="42"/>
      <c r="FM78" s="42"/>
      <c r="FN78" s="42"/>
      <c r="FO78" s="42"/>
      <c r="FP78" s="42"/>
      <c r="FQ78" s="42"/>
      <c r="FR78" s="42"/>
      <c r="FS78" s="42"/>
      <c r="FT78" s="42"/>
      <c r="GR78" s="942"/>
      <c r="GS78" s="1225"/>
      <c r="GT78" s="78"/>
      <c r="GU78" s="78"/>
      <c r="GV78" s="78"/>
      <c r="GW78" s="78"/>
      <c r="GX78" s="78"/>
      <c r="GY78" s="78"/>
      <c r="GZ78" s="78"/>
      <c r="HA78" s="78"/>
      <c r="HB78" s="78"/>
      <c r="HC78" s="78"/>
      <c r="HD78" s="78"/>
    </row>
    <row r="79" spans="1:212" x14ac:dyDescent="0.25">
      <c r="A79" s="99"/>
      <c r="B79" s="1214"/>
      <c r="C79" s="1214"/>
      <c r="D79" s="978"/>
      <c r="E79" s="978"/>
      <c r="F79" s="978"/>
      <c r="G79" s="978"/>
      <c r="H79" s="978"/>
      <c r="I79" s="978"/>
      <c r="J79" s="978"/>
      <c r="K79" s="978"/>
      <c r="L79" s="978"/>
      <c r="M79" s="978"/>
      <c r="N79" s="978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 s="923"/>
      <c r="DX79" s="923"/>
      <c r="DY79" s="924"/>
      <c r="DZ79" s="937"/>
      <c r="EA79" s="20"/>
      <c r="EB79" s="937"/>
      <c r="EC79" s="77"/>
      <c r="ED79" s="758" t="s">
        <v>180</v>
      </c>
      <c r="EE79" s="77"/>
      <c r="EF79" s="758" t="s">
        <v>180</v>
      </c>
      <c r="EG79" s="77"/>
      <c r="EH79" s="758" t="s">
        <v>179</v>
      </c>
      <c r="EI79" s="77"/>
      <c r="EJ79" s="758" t="s">
        <v>179</v>
      </c>
      <c r="EK79"/>
      <c r="EL79"/>
      <c r="EM79"/>
      <c r="EN79"/>
      <c r="FH79" s="842"/>
      <c r="FI79" s="975"/>
      <c r="FJ79" s="979"/>
      <c r="FK79" s="979"/>
      <c r="FL79" s="42"/>
      <c r="FM79" s="42"/>
      <c r="FN79" s="42"/>
      <c r="FO79" s="42"/>
      <c r="FP79" s="42"/>
      <c r="FQ79" s="42"/>
      <c r="FR79" s="42"/>
      <c r="FS79" s="42"/>
      <c r="FT79" s="42"/>
      <c r="GR79" s="1207"/>
      <c r="GS79" s="1225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</row>
    <row r="80" spans="1:212" x14ac:dyDescent="0.25">
      <c r="A80" s="99"/>
      <c r="B80" s="1214"/>
      <c r="C80" s="1214"/>
      <c r="D80" s="978"/>
      <c r="E80" s="978"/>
      <c r="F80" s="978"/>
      <c r="G80" s="978"/>
      <c r="H80" s="978"/>
      <c r="I80" s="978"/>
      <c r="J80" s="978"/>
      <c r="K80" s="978"/>
      <c r="L80" s="978"/>
      <c r="M80" s="978"/>
      <c r="N80" s="978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 s="923"/>
      <c r="DX80" s="923"/>
      <c r="DY80" s="924"/>
      <c r="DZ80" s="938"/>
      <c r="EA80" s="924"/>
      <c r="EB80" s="924"/>
      <c r="EC80" s="111"/>
      <c r="ED80" s="111"/>
      <c r="EE80" s="111"/>
      <c r="EF80" s="111"/>
      <c r="EG80" s="111"/>
      <c r="EH80" s="111"/>
      <c r="EI80" s="111"/>
      <c r="EJ80" s="112"/>
      <c r="EK80"/>
      <c r="EL80"/>
      <c r="EM80"/>
      <c r="EN80"/>
      <c r="FH80" s="842"/>
      <c r="FI80" s="975"/>
      <c r="FJ80" s="979"/>
      <c r="FK80" s="979"/>
      <c r="FL80" s="42"/>
      <c r="FM80" s="42"/>
      <c r="FN80" s="42"/>
      <c r="FO80" s="42"/>
      <c r="FP80" s="42"/>
      <c r="FQ80" s="42"/>
      <c r="FR80" s="42"/>
      <c r="FS80" s="42"/>
      <c r="FT80" s="42"/>
      <c r="GR80" s="20"/>
      <c r="GS80" s="1225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</row>
    <row r="81" spans="1:212" x14ac:dyDescent="0.25">
      <c r="A81" s="99"/>
      <c r="B81" s="1214"/>
      <c r="C81" s="1214"/>
      <c r="D81" s="978"/>
      <c r="E81" s="978"/>
      <c r="F81" s="978"/>
      <c r="G81" s="978"/>
      <c r="H81" s="978"/>
      <c r="I81" s="978"/>
      <c r="J81" s="978"/>
      <c r="K81" s="978"/>
      <c r="L81" s="978"/>
      <c r="M81" s="978"/>
      <c r="N81" s="978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 s="20"/>
      <c r="DX81" s="923"/>
      <c r="DY81" s="924"/>
      <c r="DZ81" s="20"/>
      <c r="EA81" s="20"/>
      <c r="EB81" s="20"/>
      <c r="EC81" s="779"/>
      <c r="ED81" s="780" t="s">
        <v>61</v>
      </c>
      <c r="EE81" s="126">
        <v>2024</v>
      </c>
      <c r="EF81" s="127" t="s">
        <v>62</v>
      </c>
      <c r="EG81" s="127">
        <v>2025</v>
      </c>
      <c r="EH81" s="127" t="s">
        <v>62</v>
      </c>
      <c r="EI81" s="127">
        <v>2026</v>
      </c>
      <c r="EJ81" s="127" t="s">
        <v>62</v>
      </c>
      <c r="EK81"/>
      <c r="EL81"/>
      <c r="EM81"/>
      <c r="EN81"/>
      <c r="FH81" s="842"/>
      <c r="FI81" s="975"/>
      <c r="FJ81" s="979"/>
      <c r="FK81" s="1057"/>
      <c r="FL81" s="42"/>
      <c r="FM81" s="42"/>
      <c r="FN81" s="42"/>
      <c r="FO81" s="42"/>
      <c r="FP81" s="42"/>
      <c r="FQ81" s="42"/>
      <c r="FR81" s="42"/>
      <c r="FS81" s="42"/>
      <c r="FT81" s="42"/>
      <c r="GR81" s="1211"/>
      <c r="GS81" s="1211"/>
      <c r="GT81" s="1226"/>
      <c r="GU81" s="1226"/>
      <c r="GV81" s="1226"/>
      <c r="GW81" s="1226"/>
      <c r="GX81" s="1226"/>
      <c r="GY81" s="1226"/>
      <c r="GZ81" s="1226"/>
      <c r="HA81" s="1226"/>
      <c r="HB81" s="1226"/>
      <c r="HC81" s="1226"/>
      <c r="HD81" s="1226"/>
    </row>
    <row r="82" spans="1:212" x14ac:dyDescent="0.25">
      <c r="A82" s="99"/>
      <c r="B82" s="4"/>
      <c r="C82" s="842"/>
      <c r="D82" s="1009"/>
      <c r="E82" s="1009"/>
      <c r="F82" s="1009"/>
      <c r="G82" s="1009"/>
      <c r="H82" s="1009"/>
      <c r="I82" s="1009"/>
      <c r="J82" s="1009"/>
      <c r="K82" s="1009"/>
      <c r="L82" s="1009"/>
      <c r="M82" s="1009"/>
      <c r="N82" s="1009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 s="20"/>
      <c r="DX82" s="20"/>
      <c r="DY82" s="487"/>
      <c r="DZ82" s="100"/>
      <c r="EA82" s="942"/>
      <c r="EB82" s="100"/>
      <c r="EC82" s="789" t="s">
        <v>70</v>
      </c>
      <c r="ED82" s="790" t="s">
        <v>62</v>
      </c>
      <c r="EE82" s="140" t="s">
        <v>71</v>
      </c>
      <c r="EF82" s="141" t="s">
        <v>66</v>
      </c>
      <c r="EG82" s="141" t="s">
        <v>9</v>
      </c>
      <c r="EH82" s="141" t="s">
        <v>66</v>
      </c>
      <c r="EI82" s="141" t="s">
        <v>10</v>
      </c>
      <c r="EJ82" s="141" t="s">
        <v>66</v>
      </c>
      <c r="EK82"/>
      <c r="EL82"/>
      <c r="EM82"/>
      <c r="EN82"/>
      <c r="FH82" s="842"/>
      <c r="FI82" s="975"/>
      <c r="FJ82" s="979"/>
      <c r="FK82" s="1057"/>
      <c r="FL82" s="42"/>
      <c r="FM82" s="42"/>
      <c r="FN82" s="42"/>
      <c r="FO82" s="42"/>
      <c r="FP82" s="42"/>
      <c r="FQ82" s="42"/>
      <c r="FR82" s="42"/>
      <c r="FS82" s="42"/>
      <c r="FT82" s="42"/>
      <c r="GR82" s="1207"/>
      <c r="GS82" s="1211"/>
      <c r="GT82" s="78"/>
      <c r="GU82" s="78"/>
      <c r="GV82" s="78"/>
      <c r="GW82" s="78"/>
      <c r="GX82" s="78"/>
      <c r="GY82" s="78"/>
      <c r="GZ82" s="78"/>
      <c r="HA82" s="78"/>
      <c r="HB82" s="78"/>
      <c r="HC82" s="78"/>
      <c r="HD82" s="78"/>
    </row>
    <row r="83" spans="1:212" x14ac:dyDescent="0.25">
      <c r="A83" s="99"/>
      <c r="B83" s="842"/>
      <c r="C83" s="842"/>
      <c r="D83" s="1009"/>
      <c r="E83" s="1009"/>
      <c r="F83" s="1009"/>
      <c r="G83" s="1009"/>
      <c r="H83" s="1009"/>
      <c r="I83" s="1009"/>
      <c r="J83" s="1009"/>
      <c r="K83" s="1009"/>
      <c r="L83" s="1009"/>
      <c r="M83" s="1009"/>
      <c r="N83" s="1009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 s="100"/>
      <c r="DX83" s="100"/>
      <c r="DY83" s="515"/>
      <c r="DZ83" s="100"/>
      <c r="EA83" s="100"/>
      <c r="EB83" s="100"/>
      <c r="EC83" s="789" t="s">
        <v>182</v>
      </c>
      <c r="ED83" s="790" t="s">
        <v>69</v>
      </c>
      <c r="EE83" s="140" t="s">
        <v>183</v>
      </c>
      <c r="EF83" s="141" t="s">
        <v>72</v>
      </c>
      <c r="EG83" s="141" t="s">
        <v>183</v>
      </c>
      <c r="EH83" s="141" t="s">
        <v>73</v>
      </c>
      <c r="EI83" s="141" t="s">
        <v>183</v>
      </c>
      <c r="EJ83" s="141" t="s">
        <v>73</v>
      </c>
      <c r="EK83"/>
      <c r="EL83"/>
      <c r="EM83"/>
      <c r="EN83"/>
      <c r="FH83" s="842"/>
      <c r="FI83" s="975"/>
      <c r="FJ83" s="1220"/>
      <c r="FK83" s="1220"/>
      <c r="FL83" s="979"/>
      <c r="FM83" s="979"/>
      <c r="FN83" s="979"/>
      <c r="FO83" s="979"/>
      <c r="FP83" s="979"/>
      <c r="FQ83" s="979"/>
      <c r="FR83" s="979"/>
      <c r="FS83" s="979"/>
      <c r="FT83" s="979"/>
      <c r="GR83" s="694"/>
      <c r="GS83" s="695"/>
      <c r="GT83" s="78"/>
      <c r="GU83" s="78"/>
      <c r="GV83" s="78"/>
      <c r="GW83" s="78"/>
      <c r="GX83" s="78"/>
      <c r="GY83" s="78"/>
      <c r="GZ83" s="78"/>
      <c r="HA83" s="78"/>
      <c r="HB83" s="78"/>
      <c r="HC83" s="78"/>
      <c r="HD83" s="78"/>
    </row>
    <row r="84" spans="1:212" x14ac:dyDescent="0.25">
      <c r="A84" s="99"/>
      <c r="B84" s="842"/>
      <c r="C84" s="842"/>
      <c r="D84" s="1009"/>
      <c r="E84" s="1009"/>
      <c r="F84" s="1009"/>
      <c r="G84" s="1009"/>
      <c r="H84" s="1009"/>
      <c r="I84" s="1009"/>
      <c r="J84" s="1009"/>
      <c r="K84" s="1009"/>
      <c r="L84" s="1009"/>
      <c r="M84" s="1009"/>
      <c r="N84" s="1009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 s="100"/>
      <c r="DX84" s="514"/>
      <c r="DY84" s="946"/>
      <c r="DZ84" s="100"/>
      <c r="EA84" s="100"/>
      <c r="EB84" s="100"/>
      <c r="EC84" s="808" t="s">
        <v>75</v>
      </c>
      <c r="ED84" s="809" t="s">
        <v>76</v>
      </c>
      <c r="EE84" s="153" t="s">
        <v>75</v>
      </c>
      <c r="EF84" s="154" t="s">
        <v>9</v>
      </c>
      <c r="EG84" s="154" t="s">
        <v>75</v>
      </c>
      <c r="EH84" s="154" t="s">
        <v>9</v>
      </c>
      <c r="EI84" s="154" t="s">
        <v>75</v>
      </c>
      <c r="EJ84" s="154" t="s">
        <v>10</v>
      </c>
      <c r="EK84"/>
      <c r="EL84"/>
      <c r="EM84"/>
      <c r="EN84"/>
      <c r="FH84" s="842"/>
      <c r="FI84" s="975"/>
      <c r="FJ84" s="979"/>
      <c r="FK84" s="979"/>
      <c r="FL84" s="979"/>
      <c r="FM84" s="979"/>
      <c r="FN84" s="979"/>
      <c r="FO84" s="979"/>
      <c r="FP84" s="979"/>
      <c r="FQ84" s="979"/>
      <c r="FR84" s="979"/>
      <c r="FS84" s="979"/>
      <c r="FT84" s="979"/>
      <c r="GR84" s="694"/>
      <c r="GS84" s="694"/>
      <c r="GT84" s="1227"/>
      <c r="GU84" s="1227"/>
      <c r="GV84" s="1227"/>
      <c r="GW84" s="1227"/>
      <c r="GX84" s="1227"/>
      <c r="GY84" s="1227"/>
      <c r="GZ84" s="1227"/>
      <c r="HA84" s="1227"/>
      <c r="HB84" s="1227"/>
      <c r="HC84" s="1227"/>
      <c r="HD84" s="1227"/>
    </row>
    <row r="85" spans="1:212" x14ac:dyDescent="0.25">
      <c r="A85" s="99"/>
      <c r="B85" s="513"/>
      <c r="C85" s="842"/>
      <c r="D85" s="978"/>
      <c r="E85" s="978"/>
      <c r="F85" s="978"/>
      <c r="G85" s="978"/>
      <c r="H85" s="978"/>
      <c r="I85" s="978"/>
      <c r="J85" s="978"/>
      <c r="K85" s="978"/>
      <c r="L85" s="978"/>
      <c r="M85" s="978"/>
      <c r="N85" s="978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 s="20"/>
      <c r="DX85" s="20"/>
      <c r="DY85" s="20"/>
      <c r="DZ85" s="20"/>
      <c r="EA85" s="20"/>
      <c r="EB85" s="20"/>
      <c r="EC85" s="77"/>
      <c r="ED85" s="77"/>
      <c r="EE85" s="77"/>
      <c r="EF85" s="77"/>
      <c r="EG85" s="77"/>
      <c r="EH85" s="77"/>
      <c r="EI85" s="77"/>
      <c r="EJ85" s="77"/>
      <c r="EK85"/>
      <c r="EL85"/>
      <c r="EM85"/>
      <c r="EN85"/>
      <c r="FH85" s="842"/>
      <c r="FI85" s="975"/>
      <c r="FJ85" s="1220"/>
      <c r="FK85" s="1220"/>
      <c r="FL85" s="979"/>
      <c r="FM85" s="979"/>
      <c r="FN85" s="979"/>
      <c r="FO85" s="979"/>
      <c r="FP85" s="979"/>
      <c r="FQ85" s="979"/>
      <c r="FR85" s="979"/>
      <c r="FS85" s="979"/>
      <c r="FT85" s="979"/>
      <c r="GR85" s="89"/>
      <c r="GS85" s="89"/>
      <c r="GT85" s="1224"/>
      <c r="GU85" s="1224"/>
      <c r="GV85" s="1224"/>
      <c r="GW85" s="1224"/>
      <c r="GX85" s="1224"/>
      <c r="GY85" s="1224"/>
      <c r="GZ85" s="1224"/>
      <c r="HA85" s="1224"/>
      <c r="HB85" s="1224"/>
      <c r="HC85" s="1224"/>
      <c r="HD85" s="1224"/>
    </row>
    <row r="86" spans="1:212" x14ac:dyDescent="0.25">
      <c r="A86" s="99"/>
      <c r="B86" s="4"/>
      <c r="C86" s="842"/>
      <c r="D86" s="978"/>
      <c r="E86" s="978"/>
      <c r="F86" s="978"/>
      <c r="G86" s="978"/>
      <c r="H86" s="978"/>
      <c r="I86" s="978"/>
      <c r="J86" s="978"/>
      <c r="K86" s="978"/>
      <c r="L86" s="978"/>
      <c r="M86" s="978"/>
      <c r="N86" s="978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 s="30"/>
      <c r="DX86" s="942"/>
      <c r="DY86" s="959"/>
      <c r="DZ86" s="20"/>
      <c r="EA86" s="960"/>
      <c r="EB86" s="20"/>
      <c r="EC86" s="77"/>
      <c r="ED86" s="77"/>
      <c r="EE86" s="77"/>
      <c r="EF86" s="77"/>
      <c r="EG86" s="77"/>
      <c r="EH86" s="77"/>
      <c r="EI86" s="77"/>
      <c r="EJ86" s="77"/>
      <c r="EK86"/>
      <c r="EL86"/>
      <c r="EM86"/>
      <c r="EN86"/>
      <c r="FH86" s="842"/>
      <c r="FI86" s="975"/>
      <c r="FJ86" s="979"/>
      <c r="FK86" s="1057"/>
      <c r="FL86" s="42"/>
      <c r="FM86" s="42"/>
      <c r="FN86" s="42"/>
      <c r="FO86" s="42"/>
      <c r="FP86" s="42"/>
      <c r="FQ86" s="42"/>
      <c r="FR86" s="42"/>
      <c r="FS86" s="42"/>
      <c r="FT86" s="42"/>
      <c r="GR86" s="89"/>
      <c r="GS86" s="89"/>
      <c r="GT86" s="1224"/>
      <c r="GU86" s="1224"/>
      <c r="GV86" s="1224"/>
      <c r="GW86" s="1224"/>
      <c r="GX86" s="1224"/>
      <c r="GY86" s="1224"/>
      <c r="GZ86" s="1224"/>
      <c r="HA86" s="1224"/>
      <c r="HB86" s="1224"/>
      <c r="HC86" s="1224"/>
      <c r="HD86" s="1224"/>
    </row>
    <row r="87" spans="1:212" x14ac:dyDescent="0.25">
      <c r="A87" s="99"/>
      <c r="B87" s="4"/>
      <c r="C87" s="842"/>
      <c r="D87" s="978"/>
      <c r="E87" s="978"/>
      <c r="F87" s="978"/>
      <c r="G87" s="978"/>
      <c r="H87" s="978"/>
      <c r="I87" s="978"/>
      <c r="J87" s="978"/>
      <c r="K87" s="978"/>
      <c r="L87" s="978"/>
      <c r="M87" s="978"/>
      <c r="N87" s="978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 s="30"/>
      <c r="DX87" s="20"/>
      <c r="DY87" s="959"/>
      <c r="DZ87" s="573"/>
      <c r="EA87" s="973"/>
      <c r="EB87" s="573"/>
      <c r="EC87" s="916"/>
      <c r="ED87" s="916">
        <v>0</v>
      </c>
      <c r="EE87" s="916"/>
      <c r="EF87" s="916">
        <v>0</v>
      </c>
      <c r="EG87" s="916"/>
      <c r="EH87" s="916">
        <v>0</v>
      </c>
      <c r="EI87" s="916"/>
      <c r="EJ87" s="916">
        <v>0</v>
      </c>
      <c r="EK87"/>
      <c r="EL87"/>
      <c r="EM87"/>
      <c r="EN87"/>
      <c r="FH87" s="842"/>
      <c r="FI87" s="1064"/>
      <c r="FJ87" s="1221"/>
      <c r="FK87" s="1221"/>
      <c r="FL87" s="979"/>
      <c r="FM87" s="42"/>
      <c r="FN87" s="979"/>
      <c r="FO87" s="42"/>
      <c r="FP87" s="979"/>
      <c r="FQ87" s="42"/>
      <c r="FR87" s="979"/>
      <c r="FS87" s="42"/>
      <c r="FT87" s="979"/>
      <c r="GR87" s="89"/>
      <c r="GS87" s="89"/>
      <c r="GT87" s="1224"/>
      <c r="GU87" s="1224"/>
      <c r="GV87" s="1224"/>
      <c r="GW87" s="1224"/>
      <c r="GX87" s="1224"/>
      <c r="GY87" s="1224"/>
      <c r="GZ87" s="1224"/>
      <c r="HA87" s="1224"/>
      <c r="HB87" s="1224"/>
      <c r="HC87" s="1224"/>
      <c r="HD87" s="1224"/>
    </row>
    <row r="88" spans="1:212" x14ac:dyDescent="0.25">
      <c r="A88" s="99"/>
      <c r="B88" s="1019"/>
      <c r="C88" s="20"/>
      <c r="D88" s="978"/>
      <c r="E88" s="978"/>
      <c r="F88" s="978"/>
      <c r="G88" s="978"/>
      <c r="H88" s="978"/>
      <c r="I88" s="978"/>
      <c r="J88" s="978"/>
      <c r="K88" s="978"/>
      <c r="L88" s="978"/>
      <c r="M88" s="978"/>
      <c r="N88" s="978"/>
      <c r="O88"/>
      <c r="P88"/>
      <c r="Q88"/>
      <c r="R88"/>
      <c r="S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 s="30"/>
      <c r="DX88" s="4"/>
      <c r="DY88" s="959"/>
      <c r="DZ88" s="979"/>
      <c r="EA88" s="979"/>
      <c r="EB88" s="42"/>
      <c r="EC88" s="886"/>
      <c r="ED88" s="886">
        <v>0</v>
      </c>
      <c r="EE88" s="886"/>
      <c r="EF88" s="886">
        <v>0</v>
      </c>
      <c r="EG88" s="886"/>
      <c r="EH88" s="886">
        <v>0</v>
      </c>
      <c r="EI88" s="886"/>
      <c r="EJ88" s="886">
        <v>0</v>
      </c>
      <c r="EK88"/>
      <c r="EL88"/>
      <c r="EM88"/>
      <c r="EN88"/>
      <c r="FH88" s="842"/>
      <c r="FI88" s="1064"/>
      <c r="FJ88" s="979"/>
      <c r="FK88" s="1057"/>
      <c r="FL88" s="42"/>
      <c r="FM88" s="42"/>
      <c r="FN88" s="42"/>
      <c r="FO88" s="42"/>
      <c r="FP88" s="42"/>
      <c r="FQ88" s="42"/>
      <c r="FR88" s="42"/>
      <c r="FS88" s="42"/>
      <c r="FT88" s="42"/>
      <c r="GR88" s="89"/>
      <c r="GS88" s="89"/>
      <c r="GT88" s="1224"/>
      <c r="GU88" s="1224"/>
      <c r="GV88" s="1224"/>
      <c r="GW88" s="1224"/>
      <c r="GX88" s="1224"/>
      <c r="GY88" s="1224"/>
      <c r="GZ88" s="1224"/>
      <c r="HA88" s="1224"/>
      <c r="HB88" s="1224"/>
      <c r="HC88" s="1224"/>
      <c r="HD88" s="1224"/>
    </row>
    <row r="89" spans="1:212" x14ac:dyDescent="0.25">
      <c r="A89" s="99"/>
      <c r="B89" s="4"/>
      <c r="C89" s="842"/>
      <c r="D89" s="978"/>
      <c r="E89" s="978"/>
      <c r="F89" s="978"/>
      <c r="G89" s="978"/>
      <c r="H89" s="978"/>
      <c r="I89" s="978"/>
      <c r="J89" s="978"/>
      <c r="K89" s="978"/>
      <c r="L89" s="978"/>
      <c r="M89" s="978"/>
      <c r="N89" s="978"/>
      <c r="O89"/>
      <c r="P89"/>
      <c r="Q89"/>
      <c r="R89"/>
      <c r="S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 s="30"/>
      <c r="DX89" s="4"/>
      <c r="DY89" s="959"/>
      <c r="DZ89" s="979"/>
      <c r="EA89" s="979"/>
      <c r="EB89" s="42"/>
      <c r="EC89" s="886"/>
      <c r="ED89" s="886">
        <v>0</v>
      </c>
      <c r="EE89" s="886"/>
      <c r="EF89" s="886">
        <v>0</v>
      </c>
      <c r="EG89" s="886"/>
      <c r="EH89" s="886">
        <v>0</v>
      </c>
      <c r="EI89" s="886"/>
      <c r="EJ89" s="886">
        <v>0</v>
      </c>
      <c r="EK89"/>
      <c r="EL89"/>
      <c r="EM89"/>
      <c r="EN89"/>
      <c r="FH89" s="942"/>
      <c r="FI89" s="1067"/>
      <c r="FJ89" s="1216"/>
      <c r="FK89" s="1216"/>
      <c r="FL89" s="1216"/>
      <c r="FM89" s="1216"/>
      <c r="FN89" s="1216"/>
      <c r="FO89" s="1216"/>
      <c r="FP89" s="1216"/>
      <c r="FQ89" s="1216"/>
      <c r="FR89" s="1216"/>
      <c r="FS89" s="1216"/>
      <c r="FT89" s="1216"/>
      <c r="GR89" s="89"/>
      <c r="GS89" s="89"/>
      <c r="GT89" s="1224"/>
      <c r="GU89" s="1224"/>
      <c r="GV89" s="1224"/>
      <c r="GW89" s="1224"/>
      <c r="GX89" s="1224"/>
      <c r="GY89" s="1224"/>
      <c r="GZ89" s="1224"/>
      <c r="HA89" s="1224"/>
      <c r="HB89" s="1224"/>
      <c r="HC89" s="1224"/>
      <c r="HD89" s="1224"/>
    </row>
    <row r="90" spans="1:212" x14ac:dyDescent="0.25">
      <c r="A90" s="99"/>
      <c r="B90" s="4"/>
      <c r="C90" s="842"/>
      <c r="D90" s="1009"/>
      <c r="E90" s="1009"/>
      <c r="F90" s="1009"/>
      <c r="G90" s="1009"/>
      <c r="H90" s="1009"/>
      <c r="I90" s="1009"/>
      <c r="J90" s="1009"/>
      <c r="K90" s="1009"/>
      <c r="L90" s="1009"/>
      <c r="M90" s="1009"/>
      <c r="N90" s="1009"/>
      <c r="O90"/>
      <c r="P90"/>
      <c r="Q90"/>
      <c r="R90"/>
      <c r="S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 s="30"/>
      <c r="DX90" s="942"/>
      <c r="DY90" s="959"/>
      <c r="DZ90" s="986"/>
      <c r="EA90" s="986"/>
      <c r="EB90" s="986"/>
      <c r="EC90" s="1076">
        <v>0</v>
      </c>
      <c r="ED90" s="1076">
        <v>0</v>
      </c>
      <c r="EE90" s="1076">
        <v>0</v>
      </c>
      <c r="EF90" s="1076">
        <v>0</v>
      </c>
      <c r="EG90" s="1076">
        <v>0</v>
      </c>
      <c r="EH90" s="1076">
        <v>0</v>
      </c>
      <c r="EI90" s="1076">
        <v>0</v>
      </c>
      <c r="EJ90" s="1076">
        <v>0</v>
      </c>
      <c r="EK90"/>
      <c r="EL90"/>
      <c r="EM90"/>
      <c r="EN90"/>
      <c r="FH90" s="523"/>
      <c r="FI90" s="20"/>
      <c r="FJ90" s="1222"/>
      <c r="FK90" s="1222"/>
      <c r="FL90" s="1223"/>
      <c r="FM90" s="89"/>
      <c r="FN90" s="89"/>
      <c r="FO90" s="89"/>
      <c r="FP90" s="89"/>
      <c r="FQ90" s="89"/>
      <c r="FR90" s="89"/>
      <c r="FS90" s="89"/>
      <c r="FT90" s="89"/>
      <c r="GR90" s="89"/>
      <c r="GS90" s="89"/>
      <c r="GT90" s="1224"/>
      <c r="GU90" s="1224"/>
      <c r="GV90" s="1224"/>
      <c r="GW90" s="1224"/>
      <c r="GX90" s="1224"/>
      <c r="GY90" s="1224"/>
      <c r="GZ90" s="1224"/>
      <c r="HA90" s="1224"/>
      <c r="HB90" s="1224"/>
      <c r="HC90" s="1224"/>
      <c r="HD90" s="1224"/>
    </row>
    <row r="91" spans="1:212" x14ac:dyDescent="0.25">
      <c r="A91" s="99"/>
      <c r="B91" s="547"/>
      <c r="C91" s="54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/>
      <c r="P91"/>
      <c r="Q91"/>
      <c r="R91"/>
      <c r="S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 s="30"/>
      <c r="DX91" s="20"/>
      <c r="DY91" s="959"/>
      <c r="DZ91" s="20"/>
      <c r="EA91" s="963"/>
      <c r="EB91" s="20"/>
      <c r="EC91" s="77"/>
      <c r="ED91" s="77"/>
      <c r="EE91" s="77"/>
      <c r="EF91" s="77"/>
      <c r="EG91" s="77"/>
      <c r="EH91" s="77"/>
      <c r="EI91" s="77"/>
      <c r="EJ91" s="77"/>
      <c r="EK91"/>
      <c r="EL91"/>
      <c r="EM91"/>
      <c r="EN91"/>
      <c r="FH91" s="942"/>
      <c r="FI91" s="975"/>
      <c r="FJ91" s="611"/>
      <c r="FK91" s="573"/>
      <c r="FL91" s="573"/>
      <c r="FM91" s="573"/>
      <c r="FN91" s="573"/>
      <c r="FO91" s="573"/>
      <c r="FP91" s="573"/>
      <c r="FQ91" s="573"/>
      <c r="FR91" s="573"/>
      <c r="FS91" s="573"/>
      <c r="FT91" s="573"/>
      <c r="GR91" s="89"/>
      <c r="GS91" s="89"/>
      <c r="GT91" s="1224"/>
      <c r="GU91" s="1224"/>
      <c r="GV91" s="1224"/>
      <c r="GW91" s="1224"/>
      <c r="GX91" s="1224"/>
      <c r="GY91" s="1224"/>
      <c r="GZ91" s="1224"/>
      <c r="HA91" s="1224"/>
      <c r="HB91" s="1224"/>
      <c r="HC91" s="1224"/>
      <c r="HD91" s="1224"/>
    </row>
    <row r="92" spans="1:212" x14ac:dyDescent="0.25">
      <c r="A92" s="99"/>
      <c r="B92" s="679"/>
      <c r="C92" s="547"/>
      <c r="D92" s="1025"/>
      <c r="E92" s="1025"/>
      <c r="F92" s="978"/>
      <c r="G92" s="1025"/>
      <c r="H92" s="978"/>
      <c r="I92" s="1025"/>
      <c r="J92" s="978"/>
      <c r="K92" s="1025"/>
      <c r="L92" s="1025"/>
      <c r="M92" s="1025"/>
      <c r="N92" s="1025"/>
      <c r="O92"/>
      <c r="P92"/>
      <c r="Q92"/>
      <c r="R92"/>
      <c r="S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 s="30"/>
      <c r="DX92" s="942"/>
      <c r="DY92" s="959"/>
      <c r="DZ92" s="20"/>
      <c r="EA92" s="963"/>
      <c r="EB92" s="20"/>
      <c r="EC92" s="77"/>
      <c r="ED92" s="77"/>
      <c r="EE92" s="77"/>
      <c r="EF92" s="77"/>
      <c r="EG92" s="77"/>
      <c r="EH92" s="77"/>
      <c r="EI92" s="77"/>
      <c r="EJ92" s="77"/>
      <c r="EK92"/>
      <c r="EL92"/>
      <c r="EM92"/>
      <c r="EN92"/>
      <c r="FH92" s="1215"/>
      <c r="FI92" s="975"/>
      <c r="FJ92" s="986"/>
      <c r="FK92" s="986"/>
      <c r="FL92" s="986"/>
      <c r="FM92" s="986"/>
      <c r="FN92" s="986"/>
      <c r="FO92" s="986"/>
      <c r="FP92" s="986"/>
      <c r="FQ92" s="986"/>
      <c r="FR92" s="986"/>
      <c r="FS92" s="986"/>
      <c r="FT92" s="986"/>
      <c r="GR92" s="89"/>
      <c r="GS92" s="89"/>
      <c r="GT92" s="1224"/>
      <c r="GU92" s="1224"/>
      <c r="GV92" s="1224"/>
      <c r="GW92" s="1224"/>
      <c r="GX92" s="1224"/>
      <c r="GY92" s="1224"/>
      <c r="GZ92" s="1224"/>
      <c r="HA92" s="1224"/>
      <c r="HB92" s="1224"/>
      <c r="HC92" s="1224"/>
      <c r="HD92" s="1224"/>
    </row>
    <row r="93" spans="1:212" x14ac:dyDescent="0.25">
      <c r="A93" s="99"/>
      <c r="B93" s="4"/>
      <c r="C93" s="547"/>
      <c r="D93" s="647"/>
      <c r="E93" s="647"/>
      <c r="F93" s="647"/>
      <c r="G93" s="647"/>
      <c r="H93" s="647"/>
      <c r="I93" s="647"/>
      <c r="J93" s="647"/>
      <c r="K93" s="647"/>
      <c r="L93" s="647"/>
      <c r="M93" s="647"/>
      <c r="N93" s="647"/>
      <c r="O93"/>
      <c r="P93"/>
      <c r="Q93"/>
      <c r="R93"/>
      <c r="S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 s="30"/>
      <c r="DX93" s="20"/>
      <c r="DY93" s="959"/>
      <c r="DZ93" s="573"/>
      <c r="EA93" s="963"/>
      <c r="EB93" s="573"/>
      <c r="EC93" s="916"/>
      <c r="ED93" s="916">
        <v>0</v>
      </c>
      <c r="EE93" s="916"/>
      <c r="EF93" s="916">
        <v>0</v>
      </c>
      <c r="EG93" s="916"/>
      <c r="EH93" s="916">
        <v>0</v>
      </c>
      <c r="EI93" s="916"/>
      <c r="EJ93" s="916">
        <v>0</v>
      </c>
      <c r="EK93"/>
      <c r="EL93"/>
      <c r="EM93"/>
      <c r="EN93"/>
      <c r="FH93" s="1215"/>
      <c r="FI93" s="985"/>
      <c r="FJ93" s="986"/>
      <c r="FK93" s="986"/>
      <c r="FL93" s="986"/>
      <c r="FM93" s="986"/>
      <c r="FN93" s="986"/>
      <c r="FO93" s="986"/>
      <c r="FP93" s="986"/>
      <c r="FQ93" s="986"/>
      <c r="FR93" s="986"/>
      <c r="FS93" s="986"/>
      <c r="FT93" s="986"/>
      <c r="GR93" s="89"/>
      <c r="GS93" s="89"/>
      <c r="GT93" s="1224"/>
      <c r="GU93" s="1224"/>
      <c r="GV93" s="1224"/>
      <c r="GW93" s="1224"/>
      <c r="GX93" s="1224"/>
      <c r="GY93" s="1224"/>
      <c r="GZ93" s="1224"/>
      <c r="HA93" s="1224"/>
      <c r="HB93" s="1224"/>
      <c r="HC93" s="1224"/>
      <c r="HD93" s="1224"/>
    </row>
    <row r="94" spans="1:212" x14ac:dyDescent="0.25">
      <c r="A94" s="99"/>
      <c r="B94" s="679"/>
      <c r="C94" s="547"/>
      <c r="D94" s="647"/>
      <c r="E94" s="647"/>
      <c r="F94" s="647"/>
      <c r="G94" s="647"/>
      <c r="H94" s="647"/>
      <c r="I94" s="647"/>
      <c r="J94" s="647"/>
      <c r="K94" s="647"/>
      <c r="L94" s="647"/>
      <c r="M94" s="647"/>
      <c r="N94" s="647"/>
      <c r="O94"/>
      <c r="P94"/>
      <c r="Q94"/>
      <c r="R94"/>
      <c r="S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 s="30"/>
      <c r="DX94" s="20"/>
      <c r="DY94" s="959"/>
      <c r="DZ94" s="979"/>
      <c r="EA94" s="979"/>
      <c r="EB94" s="42"/>
      <c r="EC94" s="886"/>
      <c r="ED94" s="886">
        <v>0</v>
      </c>
      <c r="EE94" s="886"/>
      <c r="EF94" s="886">
        <v>0</v>
      </c>
      <c r="EG94" s="886"/>
      <c r="EH94" s="886">
        <v>0</v>
      </c>
      <c r="EI94" s="886"/>
      <c r="EJ94" s="886">
        <v>0</v>
      </c>
      <c r="EK94"/>
      <c r="EL94"/>
      <c r="EM94"/>
      <c r="EN94"/>
      <c r="FH94" s="1215"/>
      <c r="FI94" s="985"/>
      <c r="FJ94" s="986"/>
      <c r="FK94" s="986"/>
      <c r="FL94" s="986"/>
      <c r="FM94" s="986"/>
      <c r="FN94" s="986"/>
      <c r="FO94" s="986"/>
      <c r="FP94" s="986"/>
      <c r="FQ94" s="986"/>
      <c r="FR94" s="986"/>
      <c r="FS94" s="986"/>
      <c r="FT94" s="986"/>
      <c r="GR94" s="89"/>
      <c r="GS94" s="89"/>
      <c r="GT94" s="1224"/>
      <c r="GU94" s="1224"/>
      <c r="GV94" s="1224"/>
      <c r="GW94" s="1224"/>
      <c r="GX94" s="1224"/>
      <c r="GY94" s="1224"/>
      <c r="GZ94" s="1224"/>
      <c r="HA94" s="1224"/>
      <c r="HB94" s="1224"/>
      <c r="HC94" s="1224"/>
      <c r="HD94" s="1224"/>
    </row>
    <row r="95" spans="1:212" x14ac:dyDescent="0.25">
      <c r="A95" s="99"/>
      <c r="B95" s="547"/>
      <c r="C95" s="699"/>
      <c r="D95" s="647"/>
      <c r="E95" s="647"/>
      <c r="F95" s="978"/>
      <c r="G95" s="647"/>
      <c r="H95" s="978"/>
      <c r="I95" s="647"/>
      <c r="J95" s="978"/>
      <c r="K95" s="647"/>
      <c r="L95" s="647"/>
      <c r="M95" s="647"/>
      <c r="N95" s="647"/>
      <c r="O95"/>
      <c r="P95"/>
      <c r="Q95"/>
      <c r="R95"/>
      <c r="S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 s="30"/>
      <c r="DX95" s="20"/>
      <c r="DY95" s="959"/>
      <c r="DZ95" s="979"/>
      <c r="EA95" s="979"/>
      <c r="EB95" s="42"/>
      <c r="EC95" s="886"/>
      <c r="ED95" s="886"/>
      <c r="EE95" s="886"/>
      <c r="EF95" s="886"/>
      <c r="EG95" s="886"/>
      <c r="EH95" s="886"/>
      <c r="EI95" s="886"/>
      <c r="EJ95" s="886"/>
      <c r="EK95"/>
      <c r="EL95"/>
      <c r="EM95"/>
      <c r="EN95"/>
      <c r="FH95" s="842"/>
      <c r="FI95" s="1175"/>
      <c r="FJ95" s="999"/>
      <c r="FK95" s="999"/>
      <c r="FL95" s="963"/>
      <c r="FM95" s="986"/>
      <c r="FN95" s="986"/>
      <c r="FO95" s="986"/>
      <c r="FP95" s="986"/>
      <c r="FQ95" s="986"/>
      <c r="FR95" s="986"/>
      <c r="FS95" s="986"/>
      <c r="FT95" s="986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</row>
    <row r="96" spans="1:212" x14ac:dyDescent="0.25">
      <c r="A96" s="99"/>
      <c r="B96" s="547"/>
      <c r="C96" s="54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/>
      <c r="P96"/>
      <c r="Q96"/>
      <c r="R96"/>
      <c r="S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 s="30"/>
      <c r="DX96" s="20"/>
      <c r="DY96" s="959"/>
      <c r="DZ96" s="979"/>
      <c r="EA96" s="979"/>
      <c r="EB96" s="42"/>
      <c r="EC96" s="886"/>
      <c r="ED96" s="886">
        <v>0</v>
      </c>
      <c r="EE96" s="886"/>
      <c r="EF96" s="886">
        <v>0</v>
      </c>
      <c r="EG96" s="886"/>
      <c r="EH96" s="886">
        <v>0</v>
      </c>
      <c r="EI96" s="886"/>
      <c r="EJ96" s="886">
        <v>0</v>
      </c>
      <c r="EK96"/>
      <c r="EL96"/>
      <c r="EM96"/>
      <c r="EN96"/>
      <c r="FH96" s="842"/>
      <c r="FI96" s="1175"/>
      <c r="FJ96" s="999"/>
      <c r="FK96" s="999"/>
      <c r="FL96" s="979"/>
      <c r="FM96" s="986"/>
      <c r="FN96" s="986"/>
      <c r="FO96" s="986"/>
      <c r="FP96" s="986"/>
      <c r="FQ96" s="986"/>
      <c r="FR96" s="986"/>
      <c r="FS96" s="986"/>
      <c r="FT96" s="986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</row>
    <row r="97" spans="1:487" x14ac:dyDescent="0.25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/>
      <c r="P97"/>
      <c r="Q97"/>
      <c r="R97"/>
      <c r="S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 s="30"/>
      <c r="DX97" s="20"/>
      <c r="DY97" s="959"/>
      <c r="DZ97" s="979"/>
      <c r="EA97" s="979"/>
      <c r="EB97" s="42"/>
      <c r="EC97" s="886"/>
      <c r="ED97" s="886">
        <v>0</v>
      </c>
      <c r="EE97" s="886"/>
      <c r="EF97" s="886">
        <v>0</v>
      </c>
      <c r="EG97" s="886"/>
      <c r="EH97" s="886">
        <v>0</v>
      </c>
      <c r="EI97" s="886"/>
      <c r="EJ97" s="886">
        <v>0</v>
      </c>
      <c r="EK97"/>
      <c r="EL97"/>
      <c r="EM97"/>
      <c r="EN97"/>
      <c r="FH97" s="842"/>
      <c r="FI97" s="1175"/>
      <c r="FJ97" s="999"/>
      <c r="FK97" s="999"/>
      <c r="FL97" s="979"/>
      <c r="FM97" s="986"/>
      <c r="FN97" s="986"/>
      <c r="FO97" s="986"/>
      <c r="FP97" s="986"/>
      <c r="FQ97" s="986"/>
      <c r="FR97" s="986"/>
      <c r="FS97" s="986"/>
      <c r="FT97" s="986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</row>
    <row r="98" spans="1:487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 s="30"/>
      <c r="DX98" s="942"/>
      <c r="DY98" s="959"/>
      <c r="DZ98" s="986"/>
      <c r="EA98" s="986"/>
      <c r="EB98" s="986"/>
      <c r="EC98" s="1076">
        <v>0</v>
      </c>
      <c r="ED98" s="1076">
        <v>0</v>
      </c>
      <c r="EE98" s="1076">
        <v>0</v>
      </c>
      <c r="EF98" s="1076">
        <v>0</v>
      </c>
      <c r="EG98" s="1076">
        <v>0</v>
      </c>
      <c r="EH98" s="1076">
        <v>0</v>
      </c>
      <c r="EI98" s="1076">
        <v>0</v>
      </c>
      <c r="EJ98" s="1076">
        <v>0</v>
      </c>
      <c r="EK98"/>
      <c r="EL98"/>
      <c r="EM98"/>
      <c r="EN98"/>
      <c r="FH98" s="842"/>
      <c r="FI98" s="985"/>
      <c r="FJ98" s="986"/>
      <c r="FK98" s="986"/>
      <c r="FL98" s="986"/>
      <c r="FM98" s="986"/>
      <c r="FN98" s="986"/>
      <c r="FO98" s="986"/>
      <c r="FP98" s="986"/>
      <c r="FQ98" s="986"/>
      <c r="FR98" s="986"/>
      <c r="FS98" s="986"/>
      <c r="FT98" s="986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</row>
    <row r="99" spans="1:487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 s="30"/>
      <c r="DX99" s="20"/>
      <c r="DY99" s="959"/>
      <c r="DZ99" s="20"/>
      <c r="EA99" s="979"/>
      <c r="EB99" s="20"/>
      <c r="EC99" s="77"/>
      <c r="ED99" s="77"/>
      <c r="EE99" s="77"/>
      <c r="EF99" s="77"/>
      <c r="EG99" s="77"/>
      <c r="EH99" s="77"/>
      <c r="EI99" s="77"/>
      <c r="EJ99" s="77"/>
      <c r="EK99"/>
      <c r="EL99"/>
      <c r="EM99"/>
      <c r="EN99"/>
      <c r="FH99" s="842"/>
      <c r="FI99" s="985"/>
      <c r="FJ99" s="986"/>
      <c r="FK99" s="986"/>
      <c r="FL99" s="986"/>
      <c r="FM99" s="986"/>
      <c r="FN99" s="986"/>
      <c r="FO99" s="986"/>
      <c r="FP99" s="986"/>
      <c r="FQ99" s="986"/>
      <c r="FR99" s="986"/>
      <c r="FS99" s="986"/>
      <c r="FT99" s="986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</row>
    <row r="100" spans="1:487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 s="30"/>
      <c r="DX100" s="942"/>
      <c r="DY100" s="959"/>
      <c r="DZ100" s="20"/>
      <c r="EA100" s="979"/>
      <c r="EB100" s="20"/>
      <c r="EC100" s="77"/>
      <c r="ED100" s="77"/>
      <c r="EE100" s="77"/>
      <c r="EF100" s="77"/>
      <c r="EG100" s="77"/>
      <c r="EH100" s="77"/>
      <c r="EI100" s="77"/>
      <c r="EJ100" s="77"/>
      <c r="EK100"/>
      <c r="EL100"/>
      <c r="EM100"/>
      <c r="EN100"/>
      <c r="FH100" s="842"/>
      <c r="FI100" s="985"/>
      <c r="FJ100" s="986"/>
      <c r="FK100" s="986"/>
      <c r="FL100" s="986"/>
      <c r="FM100" s="986"/>
      <c r="FN100" s="986"/>
      <c r="FO100" s="986"/>
      <c r="FP100" s="986"/>
      <c r="FQ100" s="986"/>
      <c r="FR100" s="986"/>
      <c r="FS100" s="986"/>
      <c r="FT100" s="986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</row>
    <row r="101" spans="1:487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 s="30"/>
      <c r="DX101" s="20"/>
      <c r="DY101" s="959"/>
      <c r="DZ101" s="573"/>
      <c r="EA101" s="1018"/>
      <c r="EB101" s="573"/>
      <c r="EC101" s="916"/>
      <c r="ED101" s="916">
        <v>0</v>
      </c>
      <c r="EE101" s="916"/>
      <c r="EF101" s="916">
        <v>0</v>
      </c>
      <c r="EG101" s="916"/>
      <c r="EH101" s="916">
        <v>0</v>
      </c>
      <c r="EI101" s="916"/>
      <c r="EJ101" s="916">
        <v>0</v>
      </c>
      <c r="EK101"/>
      <c r="EL101"/>
      <c r="EM101"/>
      <c r="EN101"/>
      <c r="FH101" s="1215"/>
      <c r="FI101" s="975"/>
      <c r="FJ101" s="986"/>
      <c r="FK101" s="986"/>
      <c r="FL101" s="986"/>
      <c r="FM101" s="986"/>
      <c r="FN101" s="986"/>
      <c r="FO101" s="986"/>
      <c r="FP101" s="986"/>
      <c r="FQ101" s="986"/>
      <c r="FR101" s="986"/>
      <c r="FS101" s="986"/>
      <c r="FT101" s="986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</row>
    <row r="102" spans="1:487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 s="30"/>
      <c r="DX102" s="20"/>
      <c r="DY102" s="959"/>
      <c r="DZ102" s="979"/>
      <c r="EA102" s="1020"/>
      <c r="EB102" s="42"/>
      <c r="EC102" s="886"/>
      <c r="ED102" s="886">
        <v>0</v>
      </c>
      <c r="EE102" s="886"/>
      <c r="EF102" s="886">
        <v>0</v>
      </c>
      <c r="EG102" s="886"/>
      <c r="EH102" s="886">
        <v>0</v>
      </c>
      <c r="EI102" s="886"/>
      <c r="EJ102" s="886">
        <v>0</v>
      </c>
      <c r="EK102"/>
      <c r="EL102"/>
      <c r="EM102"/>
      <c r="EN102"/>
      <c r="FH102" s="609"/>
      <c r="FI102" s="975"/>
      <c r="FJ102" s="963"/>
      <c r="FK102" s="963"/>
      <c r="FL102" s="963"/>
      <c r="FM102" s="963"/>
      <c r="FN102" s="963"/>
      <c r="FO102" s="963"/>
      <c r="FP102" s="963"/>
      <c r="FQ102" s="963"/>
      <c r="FR102" s="963"/>
      <c r="FS102" s="963"/>
      <c r="FT102" s="963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</row>
    <row r="103" spans="1:487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 s="30"/>
      <c r="DX103" s="20"/>
      <c r="DY103" s="959"/>
      <c r="DZ103" s="979"/>
      <c r="EA103" s="1020"/>
      <c r="EB103" s="42"/>
      <c r="EC103" s="886"/>
      <c r="ED103" s="886">
        <v>0</v>
      </c>
      <c r="EE103" s="886"/>
      <c r="EF103" s="886">
        <v>0</v>
      </c>
      <c r="EG103" s="886"/>
      <c r="EH103" s="886">
        <v>0</v>
      </c>
      <c r="EI103" s="886"/>
      <c r="EJ103" s="886">
        <v>0</v>
      </c>
      <c r="EK103"/>
      <c r="EL103"/>
      <c r="EM103"/>
      <c r="EN103"/>
      <c r="FH103" s="609"/>
      <c r="FI103" s="975"/>
      <c r="FJ103" s="999"/>
      <c r="FK103" s="979"/>
      <c r="FL103" s="979"/>
      <c r="FM103" s="979"/>
      <c r="FN103" s="979"/>
      <c r="FO103" s="979"/>
      <c r="FP103" s="979"/>
      <c r="FQ103" s="979"/>
      <c r="FR103" s="979"/>
      <c r="FS103" s="979"/>
      <c r="FT103" s="97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</row>
    <row r="104" spans="1:487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 s="30"/>
      <c r="DX104" s="20"/>
      <c r="DY104" s="959"/>
      <c r="DZ104" s="979"/>
      <c r="EA104" s="1020"/>
      <c r="EB104" s="42"/>
      <c r="EC104" s="886"/>
      <c r="ED104" s="886">
        <v>0</v>
      </c>
      <c r="EE104" s="886"/>
      <c r="EF104" s="886">
        <v>0</v>
      </c>
      <c r="EG104" s="886"/>
      <c r="EH104" s="886">
        <v>0</v>
      </c>
      <c r="EI104" s="886"/>
      <c r="EJ104" s="886">
        <v>0</v>
      </c>
      <c r="EK104"/>
      <c r="EL104"/>
      <c r="EM104"/>
      <c r="EN104"/>
      <c r="FH104" s="609"/>
      <c r="FI104" s="975"/>
      <c r="FJ104" s="979"/>
      <c r="FK104" s="979"/>
      <c r="FL104" s="979"/>
      <c r="FM104" s="979"/>
      <c r="FN104" s="979"/>
      <c r="FO104" s="979"/>
      <c r="FP104" s="979"/>
      <c r="FQ104" s="979"/>
      <c r="FR104" s="979"/>
      <c r="FS104" s="979"/>
      <c r="FT104" s="97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</row>
    <row r="105" spans="1:487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 s="30"/>
      <c r="DX105" s="20"/>
      <c r="DY105" s="959"/>
      <c r="DZ105" s="979"/>
      <c r="EA105" s="1020"/>
      <c r="EB105" s="42"/>
      <c r="EC105" s="886"/>
      <c r="ED105" s="886">
        <v>0</v>
      </c>
      <c r="EE105" s="886"/>
      <c r="EF105" s="886">
        <v>0</v>
      </c>
      <c r="EG105" s="886"/>
      <c r="EH105" s="886">
        <v>0</v>
      </c>
      <c r="EI105" s="886"/>
      <c r="EJ105" s="886">
        <v>0</v>
      </c>
      <c r="EK105"/>
      <c r="EL105"/>
      <c r="EM105"/>
      <c r="EN105"/>
      <c r="FH105" s="609"/>
      <c r="FI105" s="975"/>
      <c r="FJ105" s="979"/>
      <c r="FK105" s="979"/>
      <c r="FL105" s="979"/>
      <c r="FM105" s="979"/>
      <c r="FN105" s="979"/>
      <c r="FO105" s="979"/>
      <c r="FP105" s="979"/>
      <c r="FQ105" s="979"/>
      <c r="FR105" s="979"/>
      <c r="FS105" s="979"/>
      <c r="FT105" s="97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</row>
    <row r="106" spans="1:487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 s="30"/>
      <c r="DX106" s="20"/>
      <c r="DY106" s="959"/>
      <c r="DZ106" s="979"/>
      <c r="EA106" s="1020"/>
      <c r="EB106" s="42"/>
      <c r="EC106" s="886"/>
      <c r="ED106" s="886">
        <v>0</v>
      </c>
      <c r="EE106" s="886"/>
      <c r="EF106" s="886">
        <v>0</v>
      </c>
      <c r="EG106" s="886"/>
      <c r="EH106" s="886">
        <v>0</v>
      </c>
      <c r="EI106" s="886"/>
      <c r="EJ106" s="886">
        <v>0</v>
      </c>
      <c r="EK106"/>
      <c r="EL106"/>
      <c r="EM106"/>
      <c r="EN106"/>
      <c r="FH106" s="515"/>
      <c r="FI106" s="975"/>
      <c r="FJ106" s="1216"/>
      <c r="FK106" s="1216"/>
      <c r="FL106" s="1216"/>
      <c r="FM106" s="1216"/>
      <c r="FN106" s="1216"/>
      <c r="FO106" s="1216"/>
      <c r="FP106" s="1216"/>
      <c r="FQ106" s="1216"/>
      <c r="FR106" s="1216"/>
      <c r="FS106" s="1216"/>
      <c r="FT106" s="1216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</row>
    <row r="107" spans="1:487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 s="30"/>
      <c r="DX107" s="942"/>
      <c r="DY107" s="959"/>
      <c r="DZ107" s="986"/>
      <c r="EA107" s="986"/>
      <c r="EB107" s="986"/>
      <c r="EC107" s="1076">
        <v>0</v>
      </c>
      <c r="ED107" s="1076">
        <v>0</v>
      </c>
      <c r="EE107" s="1076">
        <v>0</v>
      </c>
      <c r="EF107" s="1076">
        <v>0</v>
      </c>
      <c r="EG107" s="1076">
        <v>0</v>
      </c>
      <c r="EH107" s="1076">
        <v>0</v>
      </c>
      <c r="EI107" s="1076">
        <v>0</v>
      </c>
      <c r="EJ107" s="1076">
        <v>0</v>
      </c>
      <c r="EK107"/>
      <c r="EL107"/>
      <c r="EM107"/>
      <c r="EN107"/>
      <c r="FH107" s="547"/>
      <c r="FI107" s="975"/>
      <c r="FJ107" s="20"/>
      <c r="FK107" s="973"/>
      <c r="FL107" s="20"/>
      <c r="FM107" s="20"/>
      <c r="FN107" s="20"/>
      <c r="FO107" s="20"/>
      <c r="FP107" s="20"/>
      <c r="FQ107" s="20"/>
      <c r="FR107" s="20"/>
      <c r="FS107" s="20"/>
      <c r="FT107" s="20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</row>
    <row r="108" spans="1:487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 s="30"/>
      <c r="DX108" s="942"/>
      <c r="DY108" s="959"/>
      <c r="DZ108" s="20"/>
      <c r="EA108" s="963"/>
      <c r="EB108" s="1020"/>
      <c r="EC108" s="1098"/>
      <c r="ED108" s="1098"/>
      <c r="EE108" s="1098"/>
      <c r="EF108" s="1098"/>
      <c r="EG108" s="1098"/>
      <c r="EH108" s="1098"/>
      <c r="EI108" s="1098"/>
      <c r="EJ108" s="1098"/>
      <c r="EK108"/>
      <c r="EL108"/>
      <c r="EM108"/>
      <c r="EN108"/>
      <c r="FH108" s="20"/>
      <c r="FI108" s="975"/>
      <c r="FJ108" s="20"/>
      <c r="FK108" s="973"/>
      <c r="FL108" s="20"/>
      <c r="FM108" s="20"/>
      <c r="FN108" s="20"/>
      <c r="FO108" s="20"/>
      <c r="FP108" s="20"/>
      <c r="FQ108" s="20"/>
      <c r="FR108" s="20"/>
      <c r="FS108" s="20"/>
      <c r="FT108" s="20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</row>
    <row r="109" spans="1:487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 s="30"/>
      <c r="DX109" s="942"/>
      <c r="DY109" s="959"/>
      <c r="DZ109" s="1207"/>
      <c r="EA109" s="1049"/>
      <c r="EB109" s="20"/>
      <c r="EC109" s="77"/>
      <c r="ED109" s="77"/>
      <c r="EE109" s="77"/>
      <c r="EF109" s="77"/>
      <c r="EG109" s="77"/>
      <c r="EH109" s="77"/>
      <c r="EI109" s="77"/>
      <c r="EJ109" s="77"/>
      <c r="EK109"/>
      <c r="EL109"/>
      <c r="EM109"/>
      <c r="EN109"/>
      <c r="FH109" s="942"/>
      <c r="FI109" s="975"/>
      <c r="FJ109" s="20"/>
      <c r="FK109" s="973"/>
      <c r="FL109" s="20"/>
      <c r="FM109" s="20"/>
      <c r="FN109" s="20"/>
      <c r="FO109" s="20"/>
      <c r="FP109" s="20"/>
      <c r="FQ109" s="20"/>
      <c r="FR109" s="20"/>
      <c r="FS109" s="20"/>
      <c r="FT109" s="20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RD109" s="1100"/>
      <c r="RE109" s="1100"/>
      <c r="RF109" s="1100"/>
      <c r="RG109" s="1100"/>
      <c r="RH109" s="1100"/>
      <c r="RI109" s="1100"/>
      <c r="RJ109" s="1100"/>
      <c r="RK109" s="1100"/>
      <c r="RL109" s="1100"/>
      <c r="RM109" s="1100"/>
      <c r="RN109" s="1100"/>
      <c r="RO109" s="1100"/>
      <c r="RP109" s="1100"/>
      <c r="RQ109" s="1100"/>
      <c r="RR109" s="1100"/>
      <c r="RS109" s="1100"/>
    </row>
    <row r="110" spans="1:487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 s="30"/>
      <c r="DX110" s="20"/>
      <c r="DY110" s="959"/>
      <c r="DZ110" s="573"/>
      <c r="EA110" s="963"/>
      <c r="EB110" s="573"/>
      <c r="EC110" s="916"/>
      <c r="ED110" s="916">
        <v>0</v>
      </c>
      <c r="EE110" s="916"/>
      <c r="EF110" s="916">
        <v>0</v>
      </c>
      <c r="EG110" s="916"/>
      <c r="EH110" s="916">
        <v>0</v>
      </c>
      <c r="EI110" s="916"/>
      <c r="EJ110" s="916">
        <v>0</v>
      </c>
      <c r="EK110"/>
      <c r="EL110"/>
      <c r="EM110"/>
      <c r="EN110"/>
      <c r="FH110" s="842"/>
      <c r="FI110" s="975"/>
      <c r="FJ110" s="573"/>
      <c r="FK110" s="963"/>
      <c r="FL110" s="573"/>
      <c r="FM110" s="573"/>
      <c r="FN110" s="573"/>
      <c r="FO110" s="573"/>
      <c r="FP110" s="573"/>
      <c r="FQ110" s="573"/>
      <c r="FR110" s="573"/>
      <c r="FS110" s="573"/>
      <c r="FT110" s="573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RD110" s="1100"/>
      <c r="RE110" s="1100"/>
      <c r="RF110" s="1100"/>
      <c r="RG110" s="1100"/>
      <c r="RH110" s="1100"/>
      <c r="RI110" s="1100"/>
      <c r="RJ110" s="1100"/>
      <c r="RK110" s="1100"/>
      <c r="RL110" s="1100"/>
      <c r="RM110" s="1100"/>
      <c r="RN110" s="1100"/>
      <c r="RO110" s="1100"/>
      <c r="RP110" s="1100"/>
      <c r="RQ110" s="1100"/>
      <c r="RR110" s="1100"/>
      <c r="RS110" s="1100"/>
    </row>
    <row r="111" spans="1:487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 s="30"/>
      <c r="DX111" s="20"/>
      <c r="DY111" s="959"/>
      <c r="DZ111" s="979"/>
      <c r="EA111" s="1020"/>
      <c r="EB111" s="42"/>
      <c r="EC111" s="886"/>
      <c r="ED111" s="886">
        <v>0</v>
      </c>
      <c r="EE111" s="886"/>
      <c r="EF111" s="886">
        <v>0</v>
      </c>
      <c r="EG111" s="886"/>
      <c r="EH111" s="886">
        <v>0</v>
      </c>
      <c r="EI111" s="886"/>
      <c r="EJ111" s="886">
        <v>0</v>
      </c>
      <c r="EK111"/>
      <c r="EL111"/>
      <c r="EM111"/>
      <c r="EN111"/>
      <c r="FH111" s="842"/>
      <c r="FI111" s="975"/>
      <c r="FJ111" s="979"/>
      <c r="FK111" s="979"/>
      <c r="FL111" s="42"/>
      <c r="FM111" s="42"/>
      <c r="FN111" s="42"/>
      <c r="FO111" s="42"/>
      <c r="FP111" s="42"/>
      <c r="FQ111" s="42"/>
      <c r="FR111" s="42"/>
      <c r="FS111" s="42"/>
      <c r="FT111" s="42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RD111" s="1100"/>
      <c r="RE111" s="1100"/>
      <c r="RF111" s="1100"/>
      <c r="RG111" s="1100"/>
      <c r="RH111" s="1100"/>
      <c r="RI111" s="1100"/>
      <c r="RJ111" s="1100"/>
      <c r="RK111" s="1100"/>
      <c r="RL111" s="1100"/>
      <c r="RM111" s="1100"/>
      <c r="RN111" s="1100"/>
      <c r="RO111" s="1100"/>
      <c r="RP111" s="1100"/>
      <c r="RQ111" s="1100"/>
      <c r="RR111" s="1100"/>
      <c r="RS111" s="1100"/>
    </row>
    <row r="112" spans="1:487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 s="30"/>
      <c r="DX112" s="20"/>
      <c r="DY112" s="959"/>
      <c r="DZ112" s="979"/>
      <c r="EA112" s="1020"/>
      <c r="EB112" s="42"/>
      <c r="EC112" s="886"/>
      <c r="ED112" s="886">
        <v>0</v>
      </c>
      <c r="EE112" s="886"/>
      <c r="EF112" s="886">
        <v>0</v>
      </c>
      <c r="EG112" s="886"/>
      <c r="EH112" s="886">
        <v>0</v>
      </c>
      <c r="EI112" s="886"/>
      <c r="EJ112" s="886">
        <v>0</v>
      </c>
      <c r="EK112"/>
      <c r="EL112"/>
      <c r="EM112"/>
      <c r="EN112"/>
      <c r="FH112" s="842"/>
      <c r="FI112" s="975"/>
      <c r="FJ112" s="979"/>
      <c r="FK112" s="979"/>
      <c r="FL112" s="42"/>
      <c r="FM112" s="42"/>
      <c r="FN112" s="42"/>
      <c r="FO112" s="42"/>
      <c r="FP112" s="42"/>
      <c r="FQ112" s="42"/>
      <c r="FR112" s="42"/>
      <c r="FS112" s="42"/>
      <c r="FT112" s="42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RD112" s="1100"/>
      <c r="RE112" s="1100"/>
      <c r="RF112" s="1100"/>
      <c r="RG112" s="1100"/>
      <c r="RH112" s="1100"/>
      <c r="RI112" s="1100"/>
      <c r="RJ112" s="1100"/>
      <c r="RK112" s="1100"/>
      <c r="RL112" s="1100"/>
      <c r="RM112" s="1100"/>
      <c r="RN112" s="1100"/>
      <c r="RO112" s="1100"/>
      <c r="RP112" s="1100"/>
      <c r="RQ112" s="1100"/>
      <c r="RR112" s="1100"/>
      <c r="RS112" s="1100"/>
    </row>
    <row r="113" spans="1:487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 s="30"/>
      <c r="DX113" s="20"/>
      <c r="DY113" s="959"/>
      <c r="DZ113" s="979"/>
      <c r="EA113" s="1020"/>
      <c r="EB113" s="42"/>
      <c r="EC113" s="886"/>
      <c r="ED113" s="886">
        <v>0</v>
      </c>
      <c r="EE113" s="886"/>
      <c r="EF113" s="886">
        <v>0</v>
      </c>
      <c r="EG113" s="886"/>
      <c r="EH113" s="886">
        <v>0</v>
      </c>
      <c r="EI113" s="886"/>
      <c r="EJ113" s="886">
        <v>0</v>
      </c>
      <c r="EK113"/>
      <c r="EL113"/>
      <c r="EM113"/>
      <c r="EN113"/>
      <c r="FH113" s="842"/>
      <c r="FI113" s="975"/>
      <c r="FJ113" s="979"/>
      <c r="FK113" s="979"/>
      <c r="FL113" s="42"/>
      <c r="FM113" s="42"/>
      <c r="FN113" s="42"/>
      <c r="FO113" s="42"/>
      <c r="FP113" s="42"/>
      <c r="FQ113" s="42"/>
      <c r="FR113" s="42"/>
      <c r="FS113" s="42"/>
      <c r="FT113" s="42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RD113" s="1100"/>
      <c r="RE113" s="1100"/>
      <c r="RF113" s="1100"/>
      <c r="RG113" s="1100"/>
      <c r="RH113" s="1100"/>
      <c r="RI113" s="1100"/>
      <c r="RJ113" s="1100"/>
      <c r="RK113" s="1100"/>
      <c r="RL113" s="1100"/>
      <c r="RM113" s="1100"/>
      <c r="RN113" s="1100"/>
      <c r="RO113" s="1100"/>
      <c r="RP113" s="1100"/>
      <c r="RQ113" s="1100"/>
      <c r="RR113" s="1100"/>
      <c r="RS113" s="1100"/>
    </row>
    <row r="114" spans="1:487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 s="30"/>
      <c r="DX114" s="20"/>
      <c r="DY114" s="959"/>
      <c r="DZ114" s="979"/>
      <c r="EA114" s="1020"/>
      <c r="EB114" s="42"/>
      <c r="EC114" s="886"/>
      <c r="ED114" s="886">
        <v>0</v>
      </c>
      <c r="EE114" s="886"/>
      <c r="EF114" s="886">
        <v>0</v>
      </c>
      <c r="EG114" s="886"/>
      <c r="EH114" s="886">
        <v>0</v>
      </c>
      <c r="EI114" s="886"/>
      <c r="EJ114" s="886">
        <v>0</v>
      </c>
      <c r="EK114"/>
      <c r="EL114"/>
      <c r="EM114"/>
      <c r="EN114"/>
      <c r="FH114" s="842"/>
      <c r="FI114" s="975"/>
      <c r="FJ114" s="979"/>
      <c r="FK114" s="979"/>
      <c r="FL114" s="42"/>
      <c r="FM114" s="42"/>
      <c r="FN114" s="42"/>
      <c r="FO114" s="42"/>
      <c r="FP114" s="42"/>
      <c r="FQ114" s="42"/>
      <c r="FR114" s="42"/>
      <c r="FS114" s="42"/>
      <c r="FT114" s="42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RD114" s="1100"/>
      <c r="RE114" s="1100"/>
      <c r="RF114" s="1100"/>
      <c r="RG114" s="1100"/>
      <c r="RH114" s="1100"/>
      <c r="RI114" s="1100"/>
      <c r="RJ114" s="1100"/>
      <c r="RK114" s="1100"/>
      <c r="RL114" s="1100"/>
      <c r="RM114" s="1100"/>
      <c r="RN114" s="1100"/>
      <c r="RO114" s="1100"/>
      <c r="RP114" s="1100"/>
      <c r="RQ114" s="1100"/>
      <c r="RR114" s="1100"/>
      <c r="RS114" s="1100"/>
    </row>
    <row r="115" spans="1:487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 s="30"/>
      <c r="DX115" s="20"/>
      <c r="DY115" s="959"/>
      <c r="DZ115" s="979"/>
      <c r="EA115" s="1020"/>
      <c r="EB115" s="42"/>
      <c r="EC115" s="886"/>
      <c r="ED115" s="886">
        <v>0</v>
      </c>
      <c r="EE115" s="886"/>
      <c r="EF115" s="886">
        <v>0</v>
      </c>
      <c r="EG115" s="886"/>
      <c r="EH115" s="886">
        <v>0</v>
      </c>
      <c r="EI115" s="886"/>
      <c r="EJ115" s="886">
        <v>0</v>
      </c>
      <c r="EK115"/>
      <c r="EL115"/>
      <c r="EM115"/>
      <c r="EN115"/>
      <c r="FH115" s="842"/>
      <c r="FI115" s="975"/>
      <c r="FJ115" s="979"/>
      <c r="FK115" s="979"/>
      <c r="FL115" s="42"/>
      <c r="FM115" s="42"/>
      <c r="FN115" s="42"/>
      <c r="FO115" s="42"/>
      <c r="FP115" s="42"/>
      <c r="FQ115" s="42"/>
      <c r="FR115" s="42"/>
      <c r="FS115" s="42"/>
      <c r="FT115" s="42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RD115" s="1100"/>
      <c r="RE115" s="1100"/>
      <c r="RF115" s="1100"/>
      <c r="RG115" s="1100"/>
      <c r="RH115" s="1100"/>
      <c r="RI115" s="1100"/>
      <c r="RJ115" s="1100"/>
      <c r="RK115" s="1100"/>
      <c r="RL115" s="1100"/>
      <c r="RM115" s="1100"/>
      <c r="RN115" s="1100"/>
      <c r="RO115" s="1100"/>
      <c r="RP115" s="1100"/>
      <c r="RQ115" s="1100"/>
      <c r="RR115" s="1100"/>
      <c r="RS115" s="1100"/>
    </row>
    <row r="116" spans="1:487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 s="30"/>
      <c r="DX116" s="20"/>
      <c r="DY116" s="959"/>
      <c r="DZ116" s="979"/>
      <c r="EA116" s="1020"/>
      <c r="EB116" s="42"/>
      <c r="EC116" s="886"/>
      <c r="ED116" s="886">
        <v>0</v>
      </c>
      <c r="EE116" s="886"/>
      <c r="EF116" s="886">
        <v>0</v>
      </c>
      <c r="EG116" s="886"/>
      <c r="EH116" s="886">
        <v>0</v>
      </c>
      <c r="EI116" s="886"/>
      <c r="EJ116" s="886">
        <v>0</v>
      </c>
      <c r="EK116"/>
      <c r="EL116"/>
      <c r="EM116"/>
      <c r="EN116"/>
      <c r="FH116" s="842"/>
      <c r="FI116" s="975"/>
      <c r="FJ116" s="979"/>
      <c r="FK116" s="1057"/>
      <c r="FL116" s="42"/>
      <c r="FM116" s="42"/>
      <c r="FN116" s="42"/>
      <c r="FO116" s="42"/>
      <c r="FP116" s="42"/>
      <c r="FQ116" s="42"/>
      <c r="FR116" s="42"/>
      <c r="FS116" s="42"/>
      <c r="FT116" s="42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RD116" s="1100"/>
      <c r="RE116" s="1100"/>
      <c r="RF116" s="1100"/>
      <c r="RG116" s="1100"/>
      <c r="RH116" s="1100"/>
      <c r="RI116" s="1100"/>
      <c r="RJ116" s="1100"/>
      <c r="RK116" s="1100"/>
      <c r="RL116" s="1100"/>
      <c r="RM116" s="1100"/>
      <c r="RN116" s="1100"/>
      <c r="RO116" s="1100"/>
      <c r="RP116" s="1100"/>
      <c r="RQ116" s="1100"/>
      <c r="RR116" s="1100"/>
      <c r="RS116" s="1100"/>
    </row>
    <row r="117" spans="1:487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 s="30"/>
      <c r="DX117" s="1215"/>
      <c r="DY117" s="959"/>
      <c r="DZ117" s="986"/>
      <c r="EA117" s="986"/>
      <c r="EB117" s="986"/>
      <c r="EC117" s="1076">
        <v>0</v>
      </c>
      <c r="ED117" s="1076">
        <v>0</v>
      </c>
      <c r="EE117" s="1076">
        <v>0</v>
      </c>
      <c r="EF117" s="1076">
        <v>0</v>
      </c>
      <c r="EG117" s="1076">
        <v>0</v>
      </c>
      <c r="EH117" s="1076">
        <v>0</v>
      </c>
      <c r="EI117" s="1076">
        <v>0</v>
      </c>
      <c r="EJ117" s="1076">
        <v>0</v>
      </c>
      <c r="EK117"/>
      <c r="EL117"/>
      <c r="EM117"/>
      <c r="EN117"/>
      <c r="FH117" s="842"/>
      <c r="FI117" s="975"/>
      <c r="FJ117" s="979"/>
      <c r="FK117" s="1057"/>
      <c r="FL117" s="42"/>
      <c r="FM117" s="42"/>
      <c r="FN117" s="42"/>
      <c r="FO117" s="42"/>
      <c r="FP117" s="42"/>
      <c r="FQ117" s="42"/>
      <c r="FR117" s="42"/>
      <c r="FS117" s="42"/>
      <c r="FT117" s="42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RD117" s="1100"/>
      <c r="RE117" s="1100"/>
      <c r="RF117" s="1100"/>
      <c r="RG117" s="1100"/>
      <c r="RH117" s="1100"/>
      <c r="RI117" s="1100"/>
      <c r="RJ117" s="1100"/>
      <c r="RK117" s="1100"/>
      <c r="RL117" s="1100"/>
      <c r="RM117" s="1100"/>
      <c r="RN117" s="1100"/>
      <c r="RO117" s="1100"/>
      <c r="RP117" s="1100"/>
      <c r="RQ117" s="1100"/>
      <c r="RR117" s="1100"/>
      <c r="RS117" s="1100"/>
    </row>
    <row r="118" spans="1:487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 s="30"/>
      <c r="DX118" s="1215"/>
      <c r="DY118" s="959"/>
      <c r="DZ118" s="986"/>
      <c r="EA118" s="986"/>
      <c r="EB118" s="986"/>
      <c r="EC118" s="1078"/>
      <c r="ED118" s="1078"/>
      <c r="EE118" s="1078"/>
      <c r="EF118" s="1078"/>
      <c r="EG118" s="1078"/>
      <c r="EH118" s="1078"/>
      <c r="EI118" s="1078"/>
      <c r="EJ118" s="1078"/>
      <c r="EK118"/>
      <c r="EL118"/>
      <c r="EM118"/>
      <c r="EN118"/>
      <c r="FH118" s="842"/>
      <c r="FI118" s="975"/>
      <c r="FJ118" s="1220"/>
      <c r="FK118" s="1220"/>
      <c r="FL118" s="979"/>
      <c r="FM118" s="979"/>
      <c r="FN118" s="979"/>
      <c r="FO118" s="979"/>
      <c r="FP118" s="979"/>
      <c r="FQ118" s="979"/>
      <c r="FR118" s="979"/>
      <c r="FS118" s="979"/>
      <c r="FT118" s="97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RD118" s="1101"/>
      <c r="RE118" s="1101"/>
      <c r="RF118" s="1101"/>
      <c r="RG118" s="1101"/>
      <c r="RH118" s="1101"/>
      <c r="RI118" s="1101"/>
      <c r="RJ118" s="1101"/>
      <c r="RK118" s="1101"/>
      <c r="RL118" s="1101"/>
      <c r="RM118" s="1101"/>
      <c r="RN118" s="1101"/>
      <c r="RO118" s="1101"/>
      <c r="RP118" s="1101"/>
      <c r="RQ118" s="1101"/>
      <c r="RR118" s="1101"/>
      <c r="RS118" s="1101"/>
    </row>
    <row r="119" spans="1:487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 s="30"/>
      <c r="DX119" s="1215"/>
      <c r="DY119" s="959"/>
      <c r="DZ119" s="986"/>
      <c r="EA119" s="986"/>
      <c r="EB119" s="986"/>
      <c r="EC119" s="1078"/>
      <c r="ED119" s="1078"/>
      <c r="EE119" s="1078"/>
      <c r="EF119" s="1078"/>
      <c r="EG119" s="1078"/>
      <c r="EH119" s="1078"/>
      <c r="EI119" s="1078"/>
      <c r="EJ119" s="1078"/>
      <c r="EK119"/>
      <c r="EL119"/>
      <c r="EM119"/>
      <c r="EN119"/>
      <c r="FH119" s="842"/>
      <c r="FI119" s="975"/>
      <c r="FJ119" s="979"/>
      <c r="FK119" s="979"/>
      <c r="FL119" s="979"/>
      <c r="FM119" s="979"/>
      <c r="FN119" s="979"/>
      <c r="FO119" s="979"/>
      <c r="FP119" s="979"/>
      <c r="FQ119" s="979"/>
      <c r="FR119" s="979"/>
      <c r="FS119" s="979"/>
      <c r="FT119" s="97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RD119" s="1101"/>
      <c r="RE119" s="1101"/>
      <c r="RF119" s="1101"/>
      <c r="RG119" s="1101"/>
      <c r="RH119" s="1101"/>
      <c r="RI119" s="1101"/>
      <c r="RJ119" s="1101"/>
      <c r="RK119" s="1101"/>
      <c r="RL119" s="1101"/>
      <c r="RM119" s="1101"/>
      <c r="RN119" s="1101"/>
      <c r="RO119" s="1101"/>
      <c r="RP119" s="1101"/>
      <c r="RQ119" s="1101"/>
      <c r="RR119" s="1101"/>
      <c r="RS119" s="1101"/>
    </row>
    <row r="120" spans="1:487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 s="30"/>
      <c r="DX120" s="609"/>
      <c r="DY120" s="959"/>
      <c r="DZ120" s="963"/>
      <c r="EA120" s="963"/>
      <c r="EB120" s="963"/>
      <c r="EC120" s="1079"/>
      <c r="ED120" s="1079">
        <v>0</v>
      </c>
      <c r="EE120" s="1079"/>
      <c r="EF120" s="1079">
        <v>0</v>
      </c>
      <c r="EG120" s="1079"/>
      <c r="EH120" s="1079">
        <v>0</v>
      </c>
      <c r="EI120" s="1079"/>
      <c r="EJ120" s="1079">
        <v>0</v>
      </c>
      <c r="EK120"/>
      <c r="EL120"/>
      <c r="EM120"/>
      <c r="EN120"/>
      <c r="FH120" s="842"/>
      <c r="FI120" s="975"/>
      <c r="FJ120" s="1220"/>
      <c r="FK120" s="1220"/>
      <c r="FL120" s="979"/>
      <c r="FM120" s="979"/>
      <c r="FN120" s="979"/>
      <c r="FO120" s="979"/>
      <c r="FP120" s="979"/>
      <c r="FQ120" s="979"/>
      <c r="FR120" s="979"/>
      <c r="FS120" s="979"/>
      <c r="FT120" s="97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RD120" s="1101"/>
      <c r="RE120" s="1101"/>
      <c r="RF120" s="1101"/>
      <c r="RG120" s="1101"/>
      <c r="RH120" s="1101"/>
      <c r="RI120" s="1101"/>
      <c r="RJ120" s="1101"/>
      <c r="RK120" s="1101"/>
      <c r="RL120" s="1101"/>
      <c r="RM120" s="1101"/>
      <c r="RN120" s="1101"/>
      <c r="RO120" s="1101"/>
      <c r="RP120" s="1101"/>
      <c r="RQ120" s="1101"/>
      <c r="RR120" s="1101"/>
      <c r="RS120" s="1101"/>
    </row>
    <row r="121" spans="1:487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 s="30"/>
      <c r="DX121" s="609"/>
      <c r="DY121" s="959"/>
      <c r="DZ121" s="979"/>
      <c r="EA121" s="979"/>
      <c r="EB121" s="979"/>
      <c r="EC121" s="1081"/>
      <c r="ED121" s="1081">
        <v>0</v>
      </c>
      <c r="EE121" s="1081"/>
      <c r="EF121" s="1081">
        <v>0</v>
      </c>
      <c r="EG121" s="1081"/>
      <c r="EH121" s="1081">
        <v>0</v>
      </c>
      <c r="EI121" s="1081"/>
      <c r="EJ121" s="1081">
        <v>0</v>
      </c>
      <c r="EK121"/>
      <c r="EL121"/>
      <c r="EM121"/>
      <c r="EN121"/>
      <c r="FH121" s="842"/>
      <c r="FI121" s="975"/>
      <c r="FJ121" s="979"/>
      <c r="FK121" s="1057"/>
      <c r="FL121" s="42"/>
      <c r="FM121" s="42"/>
      <c r="FN121" s="42"/>
      <c r="FO121" s="42"/>
      <c r="FP121" s="42"/>
      <c r="FQ121" s="42"/>
      <c r="FR121" s="42"/>
      <c r="FS121" s="42"/>
      <c r="FT121" s="42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RD121" s="1101"/>
      <c r="RE121" s="1101"/>
      <c r="RF121" s="1101"/>
      <c r="RG121" s="1101"/>
      <c r="RH121" s="1101"/>
      <c r="RI121" s="1101"/>
      <c r="RJ121" s="1101"/>
      <c r="RK121" s="1101"/>
      <c r="RL121" s="1101"/>
      <c r="RM121" s="1101"/>
      <c r="RN121" s="1101"/>
      <c r="RO121" s="1101"/>
      <c r="RP121" s="1101"/>
      <c r="RQ121" s="1101"/>
      <c r="RR121" s="1101"/>
      <c r="RS121" s="1101"/>
    </row>
    <row r="122" spans="1:487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 s="30"/>
      <c r="DX122" s="609"/>
      <c r="DY122" s="959"/>
      <c r="DZ122" s="979"/>
      <c r="EA122" s="979"/>
      <c r="EB122" s="979"/>
      <c r="EC122" s="1081"/>
      <c r="ED122" s="1081">
        <v>0</v>
      </c>
      <c r="EE122" s="1081"/>
      <c r="EF122" s="1081">
        <v>0</v>
      </c>
      <c r="EG122" s="1081"/>
      <c r="EH122" s="1081">
        <v>0</v>
      </c>
      <c r="EI122" s="1081"/>
      <c r="EJ122" s="1081">
        <v>0</v>
      </c>
      <c r="EK122"/>
      <c r="EL122"/>
      <c r="EM122"/>
      <c r="EN122"/>
      <c r="FH122" s="842"/>
      <c r="FI122" s="1064"/>
      <c r="FJ122" s="1221"/>
      <c r="FK122" s="1221"/>
      <c r="FL122" s="979"/>
      <c r="FM122" s="42"/>
      <c r="FN122" s="979"/>
      <c r="FO122" s="42"/>
      <c r="FP122" s="979"/>
      <c r="FQ122" s="42"/>
      <c r="FR122" s="979"/>
      <c r="FS122" s="42"/>
      <c r="FT122" s="97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RD122" s="1101"/>
      <c r="RE122" s="1101"/>
      <c r="RF122" s="1101"/>
      <c r="RG122" s="1101"/>
      <c r="RH122" s="1101"/>
      <c r="RI122" s="1101"/>
      <c r="RJ122" s="1101"/>
      <c r="RK122" s="1101"/>
      <c r="RL122" s="1101"/>
      <c r="RM122" s="1101"/>
      <c r="RN122" s="1101"/>
      <c r="RO122" s="1101"/>
      <c r="RP122" s="1101"/>
      <c r="RQ122" s="1101"/>
      <c r="RR122" s="1101"/>
      <c r="RS122" s="1101"/>
    </row>
    <row r="123" spans="1:487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 s="30"/>
      <c r="DX123" s="609"/>
      <c r="DY123" s="959"/>
      <c r="DZ123" s="979"/>
      <c r="EA123" s="979"/>
      <c r="EB123" s="979"/>
      <c r="EC123" s="1081"/>
      <c r="ED123" s="1081">
        <v>0</v>
      </c>
      <c r="EE123" s="1081"/>
      <c r="EF123" s="1081">
        <v>0</v>
      </c>
      <c r="EG123" s="1081"/>
      <c r="EH123" s="1081">
        <v>0</v>
      </c>
      <c r="EI123" s="1081"/>
      <c r="EJ123" s="1081">
        <v>0</v>
      </c>
      <c r="EK123"/>
      <c r="EL123"/>
      <c r="EM123"/>
      <c r="EN123"/>
      <c r="FH123" s="842"/>
      <c r="FI123" s="1064"/>
      <c r="FJ123" s="979"/>
      <c r="FK123" s="1057"/>
      <c r="FL123" s="42"/>
      <c r="FM123" s="42"/>
      <c r="FN123" s="42"/>
      <c r="FO123" s="42"/>
      <c r="FP123" s="42"/>
      <c r="FQ123" s="42"/>
      <c r="FR123" s="42"/>
      <c r="FS123" s="42"/>
      <c r="FT123" s="42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RD123" s="1101"/>
      <c r="RE123" s="1101"/>
      <c r="RF123" s="1101"/>
      <c r="RG123" s="1101"/>
      <c r="RH123" s="1101"/>
      <c r="RI123" s="1101"/>
      <c r="RJ123" s="1101"/>
      <c r="RK123" s="1101"/>
      <c r="RL123" s="1101"/>
      <c r="RM123" s="1101"/>
      <c r="RN123" s="1101"/>
      <c r="RO123" s="1101"/>
      <c r="RP123" s="1101"/>
      <c r="RQ123" s="1101"/>
      <c r="RR123" s="1101"/>
      <c r="RS123" s="1101"/>
    </row>
    <row r="124" spans="1:487" ht="15.75" thickBot="1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 s="30"/>
      <c r="DX124" s="515"/>
      <c r="DY124" s="959"/>
      <c r="DZ124" s="1216"/>
      <c r="EA124" s="1216"/>
      <c r="EB124" s="1216"/>
      <c r="EC124" s="1091">
        <v>0</v>
      </c>
      <c r="ED124" s="1091">
        <v>0</v>
      </c>
      <c r="EE124" s="1091">
        <v>0</v>
      </c>
      <c r="EF124" s="1091">
        <v>0</v>
      </c>
      <c r="EG124" s="1091">
        <v>0</v>
      </c>
      <c r="EH124" s="1091">
        <v>0</v>
      </c>
      <c r="EI124" s="1091">
        <v>0</v>
      </c>
      <c r="EJ124" s="1091">
        <v>0</v>
      </c>
      <c r="EK124"/>
      <c r="EL124"/>
      <c r="EM124"/>
      <c r="EN124"/>
      <c r="FH124" s="942"/>
      <c r="FI124" s="1067"/>
      <c r="FJ124" s="1216"/>
      <c r="FK124" s="1216"/>
      <c r="FL124" s="1216"/>
      <c r="FM124" s="1216"/>
      <c r="FN124" s="1216"/>
      <c r="FO124" s="1216"/>
      <c r="FP124" s="1216"/>
      <c r="FQ124" s="1216"/>
      <c r="FR124" s="1216"/>
      <c r="FS124" s="1216"/>
      <c r="FT124" s="1216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RD124" s="1101"/>
      <c r="RE124" s="1101"/>
      <c r="RF124" s="1101"/>
      <c r="RG124" s="1101"/>
      <c r="RH124" s="1101"/>
      <c r="RI124" s="1101"/>
      <c r="RJ124" s="1101"/>
      <c r="RK124" s="1101"/>
      <c r="RL124" s="1101"/>
      <c r="RM124" s="1101"/>
      <c r="RN124" s="1101"/>
      <c r="RO124" s="1101"/>
      <c r="RP124" s="1101"/>
      <c r="RQ124" s="1101"/>
      <c r="RR124" s="1101"/>
      <c r="RS124" s="1101"/>
    </row>
    <row r="125" spans="1:487" ht="15.75" thickTop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 s="30"/>
      <c r="DX125" s="547"/>
      <c r="DY125" s="959"/>
      <c r="DZ125" s="1207"/>
      <c r="EA125" s="1075"/>
      <c r="EB125" s="20"/>
      <c r="EC125" s="77"/>
      <c r="ED125" s="77"/>
      <c r="EE125" s="77"/>
      <c r="EF125" s="77"/>
      <c r="EG125" s="77"/>
      <c r="EH125" s="77"/>
      <c r="EI125" s="77"/>
      <c r="EJ125" s="77"/>
      <c r="EK125"/>
      <c r="EL125"/>
      <c r="EM125"/>
      <c r="EN125"/>
      <c r="FH125" s="20"/>
      <c r="FI125" s="20"/>
      <c r="FJ125" s="1222"/>
      <c r="FK125" s="1222"/>
      <c r="FL125" s="1223"/>
      <c r="FM125" s="89"/>
      <c r="FN125" s="89"/>
      <c r="FO125" s="89"/>
      <c r="FP125" s="89"/>
      <c r="FQ125" s="89"/>
      <c r="FR125" s="89"/>
      <c r="FS125" s="89"/>
      <c r="FT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RD125" s="1101"/>
      <c r="RE125" s="1101"/>
      <c r="RF125" s="1101"/>
      <c r="RG125" s="1101"/>
      <c r="RH125" s="1101"/>
      <c r="RI125" s="1101"/>
      <c r="RJ125" s="1101"/>
      <c r="RK125" s="1101"/>
      <c r="RL125" s="1101"/>
      <c r="RM125" s="1101"/>
      <c r="RN125" s="1101"/>
      <c r="RO125" s="1101"/>
      <c r="RP125" s="1101"/>
      <c r="RQ125" s="1101"/>
      <c r="RR125" s="1101"/>
      <c r="RS125" s="1101"/>
    </row>
    <row r="126" spans="1:487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 s="30"/>
      <c r="DX126" s="942"/>
      <c r="DY126" s="959"/>
      <c r="DZ126" s="1207"/>
      <c r="EA126" s="1075"/>
      <c r="EB126" s="20"/>
      <c r="EC126" s="77"/>
      <c r="ED126" s="77"/>
      <c r="EE126" s="77"/>
      <c r="EF126" s="77"/>
      <c r="EG126" s="77"/>
      <c r="EH126" s="77"/>
      <c r="EI126" s="77"/>
      <c r="EJ126" s="77"/>
      <c r="EK126"/>
      <c r="EL126"/>
      <c r="EM126"/>
      <c r="EN126"/>
      <c r="FH126" s="20"/>
      <c r="FI126" s="20"/>
      <c r="FJ126" s="1222"/>
      <c r="FK126" s="1222"/>
      <c r="FL126" s="1223"/>
      <c r="FM126" s="89"/>
      <c r="FN126" s="89"/>
      <c r="FO126" s="89"/>
      <c r="FP126" s="89"/>
      <c r="FQ126" s="89"/>
      <c r="FR126" s="89"/>
      <c r="FS126" s="89"/>
      <c r="FT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RD126" s="1101"/>
      <c r="RE126" s="1101"/>
      <c r="RF126" s="1101"/>
      <c r="RG126" s="1101"/>
      <c r="RH126" s="1101"/>
      <c r="RI126" s="1101"/>
      <c r="RJ126" s="1101"/>
      <c r="RK126" s="1101"/>
      <c r="RL126" s="1101"/>
      <c r="RM126" s="1101"/>
      <c r="RN126" s="1101"/>
      <c r="RO126" s="1101"/>
      <c r="RP126" s="1101"/>
      <c r="RQ126" s="1101"/>
      <c r="RR126" s="1101"/>
      <c r="RS126" s="1101"/>
    </row>
    <row r="127" spans="1:487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 s="30"/>
      <c r="DX127" s="592"/>
      <c r="DY127" s="959"/>
      <c r="DZ127" s="21"/>
      <c r="EA127" s="1077"/>
      <c r="EB127" s="21"/>
      <c r="EC127" s="916"/>
      <c r="ED127" s="916"/>
      <c r="EE127" s="916"/>
      <c r="EF127" s="916"/>
      <c r="EG127" s="916"/>
      <c r="EH127" s="916"/>
      <c r="EI127" s="916"/>
      <c r="EJ127" s="916"/>
      <c r="EK127"/>
      <c r="EL127"/>
      <c r="EM127"/>
      <c r="EN127"/>
      <c r="FH127" s="20"/>
      <c r="FI127" s="20"/>
      <c r="FJ127" s="1222"/>
      <c r="FK127" s="1222"/>
      <c r="FL127" s="1223"/>
      <c r="FM127" s="89"/>
      <c r="FN127" s="89"/>
      <c r="FO127" s="89"/>
      <c r="FP127" s="89"/>
      <c r="FQ127" s="89"/>
      <c r="FR127" s="89"/>
      <c r="FS127" s="89"/>
      <c r="FT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RD127" s="1101"/>
      <c r="RE127" s="1101"/>
      <c r="RF127" s="1101"/>
      <c r="RG127" s="1101"/>
      <c r="RH127" s="1101"/>
      <c r="RI127" s="1101"/>
      <c r="RJ127" s="1101"/>
      <c r="RK127" s="1101"/>
      <c r="RL127" s="1101"/>
      <c r="RM127" s="1101"/>
      <c r="RN127" s="1101"/>
      <c r="RO127" s="1101"/>
      <c r="RP127" s="1101"/>
      <c r="RQ127" s="1101"/>
      <c r="RR127" s="1101"/>
      <c r="RS127" s="1101"/>
    </row>
    <row r="128" spans="1:487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 s="30"/>
      <c r="DX128" s="942"/>
      <c r="DY128" s="959"/>
      <c r="DZ128" s="979"/>
      <c r="EA128" s="1057"/>
      <c r="EB128" s="42"/>
      <c r="EC128" s="886"/>
      <c r="ED128" s="886"/>
      <c r="EE128" s="886"/>
      <c r="EF128" s="886"/>
      <c r="EG128" s="886"/>
      <c r="EH128" s="886"/>
      <c r="EI128" s="886"/>
      <c r="EJ128" s="886"/>
      <c r="EK128"/>
      <c r="EL128"/>
      <c r="EM128"/>
      <c r="EN128"/>
      <c r="FJ128" s="1073"/>
      <c r="FK128" s="1073"/>
      <c r="FL128" s="1074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RD128" s="1101"/>
      <c r="RE128" s="1101"/>
      <c r="RF128" s="1101"/>
      <c r="RG128" s="1101"/>
      <c r="RH128" s="1101"/>
      <c r="RI128" s="1101"/>
      <c r="RJ128" s="1101"/>
      <c r="RK128" s="1101"/>
      <c r="RL128" s="1101"/>
      <c r="RM128" s="1101"/>
      <c r="RN128" s="1101"/>
      <c r="RO128" s="1101"/>
      <c r="RP128" s="1101"/>
      <c r="RQ128" s="1101"/>
      <c r="RR128" s="1101"/>
      <c r="RS128" s="1101"/>
    </row>
    <row r="129" spans="1:487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 s="30"/>
      <c r="DX129" s="1217"/>
      <c r="DY129" s="959"/>
      <c r="DZ129" s="979"/>
      <c r="EA129" s="1057"/>
      <c r="EB129" s="42"/>
      <c r="EC129" s="886"/>
      <c r="ED129" s="886">
        <v>0</v>
      </c>
      <c r="EE129" s="886"/>
      <c r="EF129" s="886">
        <v>0</v>
      </c>
      <c r="EG129" s="886"/>
      <c r="EH129" s="886">
        <v>0</v>
      </c>
      <c r="EI129" s="886"/>
      <c r="EJ129" s="886">
        <v>0</v>
      </c>
      <c r="EK129"/>
      <c r="EL129"/>
      <c r="EM129"/>
      <c r="EN129"/>
      <c r="FJ129" s="1073"/>
      <c r="FK129" s="1073"/>
      <c r="FL129" s="1074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RD129" s="1101"/>
      <c r="RE129" s="1101"/>
      <c r="RF129" s="1101"/>
      <c r="RG129" s="1101"/>
      <c r="RH129" s="1101"/>
      <c r="RI129" s="1101"/>
      <c r="RJ129" s="1101"/>
      <c r="RK129" s="1101"/>
      <c r="RL129" s="1101"/>
      <c r="RM129" s="1101"/>
      <c r="RN129" s="1101"/>
      <c r="RO129" s="1101"/>
      <c r="RP129" s="1101"/>
      <c r="RQ129" s="1101"/>
      <c r="RR129" s="1101"/>
      <c r="RS129" s="1101"/>
    </row>
    <row r="130" spans="1:487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 s="30"/>
      <c r="DX130" s="1218"/>
      <c r="DY130" s="959"/>
      <c r="DZ130" s="979"/>
      <c r="EA130" s="1057"/>
      <c r="EB130" s="42"/>
      <c r="EC130" s="886"/>
      <c r="ED130" s="886">
        <v>0</v>
      </c>
      <c r="EE130" s="886"/>
      <c r="EF130" s="886">
        <v>0</v>
      </c>
      <c r="EG130" s="886"/>
      <c r="EH130" s="886">
        <v>0</v>
      </c>
      <c r="EI130" s="886"/>
      <c r="EJ130" s="886">
        <v>0</v>
      </c>
      <c r="EK130"/>
      <c r="EL130"/>
      <c r="EM130"/>
      <c r="EN130"/>
      <c r="FJ130" s="1073"/>
      <c r="FK130" s="1073"/>
      <c r="FL130" s="1074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RD130" s="1101"/>
      <c r="RE130" s="1101"/>
      <c r="RF130" s="1101"/>
      <c r="RG130" s="1101"/>
      <c r="RH130" s="1101"/>
      <c r="RI130" s="1101"/>
      <c r="RJ130" s="1101"/>
      <c r="RK130" s="1101"/>
      <c r="RL130" s="1101"/>
      <c r="RM130" s="1101"/>
      <c r="RN130" s="1101"/>
      <c r="RO130" s="1101"/>
      <c r="RP130" s="1101"/>
      <c r="RQ130" s="1101"/>
      <c r="RR130" s="1101"/>
      <c r="RS130" s="1101"/>
    </row>
    <row r="131" spans="1:487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 s="30"/>
      <c r="DX131" s="1165"/>
      <c r="DY131" s="959"/>
      <c r="DZ131" s="979"/>
      <c r="EA131" s="1057"/>
      <c r="EB131" s="42"/>
      <c r="EC131" s="886"/>
      <c r="ED131" s="886">
        <v>0</v>
      </c>
      <c r="EE131" s="886"/>
      <c r="EF131" s="886">
        <v>0</v>
      </c>
      <c r="EG131" s="886"/>
      <c r="EH131" s="886">
        <v>0</v>
      </c>
      <c r="EI131" s="886"/>
      <c r="EJ131" s="886">
        <v>0</v>
      </c>
      <c r="EK131"/>
      <c r="EL131"/>
      <c r="EM131"/>
      <c r="EN131"/>
      <c r="FJ131" s="1073"/>
      <c r="FK131" s="1073"/>
      <c r="FL131" s="1074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RD131" s="1101"/>
      <c r="RE131" s="1101"/>
      <c r="RF131" s="1101"/>
      <c r="RG131" s="1101"/>
      <c r="RH131" s="1101"/>
      <c r="RI131" s="1101"/>
      <c r="RJ131" s="1101"/>
      <c r="RK131" s="1101"/>
      <c r="RL131" s="1101"/>
      <c r="RM131" s="1101"/>
      <c r="RN131" s="1101"/>
      <c r="RO131" s="1101"/>
      <c r="RP131" s="1101"/>
      <c r="RQ131" s="1101"/>
      <c r="RR131" s="1101"/>
      <c r="RS131" s="1101"/>
    </row>
    <row r="132" spans="1:487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 s="30"/>
      <c r="DX132" s="1165"/>
      <c r="DY132" s="959"/>
      <c r="DZ132" s="979"/>
      <c r="EA132" s="1057"/>
      <c r="EB132" s="42"/>
      <c r="EC132" s="886"/>
      <c r="ED132" s="886"/>
      <c r="EE132" s="886"/>
      <c r="EF132" s="886"/>
      <c r="EG132" s="886"/>
      <c r="EH132" s="886"/>
      <c r="EI132" s="886"/>
      <c r="EJ132" s="886"/>
      <c r="EK132"/>
      <c r="EL132"/>
      <c r="EM132"/>
      <c r="EN132"/>
      <c r="FJ132" s="1073"/>
      <c r="FK132" s="1073"/>
      <c r="FL132" s="1074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RD132" s="1101"/>
      <c r="RE132" s="1101"/>
      <c r="RF132" s="1101"/>
      <c r="RG132" s="1101"/>
      <c r="RH132" s="1101"/>
      <c r="RI132" s="1101"/>
      <c r="RJ132" s="1101"/>
      <c r="RK132" s="1101"/>
      <c r="RL132" s="1101"/>
      <c r="RM132" s="1101"/>
      <c r="RN132" s="1101"/>
      <c r="RO132" s="1101"/>
      <c r="RP132" s="1101"/>
      <c r="RQ132" s="1101"/>
      <c r="RR132" s="1101"/>
      <c r="RS132" s="1101"/>
    </row>
    <row r="133" spans="1:487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 s="30"/>
      <c r="DX133" s="592"/>
      <c r="DY133" s="959"/>
      <c r="DZ133" s="979"/>
      <c r="EA133" s="42"/>
      <c r="EB133" s="42"/>
      <c r="EC133" s="77"/>
      <c r="ED133" s="77"/>
      <c r="EE133" s="77"/>
      <c r="EF133" s="77"/>
      <c r="EG133" s="77"/>
      <c r="EH133" s="77"/>
      <c r="EI133" s="77"/>
      <c r="EJ133" s="77"/>
      <c r="EK133"/>
      <c r="EL133"/>
      <c r="EM133"/>
      <c r="EN133"/>
      <c r="FJ133" s="1073"/>
      <c r="FK133" s="1073"/>
      <c r="FL133" s="1074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RD133" s="1101"/>
      <c r="RE133" s="1101"/>
      <c r="RF133" s="1101"/>
      <c r="RG133" s="1101"/>
      <c r="RH133" s="1101"/>
      <c r="RI133" s="1101"/>
      <c r="RJ133" s="1101"/>
      <c r="RK133" s="1101"/>
      <c r="RL133" s="1101"/>
      <c r="RM133" s="1101"/>
      <c r="RN133" s="1101"/>
      <c r="RO133" s="1101"/>
      <c r="RP133" s="1101"/>
      <c r="RQ133" s="1101"/>
      <c r="RR133" s="1101"/>
      <c r="RS133" s="1101"/>
    </row>
    <row r="134" spans="1:487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 s="30"/>
      <c r="DX134" s="592"/>
      <c r="DY134" s="959"/>
      <c r="DZ134" s="979"/>
      <c r="EA134" s="42"/>
      <c r="EB134" s="42"/>
      <c r="EC134" s="77"/>
      <c r="ED134" s="77"/>
      <c r="EE134" s="77"/>
      <c r="EF134" s="77"/>
      <c r="EG134" s="77"/>
      <c r="EH134" s="77"/>
      <c r="EI134" s="77"/>
      <c r="EJ134" s="77"/>
      <c r="EK134"/>
      <c r="EL134"/>
      <c r="EM134"/>
      <c r="EN134"/>
      <c r="FJ134" s="1073"/>
      <c r="FK134" s="1073"/>
      <c r="FL134" s="1074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RD134" s="1101"/>
      <c r="RE134" s="1101"/>
      <c r="RF134" s="1101"/>
      <c r="RG134" s="1101"/>
      <c r="RH134" s="1101"/>
      <c r="RI134" s="1101"/>
      <c r="RJ134" s="1101"/>
      <c r="RK134" s="1101"/>
      <c r="RL134" s="1101"/>
      <c r="RM134" s="1101"/>
      <c r="RN134" s="1101"/>
      <c r="RO134" s="1101"/>
      <c r="RP134" s="1101"/>
      <c r="RQ134" s="1101"/>
      <c r="RR134" s="1101"/>
      <c r="RS134" s="1101"/>
    </row>
    <row r="135" spans="1:487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 s="30"/>
      <c r="DX135" s="1165"/>
      <c r="DY135" s="959"/>
      <c r="DZ135" s="979"/>
      <c r="EA135" s="1057"/>
      <c r="EB135" s="42"/>
      <c r="EC135" s="886"/>
      <c r="ED135" s="886">
        <v>0</v>
      </c>
      <c r="EE135" s="886"/>
      <c r="EF135" s="886">
        <v>0</v>
      </c>
      <c r="EG135" s="886"/>
      <c r="EH135" s="886">
        <v>0</v>
      </c>
      <c r="EI135" s="886"/>
      <c r="EJ135" s="886">
        <v>0</v>
      </c>
      <c r="EK135"/>
      <c r="EL135"/>
      <c r="EM135"/>
      <c r="EN135"/>
      <c r="FJ135" s="1073"/>
      <c r="FK135" s="1073"/>
      <c r="FL135" s="1074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RD135" s="1101"/>
      <c r="RE135" s="1101"/>
      <c r="RF135" s="1101"/>
      <c r="RG135" s="1101"/>
      <c r="RH135" s="1101"/>
      <c r="RI135" s="1101"/>
      <c r="RJ135" s="1101"/>
      <c r="RK135" s="1101"/>
      <c r="RL135" s="1101"/>
      <c r="RM135" s="1101"/>
      <c r="RN135" s="1101"/>
      <c r="RO135" s="1101"/>
      <c r="RP135" s="1101"/>
      <c r="RQ135" s="1101"/>
      <c r="RR135" s="1101"/>
      <c r="RS135" s="1101"/>
    </row>
    <row r="136" spans="1:487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 s="30"/>
      <c r="DX136" s="1165"/>
      <c r="DY136" s="959"/>
      <c r="DZ136" s="979"/>
      <c r="EA136" s="1057"/>
      <c r="EB136" s="42"/>
      <c r="EC136" s="886"/>
      <c r="ED136" s="886"/>
      <c r="EE136" s="886"/>
      <c r="EF136" s="886"/>
      <c r="EG136" s="886"/>
      <c r="EH136" s="886"/>
      <c r="EI136" s="886"/>
      <c r="EJ136" s="886"/>
      <c r="EK136"/>
      <c r="EL136"/>
      <c r="EM136"/>
      <c r="EN136"/>
      <c r="FJ136" s="1073"/>
      <c r="FK136" s="1073"/>
      <c r="FL136" s="1074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RD136" s="1101"/>
      <c r="RE136" s="1101"/>
      <c r="RF136" s="1101"/>
      <c r="RG136" s="1101"/>
      <c r="RH136" s="1101"/>
      <c r="RI136" s="1101"/>
      <c r="RJ136" s="1101"/>
      <c r="RK136" s="1101"/>
      <c r="RL136" s="1101"/>
      <c r="RM136" s="1101"/>
      <c r="RN136" s="1101"/>
      <c r="RO136" s="1101"/>
      <c r="RP136" s="1101"/>
      <c r="RQ136" s="1101"/>
      <c r="RR136" s="1101"/>
      <c r="RS136" s="1101"/>
    </row>
    <row r="137" spans="1:487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 s="30"/>
      <c r="DX137" s="592"/>
      <c r="DY137" s="959"/>
      <c r="DZ137" s="979"/>
      <c r="EA137" s="42"/>
      <c r="EB137" s="42"/>
      <c r="EC137" s="77"/>
      <c r="ED137" s="77"/>
      <c r="EE137" s="77"/>
      <c r="EF137" s="77"/>
      <c r="EG137" s="77"/>
      <c r="EH137" s="77"/>
      <c r="EI137" s="77"/>
      <c r="EJ137" s="77"/>
      <c r="EK137"/>
      <c r="EL137"/>
      <c r="EM137"/>
      <c r="EN137"/>
      <c r="FJ137" s="1073"/>
      <c r="FK137" s="1073"/>
      <c r="FL137" s="1074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RD137" s="1101"/>
      <c r="RE137" s="1101"/>
      <c r="RF137" s="1101"/>
      <c r="RG137" s="1101"/>
      <c r="RH137" s="1101"/>
      <c r="RI137" s="1101"/>
      <c r="RJ137" s="1101"/>
      <c r="RK137" s="1101"/>
      <c r="RL137" s="1101"/>
      <c r="RM137" s="1101"/>
      <c r="RN137" s="1101"/>
      <c r="RO137" s="1101"/>
      <c r="RP137" s="1101"/>
      <c r="RQ137" s="1101"/>
      <c r="RR137" s="1101"/>
      <c r="RS137" s="1101"/>
    </row>
    <row r="138" spans="1:487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 s="30"/>
      <c r="DX138" s="1165"/>
      <c r="DY138" s="959"/>
      <c r="DZ138" s="979"/>
      <c r="EA138" s="1057"/>
      <c r="EB138" s="42"/>
      <c r="EC138" s="886"/>
      <c r="ED138" s="886">
        <v>0</v>
      </c>
      <c r="EE138" s="886"/>
      <c r="EF138" s="886">
        <v>0</v>
      </c>
      <c r="EG138" s="886"/>
      <c r="EH138" s="886">
        <v>0</v>
      </c>
      <c r="EI138" s="886"/>
      <c r="EJ138" s="886">
        <v>0</v>
      </c>
      <c r="EK138"/>
      <c r="EL138"/>
      <c r="EM138"/>
      <c r="EN138"/>
      <c r="FJ138" s="1073"/>
      <c r="FK138" s="1073"/>
      <c r="FL138" s="1074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RD138" s="1101"/>
      <c r="RE138" s="1101"/>
      <c r="RF138" s="1101"/>
      <c r="RG138" s="1101"/>
      <c r="RH138" s="1101"/>
      <c r="RI138" s="1101"/>
      <c r="RJ138" s="1101"/>
      <c r="RK138" s="1101"/>
      <c r="RL138" s="1101"/>
      <c r="RM138" s="1101"/>
      <c r="RN138" s="1101"/>
      <c r="RO138" s="1101"/>
      <c r="RP138" s="1101"/>
      <c r="RQ138" s="1101"/>
      <c r="RR138" s="1101"/>
      <c r="RS138" s="1101"/>
    </row>
    <row r="139" spans="1:487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 s="30"/>
      <c r="DX139" s="1165"/>
      <c r="DY139" s="959"/>
      <c r="DZ139" s="979"/>
      <c r="EA139" s="1057"/>
      <c r="EB139" s="42"/>
      <c r="EC139" s="886"/>
      <c r="ED139" s="886">
        <v>0</v>
      </c>
      <c r="EE139" s="886"/>
      <c r="EF139" s="886">
        <v>0</v>
      </c>
      <c r="EG139" s="886"/>
      <c r="EH139" s="886">
        <v>0</v>
      </c>
      <c r="EI139" s="886"/>
      <c r="EJ139" s="886">
        <v>0</v>
      </c>
      <c r="EK139"/>
      <c r="EL139"/>
      <c r="EM139"/>
      <c r="EN139"/>
      <c r="FJ139" s="1073"/>
      <c r="FK139" s="1073"/>
      <c r="FL139" s="1074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RD139" s="1101"/>
      <c r="RE139" s="1101"/>
      <c r="RF139" s="1101"/>
      <c r="RG139" s="1101"/>
      <c r="RH139" s="1101"/>
      <c r="RI139" s="1101"/>
      <c r="RJ139" s="1101"/>
      <c r="RK139" s="1101"/>
      <c r="RL139" s="1101"/>
      <c r="RM139" s="1101"/>
      <c r="RN139" s="1101"/>
      <c r="RO139" s="1101"/>
      <c r="RP139" s="1101"/>
      <c r="RQ139" s="1101"/>
      <c r="RR139" s="1101"/>
      <c r="RS139" s="1101"/>
    </row>
    <row r="140" spans="1:487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 s="30"/>
      <c r="DX140" s="1165"/>
      <c r="DY140" s="1089"/>
      <c r="DZ140" s="979"/>
      <c r="EA140" s="1057"/>
      <c r="EB140" s="1057"/>
      <c r="EC140" s="886"/>
      <c r="ED140" s="886"/>
      <c r="EE140" s="886"/>
      <c r="EF140" s="886"/>
      <c r="EG140" s="886"/>
      <c r="EH140" s="886"/>
      <c r="EI140" s="886"/>
      <c r="EJ140" s="886"/>
      <c r="EK140"/>
      <c r="EL140"/>
      <c r="EM140"/>
      <c r="EN140"/>
      <c r="FJ140" s="1073"/>
      <c r="FK140" s="1073"/>
      <c r="FL140" s="1074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RD140" s="1101"/>
      <c r="RE140" s="1101"/>
      <c r="RF140" s="1101"/>
      <c r="RG140" s="1101"/>
      <c r="RH140" s="1101"/>
      <c r="RI140" s="1101"/>
      <c r="RJ140" s="1101"/>
      <c r="RK140" s="1101"/>
      <c r="RL140" s="1101"/>
      <c r="RM140" s="1101"/>
      <c r="RN140" s="1101"/>
      <c r="RO140" s="1101"/>
      <c r="RP140" s="1101"/>
      <c r="RQ140" s="1101"/>
      <c r="RR140" s="1101"/>
      <c r="RS140" s="1101"/>
    </row>
    <row r="141" spans="1:487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 s="30"/>
      <c r="DX141" s="842"/>
      <c r="DY141" s="1089"/>
      <c r="DZ141" s="979"/>
      <c r="EA141" s="1057"/>
      <c r="EB141" s="1057"/>
      <c r="EC141" s="886"/>
      <c r="ED141" s="886"/>
      <c r="EE141" s="886"/>
      <c r="EF141" s="886"/>
      <c r="EG141" s="886"/>
      <c r="EH141" s="886"/>
      <c r="EI141" s="886"/>
      <c r="EJ141" s="886"/>
      <c r="EK141"/>
      <c r="EL141"/>
      <c r="EM141"/>
      <c r="EN141"/>
      <c r="FJ141" s="1073"/>
      <c r="FK141" s="1073"/>
      <c r="FL141" s="1074"/>
      <c r="RD141" s="1101"/>
      <c r="RE141" s="1101"/>
      <c r="RF141" s="1101"/>
      <c r="RG141" s="1101"/>
      <c r="RH141" s="1101"/>
      <c r="RI141" s="1101"/>
      <c r="RJ141" s="1101"/>
      <c r="RK141" s="1101"/>
      <c r="RL141" s="1101"/>
      <c r="RM141" s="1101"/>
      <c r="RN141" s="1101"/>
      <c r="RO141" s="1101"/>
      <c r="RP141" s="1101"/>
      <c r="RQ141" s="1101"/>
      <c r="RR141" s="1101"/>
      <c r="RS141" s="1101"/>
    </row>
    <row r="142" spans="1:487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 s="30"/>
      <c r="DX142" s="842"/>
      <c r="DY142" s="1092"/>
      <c r="DZ142" s="979"/>
      <c r="EA142" s="1057"/>
      <c r="EB142" s="1057"/>
      <c r="EC142" s="886"/>
      <c r="ED142" s="886">
        <v>0</v>
      </c>
      <c r="EE142" s="886"/>
      <c r="EF142" s="886">
        <v>0</v>
      </c>
      <c r="EG142" s="886"/>
      <c r="EH142" s="886">
        <v>0</v>
      </c>
      <c r="EI142" s="886"/>
      <c r="EJ142" s="886">
        <v>0</v>
      </c>
      <c r="EK142"/>
      <c r="EL142"/>
      <c r="EM142"/>
      <c r="EN142"/>
      <c r="FJ142" s="1073"/>
      <c r="FK142" s="1073"/>
      <c r="FL142" s="1074"/>
      <c r="RD142" s="1101"/>
      <c r="RE142" s="1101"/>
      <c r="RF142" s="1101"/>
      <c r="RG142" s="1101"/>
      <c r="RH142" s="1101"/>
      <c r="RI142" s="1101"/>
      <c r="RJ142" s="1101"/>
      <c r="RK142" s="1101"/>
      <c r="RL142" s="1101"/>
      <c r="RM142" s="1101"/>
      <c r="RN142" s="1101"/>
      <c r="RO142" s="1101"/>
      <c r="RP142" s="1101"/>
      <c r="RQ142" s="1101"/>
      <c r="RR142" s="1101"/>
      <c r="RS142" s="1101"/>
    </row>
    <row r="143" spans="1:487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 s="30"/>
      <c r="DX143" s="842"/>
      <c r="DY143" s="1092"/>
      <c r="DZ143" s="979"/>
      <c r="EA143" s="1057"/>
      <c r="EB143" s="1057"/>
      <c r="EC143" s="886"/>
      <c r="ED143" s="886"/>
      <c r="EE143" s="886"/>
      <c r="EF143" s="886"/>
      <c r="EG143" s="886"/>
      <c r="EH143" s="886"/>
      <c r="EI143" s="886"/>
      <c r="EJ143" s="886"/>
      <c r="EK143"/>
      <c r="EL143"/>
      <c r="EM143"/>
      <c r="EN143"/>
      <c r="FJ143" s="1073"/>
      <c r="FK143" s="1073"/>
      <c r="FL143" s="1074"/>
      <c r="RD143" s="1101"/>
      <c r="RE143" s="1101"/>
      <c r="RF143" s="1101"/>
      <c r="RG143" s="1101"/>
      <c r="RH143" s="1101"/>
      <c r="RI143" s="1101"/>
      <c r="RJ143" s="1101"/>
      <c r="RK143" s="1101"/>
      <c r="RL143" s="1101"/>
      <c r="RM143" s="1101"/>
      <c r="RN143" s="1101"/>
      <c r="RO143" s="1101"/>
      <c r="RP143" s="1101"/>
      <c r="RQ143" s="1101"/>
      <c r="RR143" s="1101"/>
      <c r="RS143" s="1101"/>
    </row>
    <row r="144" spans="1:487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 s="30"/>
      <c r="DX144" s="942"/>
      <c r="DY144" s="1089"/>
      <c r="DZ144" s="1216"/>
      <c r="EA144" s="1216"/>
      <c r="EB144" s="1216"/>
      <c r="EC144" s="1093">
        <v>0</v>
      </c>
      <c r="ED144" s="1093">
        <v>0</v>
      </c>
      <c r="EE144" s="1093">
        <v>0</v>
      </c>
      <c r="EF144" s="1093">
        <v>0</v>
      </c>
      <c r="EG144" s="1093">
        <v>0</v>
      </c>
      <c r="EH144" s="1093">
        <v>0</v>
      </c>
      <c r="EI144" s="1093">
        <v>0</v>
      </c>
      <c r="EJ144" s="1093">
        <v>0</v>
      </c>
      <c r="EK144"/>
      <c r="EL144"/>
      <c r="EM144"/>
      <c r="EN144"/>
      <c r="FJ144" s="1073"/>
      <c r="FK144" s="1073"/>
      <c r="FL144" s="1074"/>
      <c r="RD144" s="1101"/>
      <c r="RE144" s="1101"/>
      <c r="RF144" s="1101"/>
      <c r="RG144" s="1101"/>
      <c r="RH144" s="1101"/>
      <c r="RI144" s="1101"/>
      <c r="RJ144" s="1101"/>
      <c r="RK144" s="1101"/>
      <c r="RL144" s="1101"/>
      <c r="RM144" s="1101"/>
      <c r="RN144" s="1101"/>
      <c r="RO144" s="1101"/>
      <c r="RP144" s="1101"/>
      <c r="RQ144" s="1101"/>
      <c r="RR144" s="1101"/>
      <c r="RS144" s="1101"/>
    </row>
    <row r="145" spans="1:487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 s="99"/>
      <c r="DX145" s="99"/>
      <c r="DY145" s="99"/>
      <c r="DZ145" s="99"/>
      <c r="EA145" s="99"/>
      <c r="EB145" s="99"/>
      <c r="EC145"/>
      <c r="ED145"/>
      <c r="EE145"/>
      <c r="EF145"/>
      <c r="EG145"/>
      <c r="EH145"/>
      <c r="EI145"/>
      <c r="EJ145"/>
      <c r="EK145"/>
      <c r="EL145"/>
      <c r="EM145"/>
      <c r="EN145"/>
      <c r="FJ145" s="1073"/>
      <c r="FK145" s="1073"/>
      <c r="FL145" s="1074"/>
      <c r="RD145" s="1101"/>
      <c r="RE145" s="1101"/>
      <c r="RF145" s="1101"/>
      <c r="RG145" s="1101"/>
      <c r="RH145" s="1101"/>
      <c r="RI145" s="1101"/>
      <c r="RJ145" s="1101"/>
      <c r="RK145" s="1101"/>
      <c r="RL145" s="1101"/>
      <c r="RM145" s="1101"/>
      <c r="RN145" s="1101"/>
      <c r="RO145" s="1101"/>
      <c r="RP145" s="1101"/>
      <c r="RQ145" s="1101"/>
      <c r="RR145" s="1101"/>
      <c r="RS145" s="1101"/>
    </row>
    <row r="146" spans="1:487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 s="923"/>
      <c r="DX146" s="923"/>
      <c r="DY146" s="924"/>
      <c r="DZ146" s="937"/>
      <c r="EA146" s="20"/>
      <c r="EB146" s="937"/>
      <c r="EC146" s="86"/>
      <c r="ED146" s="853" t="s">
        <v>180</v>
      </c>
      <c r="EE146" s="86"/>
      <c r="EF146" s="853" t="s">
        <v>180</v>
      </c>
      <c r="EG146" s="86"/>
      <c r="EH146" s="853" t="s">
        <v>179</v>
      </c>
      <c r="EI146" s="86"/>
      <c r="EJ146" s="853" t="s">
        <v>179</v>
      </c>
      <c r="EK146"/>
      <c r="EL146"/>
      <c r="EM146"/>
      <c r="EN146"/>
      <c r="FJ146" s="1073"/>
      <c r="FK146" s="1073"/>
      <c r="FL146" s="1074"/>
      <c r="RD146" s="1101"/>
      <c r="RE146" s="1101"/>
      <c r="RF146" s="1101"/>
      <c r="RG146" s="1101"/>
      <c r="RH146" s="1101"/>
      <c r="RI146" s="1101"/>
      <c r="RJ146" s="1101"/>
      <c r="RK146" s="1101"/>
      <c r="RL146" s="1101"/>
      <c r="RM146" s="1101"/>
      <c r="RN146" s="1101"/>
      <c r="RO146" s="1101"/>
      <c r="RP146" s="1101"/>
      <c r="RQ146" s="1101"/>
      <c r="RR146" s="1101"/>
      <c r="RS146" s="1101"/>
    </row>
    <row r="147" spans="1:487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 s="923"/>
      <c r="DX147" s="923"/>
      <c r="DY147" s="924"/>
      <c r="DZ147" s="938"/>
      <c r="EA147" s="924"/>
      <c r="EB147" s="924"/>
      <c r="EC147" s="113"/>
      <c r="ED147" s="113"/>
      <c r="EE147" s="113"/>
      <c r="EF147" s="113"/>
      <c r="EG147" s="113"/>
      <c r="EH147" s="113"/>
      <c r="EI147" s="113"/>
      <c r="EJ147" s="114"/>
      <c r="EK147"/>
      <c r="EL147"/>
      <c r="EM147"/>
      <c r="EN147"/>
      <c r="FJ147" s="1073"/>
      <c r="FK147" s="1073"/>
      <c r="FL147" s="1074"/>
      <c r="RD147" s="1101"/>
      <c r="RE147" s="1101"/>
      <c r="RF147" s="1101"/>
      <c r="RG147" s="1101"/>
      <c r="RH147" s="1101"/>
      <c r="RI147" s="1101"/>
      <c r="RJ147" s="1101"/>
      <c r="RK147" s="1101"/>
      <c r="RL147" s="1101"/>
      <c r="RM147" s="1101"/>
      <c r="RN147" s="1101"/>
      <c r="RO147" s="1101"/>
      <c r="RP147" s="1101"/>
      <c r="RQ147" s="1101"/>
      <c r="RR147" s="1101"/>
      <c r="RS147" s="1101"/>
    </row>
    <row r="148" spans="1:487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 s="20"/>
      <c r="DX148" s="923"/>
      <c r="DY148" s="924"/>
      <c r="DZ148" s="20"/>
      <c r="EA148" s="20"/>
      <c r="EB148" s="20"/>
      <c r="EC148" s="859"/>
      <c r="ED148" s="860" t="s">
        <v>61</v>
      </c>
      <c r="EE148" s="128">
        <v>2024</v>
      </c>
      <c r="EF148" s="129" t="s">
        <v>62</v>
      </c>
      <c r="EG148" s="129">
        <v>2025</v>
      </c>
      <c r="EH148" s="129" t="s">
        <v>62</v>
      </c>
      <c r="EI148" s="129">
        <v>2026</v>
      </c>
      <c r="EJ148" s="129" t="s">
        <v>62</v>
      </c>
      <c r="EK148"/>
      <c r="EL148"/>
      <c r="EM148"/>
      <c r="EN148"/>
      <c r="FJ148" s="1073"/>
      <c r="FK148" s="1073"/>
      <c r="FL148" s="1074"/>
      <c r="RD148" s="1101"/>
      <c r="RE148" s="1101"/>
      <c r="RF148" s="1101"/>
      <c r="RG148" s="1101"/>
      <c r="RH148" s="1101"/>
      <c r="RI148" s="1101"/>
      <c r="RJ148" s="1101"/>
      <c r="RK148" s="1101"/>
      <c r="RL148" s="1101"/>
      <c r="RM148" s="1101"/>
      <c r="RN148" s="1101"/>
      <c r="RO148" s="1101"/>
      <c r="RP148" s="1101"/>
      <c r="RQ148" s="1101"/>
      <c r="RR148" s="1101"/>
      <c r="RS148" s="1101"/>
    </row>
    <row r="149" spans="1:487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 s="20"/>
      <c r="DX149" s="20"/>
      <c r="DY149" s="487"/>
      <c r="DZ149" s="100"/>
      <c r="EA149" s="942"/>
      <c r="EB149" s="100"/>
      <c r="EC149" s="864" t="s">
        <v>70</v>
      </c>
      <c r="ED149" s="865" t="s">
        <v>62</v>
      </c>
      <c r="EE149" s="142" t="s">
        <v>71</v>
      </c>
      <c r="EF149" s="143" t="s">
        <v>66</v>
      </c>
      <c r="EG149" s="143" t="s">
        <v>9</v>
      </c>
      <c r="EH149" s="143" t="s">
        <v>66</v>
      </c>
      <c r="EI149" s="143" t="s">
        <v>10</v>
      </c>
      <c r="EJ149" s="143" t="s">
        <v>66</v>
      </c>
      <c r="EK149"/>
      <c r="EL149"/>
      <c r="EM149"/>
      <c r="EN149"/>
      <c r="FJ149" s="1073"/>
      <c r="FK149" s="1073"/>
      <c r="FL149" s="1074"/>
      <c r="RD149" s="1101"/>
      <c r="RE149" s="1101"/>
      <c r="RF149" s="1101"/>
      <c r="RG149" s="1101"/>
      <c r="RH149" s="1101"/>
      <c r="RI149" s="1101"/>
      <c r="RJ149" s="1101"/>
      <c r="RK149" s="1101"/>
      <c r="RL149" s="1101"/>
      <c r="RM149" s="1101"/>
      <c r="RN149" s="1101"/>
      <c r="RO149" s="1101"/>
      <c r="RP149" s="1101"/>
      <c r="RQ149" s="1101"/>
      <c r="RR149" s="1101"/>
      <c r="RS149" s="1101"/>
    </row>
    <row r="150" spans="1:487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 s="100"/>
      <c r="DX150" s="100"/>
      <c r="DY150" s="515"/>
      <c r="DZ150" s="100"/>
      <c r="EA150" s="100"/>
      <c r="EB150" s="100"/>
      <c r="EC150" s="864" t="s">
        <v>182</v>
      </c>
      <c r="ED150" s="865" t="s">
        <v>69</v>
      </c>
      <c r="EE150" s="142" t="s">
        <v>183</v>
      </c>
      <c r="EF150" s="143" t="s">
        <v>72</v>
      </c>
      <c r="EG150" s="143" t="s">
        <v>183</v>
      </c>
      <c r="EH150" s="143" t="s">
        <v>73</v>
      </c>
      <c r="EI150" s="143" t="s">
        <v>183</v>
      </c>
      <c r="EJ150" s="143" t="s">
        <v>73</v>
      </c>
      <c r="EK150"/>
      <c r="EL150"/>
      <c r="EM150"/>
      <c r="EN150"/>
      <c r="FJ150" s="1073"/>
      <c r="FK150" s="1073"/>
      <c r="FL150" s="1074"/>
      <c r="RD150" s="1101"/>
      <c r="RE150" s="1101"/>
      <c r="RF150" s="1101"/>
      <c r="RG150" s="1101"/>
      <c r="RH150" s="1101"/>
      <c r="RI150" s="1101"/>
      <c r="RJ150" s="1101"/>
      <c r="RK150" s="1101"/>
      <c r="RL150" s="1101"/>
      <c r="RM150" s="1101"/>
      <c r="RN150" s="1101"/>
      <c r="RO150" s="1101"/>
      <c r="RP150" s="1101"/>
      <c r="RQ150" s="1101"/>
      <c r="RR150" s="1101"/>
      <c r="RS150" s="1101"/>
    </row>
    <row r="151" spans="1:487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 s="100"/>
      <c r="DX151" s="514"/>
      <c r="DY151" s="946"/>
      <c r="DZ151" s="100"/>
      <c r="EA151" s="100"/>
      <c r="EB151" s="100"/>
      <c r="EC151" s="872" t="s">
        <v>75</v>
      </c>
      <c r="ED151" s="873" t="s">
        <v>76</v>
      </c>
      <c r="EE151" s="155" t="s">
        <v>75</v>
      </c>
      <c r="EF151" s="156" t="s">
        <v>9</v>
      </c>
      <c r="EG151" s="156" t="s">
        <v>75</v>
      </c>
      <c r="EH151" s="156" t="s">
        <v>9</v>
      </c>
      <c r="EI151" s="156" t="s">
        <v>75</v>
      </c>
      <c r="EJ151" s="156" t="s">
        <v>10</v>
      </c>
      <c r="EK151"/>
      <c r="EL151"/>
      <c r="EM151"/>
      <c r="EN151"/>
      <c r="FJ151" s="1073"/>
      <c r="FK151" s="1073"/>
      <c r="FL151" s="1074"/>
      <c r="RD151" s="1101"/>
      <c r="RE151" s="1101"/>
      <c r="RF151" s="1101"/>
      <c r="RG151" s="1101"/>
      <c r="RH151" s="1101"/>
      <c r="RI151" s="1101"/>
      <c r="RJ151" s="1101"/>
      <c r="RK151" s="1101"/>
      <c r="RL151" s="1101"/>
      <c r="RM151" s="1101"/>
      <c r="RN151" s="1101"/>
      <c r="RO151" s="1101"/>
      <c r="RP151" s="1101"/>
      <c r="RQ151" s="1101"/>
      <c r="RR151" s="1101"/>
      <c r="RS151" s="1101"/>
    </row>
    <row r="152" spans="1:487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 s="20"/>
      <c r="DX152" s="20"/>
      <c r="DY152" s="20"/>
      <c r="DZ152" s="20"/>
      <c r="EA152" s="20"/>
      <c r="EB152" s="20"/>
      <c r="EC152" s="86"/>
      <c r="ED152" s="86"/>
      <c r="EE152" s="86"/>
      <c r="EF152" s="86"/>
      <c r="EG152" s="86"/>
      <c r="EH152" s="86"/>
      <c r="EI152" s="86"/>
      <c r="EJ152" s="86"/>
      <c r="EK152"/>
      <c r="EL152"/>
      <c r="EM152"/>
      <c r="EN152"/>
      <c r="FJ152" s="1073"/>
      <c r="FK152" s="1073"/>
      <c r="FL152" s="1074"/>
      <c r="RD152" s="1101"/>
      <c r="RE152" s="1101"/>
      <c r="RF152" s="1101"/>
      <c r="RG152" s="1101"/>
      <c r="RH152" s="1101"/>
      <c r="RI152" s="1101"/>
      <c r="RJ152" s="1101"/>
      <c r="RK152" s="1101"/>
      <c r="RL152" s="1101"/>
      <c r="RM152" s="1101"/>
      <c r="RN152" s="1101"/>
      <c r="RO152" s="1101"/>
      <c r="RP152" s="1101"/>
      <c r="RQ152" s="1101"/>
      <c r="RR152" s="1101"/>
      <c r="RS152" s="1101"/>
    </row>
    <row r="153" spans="1:487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 s="30"/>
      <c r="DX153" s="942"/>
      <c r="DY153" s="959"/>
      <c r="DZ153" s="20"/>
      <c r="EA153" s="960"/>
      <c r="EB153" s="20"/>
      <c r="EC153" s="86"/>
      <c r="ED153" s="86"/>
      <c r="EE153" s="86"/>
      <c r="EF153" s="86"/>
      <c r="EG153" s="86"/>
      <c r="EH153" s="86"/>
      <c r="EI153" s="86"/>
      <c r="EJ153" s="86"/>
      <c r="EK153"/>
      <c r="EL153"/>
      <c r="EM153"/>
      <c r="EN153"/>
      <c r="FJ153" s="1073"/>
      <c r="FK153" s="1073"/>
      <c r="FL153" s="1074"/>
      <c r="RD153" s="1101"/>
      <c r="RE153" s="1101"/>
      <c r="RF153" s="1101"/>
      <c r="RG153" s="1101"/>
      <c r="RH153" s="1101"/>
      <c r="RI153" s="1101"/>
      <c r="RJ153" s="1101"/>
      <c r="RK153" s="1101"/>
      <c r="RL153" s="1101"/>
      <c r="RM153" s="1101"/>
      <c r="RN153" s="1101"/>
      <c r="RO153" s="1101"/>
      <c r="RP153" s="1101"/>
      <c r="RQ153" s="1101"/>
      <c r="RR153" s="1101"/>
      <c r="RS153" s="1101"/>
    </row>
    <row r="154" spans="1:487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 s="30"/>
      <c r="DX154" s="20"/>
      <c r="DY154" s="959"/>
      <c r="DZ154" s="573"/>
      <c r="EA154" s="973"/>
      <c r="EB154" s="573"/>
      <c r="EC154" s="918">
        <f t="shared" ref="EC154:EJ169" si="79">+EC18-EC87</f>
        <v>0</v>
      </c>
      <c r="ED154" s="918">
        <f t="shared" si="79"/>
        <v>0</v>
      </c>
      <c r="EE154" s="918">
        <f t="shared" si="79"/>
        <v>0</v>
      </c>
      <c r="EF154" s="918">
        <f t="shared" si="79"/>
        <v>0</v>
      </c>
      <c r="EG154" s="918">
        <f t="shared" si="79"/>
        <v>0</v>
      </c>
      <c r="EH154" s="918">
        <f t="shared" si="79"/>
        <v>0</v>
      </c>
      <c r="EI154" s="918">
        <f t="shared" si="79"/>
        <v>0</v>
      </c>
      <c r="EJ154" s="918">
        <f t="shared" si="79"/>
        <v>0</v>
      </c>
      <c r="EK154"/>
      <c r="EL154"/>
      <c r="EM154"/>
      <c r="EN154"/>
      <c r="FJ154" s="1073"/>
      <c r="FK154" s="1073"/>
      <c r="FL154" s="1074"/>
      <c r="RD154" s="1101"/>
      <c r="RE154" s="1101"/>
      <c r="RF154" s="1101"/>
      <c r="RG154" s="1101"/>
      <c r="RH154" s="1101"/>
      <c r="RI154" s="1101"/>
      <c r="RJ154" s="1101"/>
      <c r="RK154" s="1101"/>
      <c r="RL154" s="1101"/>
      <c r="RM154" s="1101"/>
      <c r="RN154" s="1101"/>
      <c r="RO154" s="1101"/>
      <c r="RP154" s="1101"/>
      <c r="RQ154" s="1101"/>
      <c r="RR154" s="1101"/>
      <c r="RS154" s="1101"/>
    </row>
    <row r="155" spans="1:487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 s="30"/>
      <c r="DX155" s="4"/>
      <c r="DY155" s="959"/>
      <c r="DZ155" s="979"/>
      <c r="EA155" s="979"/>
      <c r="EB155" s="42"/>
      <c r="EC155" s="909">
        <f t="shared" si="79"/>
        <v>0</v>
      </c>
      <c r="ED155" s="909">
        <f t="shared" si="79"/>
        <v>0</v>
      </c>
      <c r="EE155" s="909">
        <f t="shared" si="79"/>
        <v>0</v>
      </c>
      <c r="EF155" s="909">
        <f t="shared" si="79"/>
        <v>0</v>
      </c>
      <c r="EG155" s="909">
        <f t="shared" si="79"/>
        <v>0</v>
      </c>
      <c r="EH155" s="909">
        <f t="shared" si="79"/>
        <v>0</v>
      </c>
      <c r="EI155" s="909">
        <f t="shared" si="79"/>
        <v>0</v>
      </c>
      <c r="EJ155" s="909">
        <f t="shared" si="79"/>
        <v>0</v>
      </c>
      <c r="EK155"/>
      <c r="EL155"/>
      <c r="EM155"/>
      <c r="EN155"/>
      <c r="FJ155" s="1073"/>
      <c r="FK155" s="1073"/>
      <c r="FL155" s="1074"/>
      <c r="RD155" s="1101"/>
      <c r="RE155" s="1101"/>
      <c r="RF155" s="1101"/>
      <c r="RG155" s="1101"/>
      <c r="RH155" s="1101"/>
      <c r="RI155" s="1101"/>
      <c r="RJ155" s="1101"/>
      <c r="RK155" s="1101"/>
      <c r="RL155" s="1101"/>
      <c r="RM155" s="1101"/>
      <c r="RN155" s="1101"/>
      <c r="RO155" s="1101"/>
      <c r="RP155" s="1101"/>
      <c r="RQ155" s="1101"/>
      <c r="RR155" s="1101"/>
      <c r="RS155" s="1101"/>
    </row>
    <row r="156" spans="1:487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 s="30"/>
      <c r="DX156" s="4"/>
      <c r="DY156" s="959"/>
      <c r="DZ156" s="979"/>
      <c r="EA156" s="979"/>
      <c r="EB156" s="42"/>
      <c r="EC156" s="909">
        <f t="shared" si="79"/>
        <v>0</v>
      </c>
      <c r="ED156" s="909">
        <f t="shared" si="79"/>
        <v>0</v>
      </c>
      <c r="EE156" s="909">
        <f t="shared" si="79"/>
        <v>0</v>
      </c>
      <c r="EF156" s="909">
        <f t="shared" si="79"/>
        <v>0</v>
      </c>
      <c r="EG156" s="909">
        <f t="shared" si="79"/>
        <v>0</v>
      </c>
      <c r="EH156" s="909">
        <f t="shared" si="79"/>
        <v>0</v>
      </c>
      <c r="EI156" s="909">
        <f t="shared" si="79"/>
        <v>0</v>
      </c>
      <c r="EJ156" s="909">
        <f t="shared" si="79"/>
        <v>0</v>
      </c>
      <c r="EK156"/>
      <c r="EL156"/>
      <c r="EM156"/>
      <c r="EN156"/>
      <c r="FJ156" s="1073"/>
      <c r="FK156" s="1073"/>
      <c r="FL156" s="1074"/>
      <c r="RD156" s="1101"/>
      <c r="RE156" s="1101"/>
      <c r="RF156" s="1101"/>
      <c r="RG156" s="1101"/>
      <c r="RH156" s="1101"/>
      <c r="RI156" s="1101"/>
      <c r="RJ156" s="1101"/>
      <c r="RK156" s="1101"/>
      <c r="RL156" s="1101"/>
      <c r="RM156" s="1101"/>
      <c r="RN156" s="1101"/>
      <c r="RO156" s="1101"/>
      <c r="RP156" s="1101"/>
      <c r="RQ156" s="1101"/>
      <c r="RR156" s="1101"/>
      <c r="RS156" s="1101"/>
    </row>
    <row r="157" spans="1:487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 s="30"/>
      <c r="DX157" s="942"/>
      <c r="DY157" s="959"/>
      <c r="DZ157" s="986"/>
      <c r="EA157" s="986"/>
      <c r="EB157" s="986"/>
      <c r="EC157" s="1094">
        <f t="shared" si="79"/>
        <v>0</v>
      </c>
      <c r="ED157" s="1094">
        <f t="shared" si="79"/>
        <v>0</v>
      </c>
      <c r="EE157" s="1094">
        <f t="shared" si="79"/>
        <v>0</v>
      </c>
      <c r="EF157" s="1094">
        <f t="shared" si="79"/>
        <v>0</v>
      </c>
      <c r="EG157" s="1094">
        <f t="shared" si="79"/>
        <v>0</v>
      </c>
      <c r="EH157" s="1094">
        <f t="shared" si="79"/>
        <v>0</v>
      </c>
      <c r="EI157" s="1094">
        <f t="shared" si="79"/>
        <v>0</v>
      </c>
      <c r="EJ157" s="1094">
        <f t="shared" si="79"/>
        <v>0</v>
      </c>
      <c r="EK157"/>
      <c r="EL157"/>
      <c r="EM157"/>
      <c r="EN157"/>
      <c r="FJ157" s="1073"/>
      <c r="FK157" s="1073"/>
      <c r="FL157" s="1074"/>
      <c r="RD157" s="1101"/>
      <c r="RE157" s="1101"/>
      <c r="RF157" s="1101"/>
      <c r="RG157" s="1101"/>
      <c r="RH157" s="1101"/>
      <c r="RI157" s="1101"/>
      <c r="RJ157" s="1101"/>
      <c r="RK157" s="1101"/>
      <c r="RL157" s="1101"/>
      <c r="RM157" s="1101"/>
      <c r="RN157" s="1101"/>
      <c r="RO157" s="1101"/>
      <c r="RP157" s="1101"/>
      <c r="RQ157" s="1101"/>
      <c r="RR157" s="1101"/>
      <c r="RS157" s="1101"/>
    </row>
    <row r="158" spans="1:487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 s="30"/>
      <c r="DX158" s="20"/>
      <c r="DY158" s="959"/>
      <c r="DZ158" s="20"/>
      <c r="EA158" s="963"/>
      <c r="EB158" s="20"/>
      <c r="EC158" s="86">
        <f t="shared" si="79"/>
        <v>0</v>
      </c>
      <c r="ED158" s="86">
        <f t="shared" si="79"/>
        <v>0</v>
      </c>
      <c r="EE158" s="86">
        <f t="shared" si="79"/>
        <v>0</v>
      </c>
      <c r="EF158" s="86">
        <f t="shared" si="79"/>
        <v>0</v>
      </c>
      <c r="EG158" s="86">
        <f t="shared" si="79"/>
        <v>0</v>
      </c>
      <c r="EH158" s="86">
        <f t="shared" si="79"/>
        <v>0</v>
      </c>
      <c r="EI158" s="86">
        <f t="shared" si="79"/>
        <v>0</v>
      </c>
      <c r="EJ158" s="86">
        <f t="shared" si="79"/>
        <v>0</v>
      </c>
      <c r="EK158"/>
      <c r="EL158"/>
      <c r="EM158"/>
      <c r="EN158"/>
      <c r="FJ158" s="1073"/>
      <c r="FK158" s="1073"/>
      <c r="FL158" s="1074"/>
      <c r="RD158" s="1101"/>
      <c r="RE158" s="1101"/>
      <c r="RF158" s="1101"/>
      <c r="RG158" s="1101"/>
      <c r="RH158" s="1101"/>
      <c r="RI158" s="1101"/>
      <c r="RJ158" s="1101"/>
      <c r="RK158" s="1101"/>
      <c r="RL158" s="1101"/>
      <c r="RM158" s="1101"/>
      <c r="RN158" s="1101"/>
      <c r="RO158" s="1101"/>
      <c r="RP158" s="1101"/>
      <c r="RQ158" s="1101"/>
      <c r="RR158" s="1101"/>
      <c r="RS158" s="1101"/>
    </row>
    <row r="159" spans="1:487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 s="30"/>
      <c r="DX159" s="942"/>
      <c r="DY159" s="959"/>
      <c r="DZ159" s="20"/>
      <c r="EA159" s="963"/>
      <c r="EB159" s="20"/>
      <c r="EC159" s="86">
        <f t="shared" si="79"/>
        <v>0</v>
      </c>
      <c r="ED159" s="86">
        <f t="shared" si="79"/>
        <v>0</v>
      </c>
      <c r="EE159" s="86">
        <f t="shared" si="79"/>
        <v>0</v>
      </c>
      <c r="EF159" s="86">
        <f t="shared" si="79"/>
        <v>0</v>
      </c>
      <c r="EG159" s="86">
        <f t="shared" si="79"/>
        <v>0</v>
      </c>
      <c r="EH159" s="86">
        <f t="shared" si="79"/>
        <v>0</v>
      </c>
      <c r="EI159" s="86">
        <f t="shared" si="79"/>
        <v>0</v>
      </c>
      <c r="EJ159" s="86">
        <f t="shared" si="79"/>
        <v>0</v>
      </c>
      <c r="EK159"/>
      <c r="EL159"/>
      <c r="EM159"/>
      <c r="EN159"/>
      <c r="FJ159" s="1073"/>
      <c r="FK159" s="1073"/>
      <c r="FL159" s="1074"/>
      <c r="RD159" s="1101"/>
      <c r="RE159" s="1101"/>
      <c r="RF159" s="1101"/>
      <c r="RG159" s="1101"/>
      <c r="RH159" s="1101"/>
      <c r="RI159" s="1101"/>
      <c r="RJ159" s="1101"/>
      <c r="RK159" s="1101"/>
      <c r="RL159" s="1101"/>
      <c r="RM159" s="1101"/>
      <c r="RN159" s="1101"/>
      <c r="RO159" s="1101"/>
      <c r="RP159" s="1101"/>
      <c r="RQ159" s="1101"/>
      <c r="RR159" s="1101"/>
      <c r="RS159" s="1101"/>
    </row>
    <row r="160" spans="1:487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 s="30"/>
      <c r="DX160" s="20"/>
      <c r="DY160" s="959"/>
      <c r="DZ160" s="573"/>
      <c r="EA160" s="963"/>
      <c r="EB160" s="573"/>
      <c r="EC160" s="918">
        <f t="shared" si="79"/>
        <v>0</v>
      </c>
      <c r="ED160" s="918">
        <f t="shared" si="79"/>
        <v>0</v>
      </c>
      <c r="EE160" s="918">
        <f t="shared" si="79"/>
        <v>0</v>
      </c>
      <c r="EF160" s="918">
        <f t="shared" si="79"/>
        <v>0</v>
      </c>
      <c r="EG160" s="918">
        <f t="shared" si="79"/>
        <v>0</v>
      </c>
      <c r="EH160" s="918">
        <f t="shared" si="79"/>
        <v>0</v>
      </c>
      <c r="EI160" s="918">
        <f t="shared" si="79"/>
        <v>0</v>
      </c>
      <c r="EJ160" s="918">
        <f t="shared" si="79"/>
        <v>0</v>
      </c>
      <c r="EK160"/>
      <c r="EL160"/>
      <c r="EM160"/>
      <c r="EN160"/>
      <c r="FJ160" s="1073"/>
      <c r="FK160" s="1073"/>
      <c r="FL160" s="1074"/>
      <c r="RD160" s="1101"/>
      <c r="RE160" s="1101"/>
      <c r="RF160" s="1101"/>
      <c r="RG160" s="1101"/>
      <c r="RH160" s="1101"/>
      <c r="RI160" s="1101"/>
      <c r="RJ160" s="1101"/>
      <c r="RK160" s="1101"/>
      <c r="RL160" s="1101"/>
      <c r="RM160" s="1101"/>
      <c r="RN160" s="1101"/>
      <c r="RO160" s="1101"/>
      <c r="RP160" s="1101"/>
      <c r="RQ160" s="1101"/>
      <c r="RR160" s="1101"/>
      <c r="RS160" s="1101"/>
    </row>
    <row r="161" spans="1:487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 s="30"/>
      <c r="DX161" s="20"/>
      <c r="DY161" s="959"/>
      <c r="DZ161" s="979"/>
      <c r="EA161" s="979"/>
      <c r="EB161" s="42"/>
      <c r="EC161" s="909">
        <f t="shared" si="79"/>
        <v>0</v>
      </c>
      <c r="ED161" s="909">
        <f t="shared" si="79"/>
        <v>0</v>
      </c>
      <c r="EE161" s="909">
        <f t="shared" si="79"/>
        <v>0</v>
      </c>
      <c r="EF161" s="909">
        <f t="shared" si="79"/>
        <v>0</v>
      </c>
      <c r="EG161" s="909">
        <f t="shared" si="79"/>
        <v>0</v>
      </c>
      <c r="EH161" s="909">
        <f t="shared" si="79"/>
        <v>0</v>
      </c>
      <c r="EI161" s="909">
        <f t="shared" si="79"/>
        <v>0</v>
      </c>
      <c r="EJ161" s="909">
        <f t="shared" si="79"/>
        <v>0</v>
      </c>
      <c r="EK161"/>
      <c r="EL161"/>
      <c r="EM161"/>
      <c r="EN161"/>
      <c r="FJ161" s="1073"/>
      <c r="FK161" s="1073"/>
      <c r="FL161" s="1074"/>
      <c r="RD161" s="1101"/>
      <c r="RE161" s="1101"/>
      <c r="RF161" s="1101"/>
      <c r="RG161" s="1101"/>
      <c r="RH161" s="1101"/>
      <c r="RI161" s="1101"/>
      <c r="RJ161" s="1101"/>
      <c r="RK161" s="1101"/>
      <c r="RL161" s="1101"/>
      <c r="RM161" s="1101"/>
      <c r="RN161" s="1101"/>
      <c r="RO161" s="1101"/>
      <c r="RP161" s="1101"/>
      <c r="RQ161" s="1101"/>
      <c r="RR161" s="1101"/>
      <c r="RS161" s="1101"/>
    </row>
    <row r="162" spans="1:487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 s="30"/>
      <c r="DX162" s="20"/>
      <c r="DY162" s="959"/>
      <c r="DZ162" s="979"/>
      <c r="EA162" s="979"/>
      <c r="EB162" s="42"/>
      <c r="EC162" s="909">
        <f t="shared" si="79"/>
        <v>0</v>
      </c>
      <c r="ED162" s="909">
        <f t="shared" si="79"/>
        <v>0</v>
      </c>
      <c r="EE162" s="909">
        <f t="shared" si="79"/>
        <v>0</v>
      </c>
      <c r="EF162" s="909">
        <f t="shared" si="79"/>
        <v>0</v>
      </c>
      <c r="EG162" s="909">
        <f t="shared" si="79"/>
        <v>0</v>
      </c>
      <c r="EH162" s="909">
        <f t="shared" si="79"/>
        <v>0</v>
      </c>
      <c r="EI162" s="909">
        <f t="shared" si="79"/>
        <v>0</v>
      </c>
      <c r="EJ162" s="909">
        <f t="shared" si="79"/>
        <v>0</v>
      </c>
      <c r="EK162"/>
      <c r="EL162"/>
      <c r="EM162"/>
      <c r="EN162"/>
      <c r="FJ162" s="1073"/>
      <c r="FK162" s="1073"/>
      <c r="FL162" s="1074"/>
      <c r="RD162" s="1101"/>
      <c r="RE162" s="1101"/>
      <c r="RF162" s="1101"/>
      <c r="RG162" s="1101"/>
      <c r="RH162" s="1101"/>
      <c r="RI162" s="1101"/>
      <c r="RJ162" s="1101"/>
      <c r="RK162" s="1101"/>
      <c r="RL162" s="1101"/>
      <c r="RM162" s="1101"/>
      <c r="RN162" s="1101"/>
      <c r="RO162" s="1101"/>
      <c r="RP162" s="1101"/>
      <c r="RQ162" s="1101"/>
      <c r="RR162" s="1101"/>
      <c r="RS162" s="1101"/>
    </row>
    <row r="163" spans="1:487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 s="30"/>
      <c r="DX163" s="20"/>
      <c r="DY163" s="959"/>
      <c r="DZ163" s="979"/>
      <c r="EA163" s="979"/>
      <c r="EB163" s="42"/>
      <c r="EC163" s="909">
        <f t="shared" si="79"/>
        <v>0</v>
      </c>
      <c r="ED163" s="909">
        <f t="shared" si="79"/>
        <v>0</v>
      </c>
      <c r="EE163" s="909">
        <f t="shared" si="79"/>
        <v>0</v>
      </c>
      <c r="EF163" s="909">
        <f t="shared" si="79"/>
        <v>0</v>
      </c>
      <c r="EG163" s="909">
        <f t="shared" si="79"/>
        <v>0</v>
      </c>
      <c r="EH163" s="909">
        <f t="shared" si="79"/>
        <v>0</v>
      </c>
      <c r="EI163" s="909">
        <f t="shared" si="79"/>
        <v>0</v>
      </c>
      <c r="EJ163" s="909">
        <f t="shared" si="79"/>
        <v>0</v>
      </c>
      <c r="EK163"/>
      <c r="EL163"/>
      <c r="EM163"/>
      <c r="EN163"/>
      <c r="FJ163" s="1073"/>
      <c r="FK163" s="1073"/>
      <c r="FL163" s="1074"/>
      <c r="RD163" s="1101"/>
      <c r="RE163" s="1101"/>
      <c r="RF163" s="1101"/>
      <c r="RG163" s="1101"/>
      <c r="RH163" s="1101"/>
      <c r="RI163" s="1101"/>
      <c r="RJ163" s="1101"/>
      <c r="RK163" s="1101"/>
      <c r="RL163" s="1101"/>
      <c r="RM163" s="1101"/>
      <c r="RN163" s="1101"/>
      <c r="RO163" s="1101"/>
      <c r="RP163" s="1101"/>
      <c r="RQ163" s="1101"/>
      <c r="RR163" s="1101"/>
      <c r="RS163" s="1101"/>
    </row>
    <row r="164" spans="1:487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 s="30"/>
      <c r="DX164" s="20"/>
      <c r="DY164" s="959"/>
      <c r="DZ164" s="979"/>
      <c r="EA164" s="979"/>
      <c r="EB164" s="42"/>
      <c r="EC164" s="909">
        <f t="shared" si="79"/>
        <v>0</v>
      </c>
      <c r="ED164" s="909">
        <f t="shared" si="79"/>
        <v>0</v>
      </c>
      <c r="EE164" s="909">
        <f t="shared" si="79"/>
        <v>0</v>
      </c>
      <c r="EF164" s="909">
        <f t="shared" si="79"/>
        <v>0</v>
      </c>
      <c r="EG164" s="909">
        <f t="shared" si="79"/>
        <v>0</v>
      </c>
      <c r="EH164" s="909">
        <f t="shared" si="79"/>
        <v>0</v>
      </c>
      <c r="EI164" s="909">
        <f t="shared" si="79"/>
        <v>0</v>
      </c>
      <c r="EJ164" s="909">
        <f t="shared" si="79"/>
        <v>0</v>
      </c>
      <c r="EK164"/>
      <c r="EL164"/>
      <c r="EM164"/>
      <c r="EN164"/>
      <c r="FJ164" s="1073"/>
      <c r="FK164" s="1073"/>
      <c r="FL164" s="1074"/>
      <c r="RD164" s="1101"/>
      <c r="RE164" s="1101"/>
      <c r="RF164" s="1101"/>
      <c r="RG164" s="1101"/>
      <c r="RH164" s="1101"/>
      <c r="RI164" s="1101"/>
      <c r="RJ164" s="1101"/>
      <c r="RK164" s="1101"/>
      <c r="RL164" s="1101"/>
      <c r="RM164" s="1101"/>
      <c r="RN164" s="1101"/>
      <c r="RO164" s="1101"/>
      <c r="RP164" s="1101"/>
      <c r="RQ164" s="1101"/>
      <c r="RR164" s="1101"/>
      <c r="RS164" s="1101"/>
    </row>
    <row r="165" spans="1:487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 s="30"/>
      <c r="DX165" s="942"/>
      <c r="DY165" s="959"/>
      <c r="DZ165" s="986"/>
      <c r="EA165" s="986"/>
      <c r="EB165" s="986"/>
      <c r="EC165" s="1094">
        <f t="shared" si="79"/>
        <v>0</v>
      </c>
      <c r="ED165" s="1094">
        <f t="shared" si="79"/>
        <v>0</v>
      </c>
      <c r="EE165" s="1094">
        <f t="shared" si="79"/>
        <v>0</v>
      </c>
      <c r="EF165" s="1094">
        <f t="shared" si="79"/>
        <v>0</v>
      </c>
      <c r="EG165" s="1094">
        <f t="shared" si="79"/>
        <v>0</v>
      </c>
      <c r="EH165" s="1094">
        <f t="shared" si="79"/>
        <v>0</v>
      </c>
      <c r="EI165" s="1094">
        <f t="shared" si="79"/>
        <v>0</v>
      </c>
      <c r="EJ165" s="1094">
        <f t="shared" si="79"/>
        <v>0</v>
      </c>
      <c r="EK165"/>
      <c r="EL165"/>
      <c r="EM165"/>
      <c r="EN165"/>
      <c r="FJ165" s="1073"/>
      <c r="FK165" s="1073"/>
      <c r="FL165" s="1074"/>
      <c r="RD165" s="1101"/>
      <c r="RE165" s="1101"/>
      <c r="RF165" s="1101"/>
      <c r="RG165" s="1101"/>
      <c r="RH165" s="1101"/>
      <c r="RI165" s="1101"/>
      <c r="RJ165" s="1101"/>
      <c r="RK165" s="1101"/>
      <c r="RL165" s="1101"/>
      <c r="RM165" s="1101"/>
      <c r="RN165" s="1101"/>
      <c r="RO165" s="1101"/>
      <c r="RP165" s="1101"/>
      <c r="RQ165" s="1101"/>
      <c r="RR165" s="1101"/>
      <c r="RS165" s="1101"/>
    </row>
    <row r="166" spans="1:487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 s="30"/>
      <c r="DX166" s="20"/>
      <c r="DY166" s="959"/>
      <c r="DZ166" s="20"/>
      <c r="EA166" s="979"/>
      <c r="EB166" s="20"/>
      <c r="EC166" s="86">
        <f t="shared" si="79"/>
        <v>0</v>
      </c>
      <c r="ED166" s="86">
        <f t="shared" si="79"/>
        <v>0</v>
      </c>
      <c r="EE166" s="86">
        <f t="shared" si="79"/>
        <v>0</v>
      </c>
      <c r="EF166" s="86">
        <f t="shared" si="79"/>
        <v>0</v>
      </c>
      <c r="EG166" s="86">
        <f t="shared" si="79"/>
        <v>0</v>
      </c>
      <c r="EH166" s="86">
        <f t="shared" si="79"/>
        <v>0</v>
      </c>
      <c r="EI166" s="86">
        <f t="shared" si="79"/>
        <v>0</v>
      </c>
      <c r="EJ166" s="86">
        <f t="shared" si="79"/>
        <v>0</v>
      </c>
      <c r="EK166"/>
      <c r="EL166"/>
      <c r="EM166"/>
      <c r="EN166"/>
      <c r="FJ166" s="1073"/>
      <c r="FK166" s="1073"/>
      <c r="FL166" s="1074"/>
      <c r="RD166" s="1101"/>
      <c r="RE166" s="1101"/>
      <c r="RF166" s="1101"/>
      <c r="RG166" s="1101"/>
      <c r="RH166" s="1101"/>
      <c r="RI166" s="1101"/>
      <c r="RJ166" s="1101"/>
      <c r="RK166" s="1101"/>
      <c r="RL166" s="1101"/>
      <c r="RM166" s="1101"/>
      <c r="RN166" s="1101"/>
      <c r="RO166" s="1101"/>
      <c r="RP166" s="1101"/>
      <c r="RQ166" s="1101"/>
      <c r="RR166" s="1101"/>
      <c r="RS166" s="1101"/>
    </row>
    <row r="167" spans="1:487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 s="30"/>
      <c r="DX167" s="942"/>
      <c r="DY167" s="959"/>
      <c r="DZ167" s="20"/>
      <c r="EA167" s="979"/>
      <c r="EB167" s="20"/>
      <c r="EC167" s="86">
        <f t="shared" si="79"/>
        <v>0</v>
      </c>
      <c r="ED167" s="86">
        <f t="shared" si="79"/>
        <v>0</v>
      </c>
      <c r="EE167" s="86">
        <f t="shared" si="79"/>
        <v>0</v>
      </c>
      <c r="EF167" s="86">
        <f t="shared" si="79"/>
        <v>0</v>
      </c>
      <c r="EG167" s="86">
        <f t="shared" si="79"/>
        <v>0</v>
      </c>
      <c r="EH167" s="86">
        <f t="shared" si="79"/>
        <v>0</v>
      </c>
      <c r="EI167" s="86">
        <f t="shared" si="79"/>
        <v>0</v>
      </c>
      <c r="EJ167" s="86">
        <f t="shared" si="79"/>
        <v>0</v>
      </c>
      <c r="EK167"/>
      <c r="EL167"/>
      <c r="EM167"/>
      <c r="EN167"/>
      <c r="FJ167" s="1073"/>
      <c r="FK167" s="1073"/>
      <c r="FL167" s="1074"/>
      <c r="RD167" s="1101"/>
      <c r="RE167" s="1101"/>
      <c r="RF167" s="1101"/>
      <c r="RG167" s="1101"/>
      <c r="RH167" s="1101"/>
      <c r="RI167" s="1101"/>
      <c r="RJ167" s="1101"/>
      <c r="RK167" s="1101"/>
      <c r="RL167" s="1101"/>
      <c r="RM167" s="1101"/>
      <c r="RN167" s="1101"/>
      <c r="RO167" s="1101"/>
      <c r="RP167" s="1101"/>
      <c r="RQ167" s="1101"/>
      <c r="RR167" s="1101"/>
      <c r="RS167" s="1101"/>
    </row>
    <row r="168" spans="1:487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 s="30"/>
      <c r="DX168" s="20"/>
      <c r="DY168" s="959"/>
      <c r="DZ168" s="573"/>
      <c r="EA168" s="1018"/>
      <c r="EB168" s="573"/>
      <c r="EC168" s="918">
        <f t="shared" si="79"/>
        <v>0</v>
      </c>
      <c r="ED168" s="918">
        <f t="shared" si="79"/>
        <v>0</v>
      </c>
      <c r="EE168" s="918">
        <f t="shared" si="79"/>
        <v>0</v>
      </c>
      <c r="EF168" s="918">
        <f t="shared" si="79"/>
        <v>0</v>
      </c>
      <c r="EG168" s="918">
        <f t="shared" si="79"/>
        <v>0</v>
      </c>
      <c r="EH168" s="918">
        <f t="shared" si="79"/>
        <v>0</v>
      </c>
      <c r="EI168" s="918">
        <f t="shared" si="79"/>
        <v>0</v>
      </c>
      <c r="EJ168" s="918">
        <f t="shared" si="79"/>
        <v>0</v>
      </c>
      <c r="EK168"/>
      <c r="EL168"/>
      <c r="EM168"/>
      <c r="EN168"/>
      <c r="FJ168" s="1073"/>
      <c r="FK168" s="1073"/>
      <c r="FL168" s="1074"/>
      <c r="RD168" s="1101"/>
      <c r="RE168" s="1101"/>
      <c r="RF168" s="1101"/>
      <c r="RG168" s="1101"/>
      <c r="RH168" s="1101"/>
      <c r="RI168" s="1101"/>
      <c r="RJ168" s="1101"/>
      <c r="RK168" s="1101"/>
      <c r="RL168" s="1101"/>
      <c r="RM168" s="1101"/>
      <c r="RN168" s="1101"/>
      <c r="RO168" s="1101"/>
      <c r="RP168" s="1101"/>
      <c r="RQ168" s="1101"/>
      <c r="RR168" s="1101"/>
      <c r="RS168" s="1101"/>
    </row>
    <row r="169" spans="1:487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 s="30"/>
      <c r="DX169" s="20"/>
      <c r="DY169" s="959"/>
      <c r="DZ169" s="979"/>
      <c r="EA169" s="1020"/>
      <c r="EB169" s="42"/>
      <c r="EC169" s="909">
        <f t="shared" si="79"/>
        <v>0</v>
      </c>
      <c r="ED169" s="909">
        <f t="shared" si="79"/>
        <v>0</v>
      </c>
      <c r="EE169" s="909">
        <f t="shared" si="79"/>
        <v>0</v>
      </c>
      <c r="EF169" s="909">
        <f t="shared" si="79"/>
        <v>0</v>
      </c>
      <c r="EG169" s="909">
        <f t="shared" si="79"/>
        <v>0</v>
      </c>
      <c r="EH169" s="909">
        <f t="shared" si="79"/>
        <v>0</v>
      </c>
      <c r="EI169" s="909">
        <f t="shared" si="79"/>
        <v>0</v>
      </c>
      <c r="EJ169" s="909">
        <f t="shared" si="79"/>
        <v>0</v>
      </c>
      <c r="EK169"/>
      <c r="EL169"/>
      <c r="EM169"/>
      <c r="EN169"/>
      <c r="FJ169" s="1073"/>
      <c r="FK169" s="1073"/>
      <c r="FL169" s="1074"/>
      <c r="RD169" s="1101"/>
      <c r="RE169" s="1101"/>
      <c r="RF169" s="1101"/>
      <c r="RG169" s="1101"/>
      <c r="RH169" s="1101"/>
      <c r="RI169" s="1101"/>
      <c r="RJ169" s="1101"/>
      <c r="RK169" s="1101"/>
      <c r="RL169" s="1101"/>
      <c r="RM169" s="1101"/>
      <c r="RN169" s="1101"/>
      <c r="RO169" s="1101"/>
      <c r="RP169" s="1101"/>
      <c r="RQ169" s="1101"/>
      <c r="RR169" s="1101"/>
      <c r="RS169" s="1101"/>
    </row>
    <row r="170" spans="1:487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 s="30"/>
      <c r="DX170" s="20"/>
      <c r="DY170" s="959"/>
      <c r="DZ170" s="979"/>
      <c r="EA170" s="1020"/>
      <c r="EB170" s="42"/>
      <c r="EC170" s="909">
        <f t="shared" ref="EC170:EJ185" si="80">+EC34-EC103</f>
        <v>0</v>
      </c>
      <c r="ED170" s="909">
        <f t="shared" si="80"/>
        <v>0</v>
      </c>
      <c r="EE170" s="909">
        <f t="shared" si="80"/>
        <v>0</v>
      </c>
      <c r="EF170" s="909">
        <f t="shared" si="80"/>
        <v>0</v>
      </c>
      <c r="EG170" s="909">
        <f t="shared" si="80"/>
        <v>0</v>
      </c>
      <c r="EH170" s="909">
        <f t="shared" si="80"/>
        <v>0</v>
      </c>
      <c r="EI170" s="909">
        <f t="shared" si="80"/>
        <v>0</v>
      </c>
      <c r="EJ170" s="909">
        <f t="shared" si="80"/>
        <v>0</v>
      </c>
      <c r="EK170"/>
      <c r="EL170"/>
      <c r="EM170"/>
      <c r="EN170"/>
      <c r="FJ170" s="1073"/>
      <c r="FK170" s="1073"/>
      <c r="FL170" s="1074"/>
      <c r="RD170" s="1101"/>
      <c r="RE170" s="1101"/>
      <c r="RF170" s="1101"/>
      <c r="RG170" s="1101"/>
      <c r="RH170" s="1101"/>
      <c r="RI170" s="1101"/>
      <c r="RJ170" s="1101"/>
      <c r="RK170" s="1101"/>
      <c r="RL170" s="1101"/>
      <c r="RM170" s="1101"/>
      <c r="RN170" s="1101"/>
      <c r="RO170" s="1101"/>
      <c r="RP170" s="1101"/>
      <c r="RQ170" s="1101"/>
      <c r="RR170" s="1101"/>
      <c r="RS170" s="1101"/>
    </row>
    <row r="171" spans="1:487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 s="30"/>
      <c r="DX171" s="20"/>
      <c r="DY171" s="959"/>
      <c r="DZ171" s="979"/>
      <c r="EA171" s="1020"/>
      <c r="EB171" s="42"/>
      <c r="EC171" s="909">
        <f t="shared" si="80"/>
        <v>0</v>
      </c>
      <c r="ED171" s="909">
        <f t="shared" si="80"/>
        <v>0</v>
      </c>
      <c r="EE171" s="909">
        <f t="shared" si="80"/>
        <v>0</v>
      </c>
      <c r="EF171" s="909">
        <f t="shared" si="80"/>
        <v>0</v>
      </c>
      <c r="EG171" s="909">
        <f t="shared" si="80"/>
        <v>0</v>
      </c>
      <c r="EH171" s="909">
        <f t="shared" si="80"/>
        <v>0</v>
      </c>
      <c r="EI171" s="909">
        <f t="shared" si="80"/>
        <v>0</v>
      </c>
      <c r="EJ171" s="909">
        <f t="shared" si="80"/>
        <v>0</v>
      </c>
      <c r="EK171"/>
      <c r="EL171"/>
      <c r="EM171"/>
      <c r="EN171"/>
      <c r="FJ171" s="1073"/>
      <c r="FK171" s="1073"/>
      <c r="FL171" s="1074"/>
      <c r="RD171" s="1101"/>
      <c r="RE171" s="1101"/>
      <c r="RF171" s="1101"/>
      <c r="RG171" s="1101"/>
      <c r="RH171" s="1101"/>
      <c r="RI171" s="1101"/>
      <c r="RJ171" s="1101"/>
      <c r="RK171" s="1101"/>
      <c r="RL171" s="1101"/>
      <c r="RM171" s="1101"/>
      <c r="RN171" s="1101"/>
      <c r="RO171" s="1101"/>
      <c r="RP171" s="1101"/>
      <c r="RQ171" s="1101"/>
      <c r="RR171" s="1101"/>
      <c r="RS171" s="1101"/>
    </row>
    <row r="172" spans="1:487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 s="30"/>
      <c r="DX172" s="20"/>
      <c r="DY172" s="959"/>
      <c r="DZ172" s="979"/>
      <c r="EA172" s="1020"/>
      <c r="EB172" s="42"/>
      <c r="EC172" s="909">
        <f t="shared" si="80"/>
        <v>0</v>
      </c>
      <c r="ED172" s="909">
        <f t="shared" si="80"/>
        <v>0</v>
      </c>
      <c r="EE172" s="909">
        <f t="shared" si="80"/>
        <v>0</v>
      </c>
      <c r="EF172" s="909">
        <f t="shared" si="80"/>
        <v>0</v>
      </c>
      <c r="EG172" s="909">
        <f t="shared" si="80"/>
        <v>0</v>
      </c>
      <c r="EH172" s="909">
        <f t="shared" si="80"/>
        <v>0</v>
      </c>
      <c r="EI172" s="909">
        <f t="shared" si="80"/>
        <v>0</v>
      </c>
      <c r="EJ172" s="909">
        <f t="shared" si="80"/>
        <v>0</v>
      </c>
      <c r="EK172"/>
      <c r="EL172"/>
      <c r="EM172"/>
      <c r="EN172"/>
      <c r="FJ172" s="1073"/>
      <c r="FK172" s="1073"/>
      <c r="FL172" s="1074"/>
      <c r="RD172" s="1101"/>
      <c r="RE172" s="1101"/>
      <c r="RF172" s="1101"/>
      <c r="RG172" s="1101"/>
      <c r="RH172" s="1101"/>
      <c r="RI172" s="1101"/>
      <c r="RJ172" s="1101"/>
      <c r="RK172" s="1101"/>
      <c r="RL172" s="1101"/>
      <c r="RM172" s="1101"/>
      <c r="RN172" s="1101"/>
      <c r="RO172" s="1101"/>
      <c r="RP172" s="1101"/>
      <c r="RQ172" s="1101"/>
      <c r="RR172" s="1101"/>
      <c r="RS172" s="1101"/>
    </row>
    <row r="173" spans="1:487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 s="30"/>
      <c r="DX173" s="20"/>
      <c r="DY173" s="959"/>
      <c r="DZ173" s="979"/>
      <c r="EA173" s="1020"/>
      <c r="EB173" s="42"/>
      <c r="EC173" s="909">
        <f t="shared" si="80"/>
        <v>0</v>
      </c>
      <c r="ED173" s="909">
        <f t="shared" si="80"/>
        <v>0</v>
      </c>
      <c r="EE173" s="909">
        <f t="shared" si="80"/>
        <v>0</v>
      </c>
      <c r="EF173" s="909">
        <f t="shared" si="80"/>
        <v>0</v>
      </c>
      <c r="EG173" s="909">
        <f t="shared" si="80"/>
        <v>0</v>
      </c>
      <c r="EH173" s="909">
        <f t="shared" si="80"/>
        <v>0</v>
      </c>
      <c r="EI173" s="909">
        <f t="shared" si="80"/>
        <v>0</v>
      </c>
      <c r="EJ173" s="909">
        <f t="shared" si="80"/>
        <v>0</v>
      </c>
      <c r="EK173"/>
      <c r="EL173"/>
      <c r="EM173"/>
      <c r="EN173"/>
      <c r="FJ173" s="1073"/>
      <c r="FK173" s="1073"/>
      <c r="FL173" s="1074"/>
      <c r="RD173" s="1101"/>
      <c r="RE173" s="1101"/>
      <c r="RF173" s="1101"/>
      <c r="RG173" s="1101"/>
      <c r="RH173" s="1101"/>
      <c r="RI173" s="1101"/>
      <c r="RJ173" s="1101"/>
      <c r="RK173" s="1101"/>
      <c r="RL173" s="1101"/>
      <c r="RM173" s="1101"/>
      <c r="RN173" s="1101"/>
      <c r="RO173" s="1101"/>
      <c r="RP173" s="1101"/>
      <c r="RQ173" s="1101"/>
      <c r="RR173" s="1101"/>
      <c r="RS173" s="1101"/>
    </row>
    <row r="174" spans="1:487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 s="30"/>
      <c r="DX174" s="942"/>
      <c r="DY174" s="959"/>
      <c r="DZ174" s="986"/>
      <c r="EA174" s="986"/>
      <c r="EB174" s="986"/>
      <c r="EC174" s="1094">
        <f t="shared" si="80"/>
        <v>0</v>
      </c>
      <c r="ED174" s="1094">
        <f t="shared" si="80"/>
        <v>0</v>
      </c>
      <c r="EE174" s="1094">
        <f t="shared" si="80"/>
        <v>0</v>
      </c>
      <c r="EF174" s="1094">
        <f t="shared" si="80"/>
        <v>0</v>
      </c>
      <c r="EG174" s="1094">
        <f t="shared" si="80"/>
        <v>0</v>
      </c>
      <c r="EH174" s="1094">
        <f t="shared" si="80"/>
        <v>0</v>
      </c>
      <c r="EI174" s="1094">
        <f t="shared" si="80"/>
        <v>0</v>
      </c>
      <c r="EJ174" s="1094">
        <f t="shared" si="80"/>
        <v>0</v>
      </c>
      <c r="EK174"/>
      <c r="EL174"/>
      <c r="EM174"/>
      <c r="EN174"/>
      <c r="FJ174" s="1073"/>
      <c r="FK174" s="1073"/>
      <c r="FL174" s="1074"/>
      <c r="RD174" s="1101"/>
      <c r="RE174" s="1101"/>
      <c r="RF174" s="1101"/>
      <c r="RG174" s="1101"/>
      <c r="RH174" s="1101"/>
      <c r="RI174" s="1101"/>
      <c r="RJ174" s="1101"/>
      <c r="RK174" s="1101"/>
      <c r="RL174" s="1101"/>
      <c r="RM174" s="1101"/>
      <c r="RN174" s="1101"/>
      <c r="RO174" s="1101"/>
      <c r="RP174" s="1101"/>
      <c r="RQ174" s="1101"/>
      <c r="RR174" s="1101"/>
      <c r="RS174" s="1101"/>
    </row>
    <row r="175" spans="1:487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 s="30"/>
      <c r="DX175" s="942"/>
      <c r="DY175" s="959"/>
      <c r="DZ175" s="20"/>
      <c r="EA175" s="963"/>
      <c r="EB175" s="1020"/>
      <c r="EC175" s="1103">
        <f t="shared" si="80"/>
        <v>0</v>
      </c>
      <c r="ED175" s="1103">
        <f t="shared" si="80"/>
        <v>0</v>
      </c>
      <c r="EE175" s="1103">
        <f t="shared" si="80"/>
        <v>0</v>
      </c>
      <c r="EF175" s="1103">
        <f t="shared" si="80"/>
        <v>0</v>
      </c>
      <c r="EG175" s="1103">
        <f t="shared" si="80"/>
        <v>0</v>
      </c>
      <c r="EH175" s="1103">
        <f t="shared" si="80"/>
        <v>0</v>
      </c>
      <c r="EI175" s="1103">
        <f t="shared" si="80"/>
        <v>0</v>
      </c>
      <c r="EJ175" s="1103">
        <f t="shared" si="80"/>
        <v>0</v>
      </c>
      <c r="EK175"/>
      <c r="EL175"/>
      <c r="EM175"/>
      <c r="EN175"/>
      <c r="FJ175" s="1073"/>
      <c r="FK175" s="1073"/>
      <c r="FL175" s="1074"/>
      <c r="RD175" s="1101"/>
      <c r="RE175" s="1101"/>
      <c r="RF175" s="1101"/>
      <c r="RG175" s="1101"/>
      <c r="RH175" s="1101"/>
      <c r="RI175" s="1101"/>
      <c r="RJ175" s="1101"/>
      <c r="RK175" s="1101"/>
      <c r="RL175" s="1101"/>
      <c r="RM175" s="1101"/>
      <c r="RN175" s="1101"/>
      <c r="RO175" s="1101"/>
      <c r="RP175" s="1101"/>
      <c r="RQ175" s="1101"/>
      <c r="RR175" s="1101"/>
      <c r="RS175" s="1101"/>
    </row>
    <row r="176" spans="1:487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 s="30"/>
      <c r="DX176" s="942"/>
      <c r="DY176" s="959"/>
      <c r="DZ176" s="1207"/>
      <c r="EA176" s="1049"/>
      <c r="EB176" s="20"/>
      <c r="EC176" s="86">
        <f t="shared" si="80"/>
        <v>0</v>
      </c>
      <c r="ED176" s="86">
        <f t="shared" si="80"/>
        <v>0</v>
      </c>
      <c r="EE176" s="86">
        <f t="shared" si="80"/>
        <v>0</v>
      </c>
      <c r="EF176" s="86">
        <f t="shared" si="80"/>
        <v>0</v>
      </c>
      <c r="EG176" s="86">
        <f t="shared" si="80"/>
        <v>0</v>
      </c>
      <c r="EH176" s="86">
        <f t="shared" si="80"/>
        <v>0</v>
      </c>
      <c r="EI176" s="86">
        <f t="shared" si="80"/>
        <v>0</v>
      </c>
      <c r="EJ176" s="86">
        <f t="shared" si="80"/>
        <v>0</v>
      </c>
      <c r="EK176"/>
      <c r="EL176"/>
      <c r="EM176"/>
      <c r="EN176"/>
      <c r="FJ176" s="1073"/>
      <c r="FK176" s="1073"/>
      <c r="FL176" s="1074"/>
      <c r="RD176" s="1101"/>
      <c r="RE176" s="1101"/>
      <c r="RF176" s="1101"/>
      <c r="RG176" s="1101"/>
      <c r="RH176" s="1101"/>
      <c r="RI176" s="1101"/>
      <c r="RJ176" s="1101"/>
      <c r="RK176" s="1101"/>
      <c r="RL176" s="1101"/>
      <c r="RM176" s="1101"/>
      <c r="RN176" s="1101"/>
      <c r="RO176" s="1101"/>
      <c r="RP176" s="1101"/>
      <c r="RQ176" s="1101"/>
      <c r="RR176" s="1101"/>
      <c r="RS176" s="1101"/>
    </row>
    <row r="177" spans="2:487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 s="30"/>
      <c r="DX177" s="20"/>
      <c r="DY177" s="959"/>
      <c r="DZ177" s="573"/>
      <c r="EA177" s="963"/>
      <c r="EB177" s="573"/>
      <c r="EC177" s="918">
        <f t="shared" si="80"/>
        <v>0</v>
      </c>
      <c r="ED177" s="918">
        <f t="shared" si="80"/>
        <v>0</v>
      </c>
      <c r="EE177" s="918">
        <f t="shared" si="80"/>
        <v>0</v>
      </c>
      <c r="EF177" s="918">
        <f t="shared" si="80"/>
        <v>0</v>
      </c>
      <c r="EG177" s="918">
        <f t="shared" si="80"/>
        <v>0</v>
      </c>
      <c r="EH177" s="918">
        <f t="shared" si="80"/>
        <v>0</v>
      </c>
      <c r="EI177" s="918">
        <f t="shared" si="80"/>
        <v>0</v>
      </c>
      <c r="EJ177" s="918">
        <f t="shared" si="80"/>
        <v>0</v>
      </c>
      <c r="EK177"/>
      <c r="EL177"/>
      <c r="EM177"/>
      <c r="EN177"/>
      <c r="FJ177" s="1073"/>
      <c r="FK177" s="1073"/>
      <c r="FL177" s="1074"/>
      <c r="RD177" s="1101"/>
      <c r="RE177" s="1101"/>
      <c r="RF177" s="1101"/>
      <c r="RG177" s="1101"/>
      <c r="RH177" s="1101"/>
      <c r="RI177" s="1101"/>
      <c r="RJ177" s="1101"/>
      <c r="RK177" s="1101"/>
      <c r="RL177" s="1101"/>
      <c r="RM177" s="1101"/>
      <c r="RN177" s="1101"/>
      <c r="RO177" s="1101"/>
      <c r="RP177" s="1101"/>
      <c r="RQ177" s="1101"/>
      <c r="RR177" s="1101"/>
      <c r="RS177" s="1101"/>
    </row>
    <row r="178" spans="2:487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 s="30"/>
      <c r="DX178" s="20"/>
      <c r="DY178" s="959"/>
      <c r="DZ178" s="979"/>
      <c r="EA178" s="1020"/>
      <c r="EB178" s="42"/>
      <c r="EC178" s="909">
        <f t="shared" si="80"/>
        <v>0</v>
      </c>
      <c r="ED178" s="909">
        <f t="shared" si="80"/>
        <v>0</v>
      </c>
      <c r="EE178" s="909">
        <f t="shared" si="80"/>
        <v>0</v>
      </c>
      <c r="EF178" s="909">
        <f t="shared" si="80"/>
        <v>0</v>
      </c>
      <c r="EG178" s="909">
        <f t="shared" si="80"/>
        <v>0</v>
      </c>
      <c r="EH178" s="909">
        <f t="shared" si="80"/>
        <v>0</v>
      </c>
      <c r="EI178" s="909">
        <f t="shared" si="80"/>
        <v>0</v>
      </c>
      <c r="EJ178" s="909">
        <f t="shared" si="80"/>
        <v>0</v>
      </c>
      <c r="EK178"/>
      <c r="EL178"/>
      <c r="EM178"/>
      <c r="EN178"/>
      <c r="FJ178" s="1073"/>
      <c r="FK178" s="1073"/>
      <c r="FL178" s="1074"/>
      <c r="RD178" s="1101"/>
      <c r="RE178" s="1101"/>
      <c r="RF178" s="1101"/>
      <c r="RG178" s="1101"/>
      <c r="RH178" s="1101"/>
      <c r="RI178" s="1101"/>
      <c r="RJ178" s="1101"/>
      <c r="RK178" s="1101"/>
      <c r="RL178" s="1101"/>
      <c r="RM178" s="1101"/>
      <c r="RN178" s="1101"/>
      <c r="RO178" s="1101"/>
      <c r="RP178" s="1101"/>
      <c r="RQ178" s="1101"/>
      <c r="RR178" s="1101"/>
      <c r="RS178" s="1101"/>
    </row>
    <row r="179" spans="2:487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 s="30"/>
      <c r="DX179" s="20"/>
      <c r="DY179" s="959"/>
      <c r="DZ179" s="979"/>
      <c r="EA179" s="1020"/>
      <c r="EB179" s="42"/>
      <c r="EC179" s="909">
        <f t="shared" si="80"/>
        <v>0</v>
      </c>
      <c r="ED179" s="909">
        <f t="shared" si="80"/>
        <v>0</v>
      </c>
      <c r="EE179" s="909">
        <f t="shared" si="80"/>
        <v>0</v>
      </c>
      <c r="EF179" s="909">
        <f t="shared" si="80"/>
        <v>0</v>
      </c>
      <c r="EG179" s="909">
        <f t="shared" si="80"/>
        <v>0</v>
      </c>
      <c r="EH179" s="909">
        <f t="shared" si="80"/>
        <v>0</v>
      </c>
      <c r="EI179" s="909">
        <f t="shared" si="80"/>
        <v>0</v>
      </c>
      <c r="EJ179" s="909">
        <f t="shared" si="80"/>
        <v>0</v>
      </c>
      <c r="EK179"/>
      <c r="EL179"/>
      <c r="EM179"/>
      <c r="EN179"/>
      <c r="FJ179" s="1073"/>
      <c r="FK179" s="1073"/>
      <c r="FL179" s="1074"/>
      <c r="RD179" s="1101"/>
      <c r="RE179" s="1101"/>
      <c r="RF179" s="1101"/>
      <c r="RG179" s="1101"/>
      <c r="RH179" s="1101"/>
      <c r="RI179" s="1101"/>
      <c r="RJ179" s="1101"/>
      <c r="RK179" s="1101"/>
      <c r="RL179" s="1101"/>
      <c r="RM179" s="1101"/>
      <c r="RN179" s="1101"/>
      <c r="RO179" s="1101"/>
      <c r="RP179" s="1101"/>
      <c r="RQ179" s="1101"/>
      <c r="RR179" s="1101"/>
      <c r="RS179" s="1101"/>
    </row>
    <row r="180" spans="2:487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 s="30"/>
      <c r="DX180" s="20"/>
      <c r="DY180" s="959"/>
      <c r="DZ180" s="979"/>
      <c r="EA180" s="1020"/>
      <c r="EB180" s="42"/>
      <c r="EC180" s="909">
        <f t="shared" si="80"/>
        <v>0</v>
      </c>
      <c r="ED180" s="909">
        <f t="shared" si="80"/>
        <v>0</v>
      </c>
      <c r="EE180" s="909">
        <f t="shared" si="80"/>
        <v>0</v>
      </c>
      <c r="EF180" s="909">
        <f t="shared" si="80"/>
        <v>0</v>
      </c>
      <c r="EG180" s="909">
        <f t="shared" si="80"/>
        <v>0</v>
      </c>
      <c r="EH180" s="909">
        <f t="shared" si="80"/>
        <v>0</v>
      </c>
      <c r="EI180" s="909">
        <f t="shared" si="80"/>
        <v>0</v>
      </c>
      <c r="EJ180" s="909">
        <f t="shared" si="80"/>
        <v>0</v>
      </c>
      <c r="EK180"/>
      <c r="EL180"/>
      <c r="EM180"/>
      <c r="EN180"/>
      <c r="FJ180" s="1073"/>
      <c r="FK180" s="1073"/>
      <c r="FL180" s="1074"/>
      <c r="RD180" s="1101"/>
      <c r="RE180" s="1101"/>
      <c r="RF180" s="1101"/>
      <c r="RG180" s="1101"/>
      <c r="RH180" s="1101"/>
      <c r="RI180" s="1101"/>
      <c r="RJ180" s="1101"/>
      <c r="RK180" s="1101"/>
      <c r="RL180" s="1101"/>
      <c r="RM180" s="1101"/>
      <c r="RN180" s="1101"/>
      <c r="RO180" s="1101"/>
      <c r="RP180" s="1101"/>
      <c r="RQ180" s="1101"/>
      <c r="RR180" s="1101"/>
      <c r="RS180" s="1101"/>
    </row>
    <row r="181" spans="2:487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 s="30"/>
      <c r="DX181" s="20"/>
      <c r="DY181" s="959"/>
      <c r="DZ181" s="979"/>
      <c r="EA181" s="1020"/>
      <c r="EB181" s="42"/>
      <c r="EC181" s="909">
        <f t="shared" si="80"/>
        <v>0</v>
      </c>
      <c r="ED181" s="909">
        <f t="shared" si="80"/>
        <v>0</v>
      </c>
      <c r="EE181" s="909">
        <f t="shared" si="80"/>
        <v>0</v>
      </c>
      <c r="EF181" s="909">
        <f t="shared" si="80"/>
        <v>0</v>
      </c>
      <c r="EG181" s="909">
        <f t="shared" si="80"/>
        <v>0</v>
      </c>
      <c r="EH181" s="909">
        <f t="shared" si="80"/>
        <v>0</v>
      </c>
      <c r="EI181" s="909">
        <f t="shared" si="80"/>
        <v>0</v>
      </c>
      <c r="EJ181" s="909">
        <f t="shared" si="80"/>
        <v>0</v>
      </c>
      <c r="EK181"/>
      <c r="EL181"/>
      <c r="EM181"/>
      <c r="EN181"/>
      <c r="FJ181" s="1073"/>
      <c r="FK181" s="1073"/>
      <c r="FL181" s="1074"/>
      <c r="RD181" s="1101"/>
      <c r="RE181" s="1101"/>
      <c r="RF181" s="1101"/>
      <c r="RG181" s="1101"/>
      <c r="RH181" s="1101"/>
      <c r="RI181" s="1101"/>
      <c r="RJ181" s="1101"/>
      <c r="RK181" s="1101"/>
      <c r="RL181" s="1101"/>
      <c r="RM181" s="1101"/>
      <c r="RN181" s="1101"/>
      <c r="RO181" s="1101"/>
      <c r="RP181" s="1101"/>
      <c r="RQ181" s="1101"/>
      <c r="RR181" s="1101"/>
      <c r="RS181" s="1101"/>
    </row>
    <row r="182" spans="2:487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 s="30"/>
      <c r="DX182" s="20"/>
      <c r="DY182" s="959"/>
      <c r="DZ182" s="979"/>
      <c r="EA182" s="1020"/>
      <c r="EB182" s="42"/>
      <c r="EC182" s="909">
        <f t="shared" si="80"/>
        <v>0</v>
      </c>
      <c r="ED182" s="909">
        <f t="shared" si="80"/>
        <v>0</v>
      </c>
      <c r="EE182" s="909">
        <f t="shared" si="80"/>
        <v>0</v>
      </c>
      <c r="EF182" s="909">
        <f t="shared" si="80"/>
        <v>0</v>
      </c>
      <c r="EG182" s="909">
        <f t="shared" si="80"/>
        <v>0</v>
      </c>
      <c r="EH182" s="909">
        <f t="shared" si="80"/>
        <v>0</v>
      </c>
      <c r="EI182" s="909">
        <f t="shared" si="80"/>
        <v>0</v>
      </c>
      <c r="EJ182" s="909">
        <f t="shared" si="80"/>
        <v>0</v>
      </c>
      <c r="EK182"/>
      <c r="EL182"/>
      <c r="EM182"/>
      <c r="EN182"/>
      <c r="FJ182" s="1073"/>
      <c r="FK182" s="1073"/>
      <c r="FL182" s="1074"/>
      <c r="RD182" s="1101"/>
      <c r="RE182" s="1101"/>
      <c r="RF182" s="1101"/>
      <c r="RG182" s="1101"/>
      <c r="RH182" s="1101"/>
      <c r="RI182" s="1101"/>
      <c r="RJ182" s="1101"/>
      <c r="RK182" s="1101"/>
      <c r="RL182" s="1101"/>
      <c r="RM182" s="1101"/>
      <c r="RN182" s="1101"/>
      <c r="RO182" s="1101"/>
      <c r="RP182" s="1101"/>
      <c r="RQ182" s="1101"/>
      <c r="RR182" s="1101"/>
      <c r="RS182" s="1101"/>
    </row>
    <row r="183" spans="2:487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 s="30"/>
      <c r="DX183" s="20"/>
      <c r="DY183" s="959"/>
      <c r="DZ183" s="979"/>
      <c r="EA183" s="1020"/>
      <c r="EB183" s="42"/>
      <c r="EC183" s="909">
        <f t="shared" si="80"/>
        <v>0</v>
      </c>
      <c r="ED183" s="909">
        <f t="shared" si="80"/>
        <v>0</v>
      </c>
      <c r="EE183" s="909">
        <f t="shared" si="80"/>
        <v>0</v>
      </c>
      <c r="EF183" s="909">
        <f t="shared" si="80"/>
        <v>0</v>
      </c>
      <c r="EG183" s="909">
        <f t="shared" si="80"/>
        <v>0</v>
      </c>
      <c r="EH183" s="909">
        <f t="shared" si="80"/>
        <v>0</v>
      </c>
      <c r="EI183" s="909">
        <f t="shared" si="80"/>
        <v>0</v>
      </c>
      <c r="EJ183" s="909">
        <f t="shared" si="80"/>
        <v>0</v>
      </c>
      <c r="EK183"/>
      <c r="EL183"/>
      <c r="EM183"/>
      <c r="EN183"/>
      <c r="FJ183" s="1073"/>
      <c r="FK183" s="1073"/>
      <c r="FL183" s="1074"/>
      <c r="RD183" s="1101"/>
      <c r="RE183" s="1101"/>
      <c r="RF183" s="1101"/>
      <c r="RG183" s="1101"/>
      <c r="RH183" s="1101"/>
      <c r="RI183" s="1101"/>
      <c r="RJ183" s="1101"/>
      <c r="RK183" s="1101"/>
      <c r="RL183" s="1101"/>
      <c r="RM183" s="1101"/>
      <c r="RN183" s="1101"/>
      <c r="RO183" s="1101"/>
      <c r="RP183" s="1101"/>
      <c r="RQ183" s="1101"/>
      <c r="RR183" s="1101"/>
      <c r="RS183" s="1101"/>
    </row>
    <row r="184" spans="2:487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 s="30"/>
      <c r="DX184" s="1215"/>
      <c r="DY184" s="959"/>
      <c r="DZ184" s="986"/>
      <c r="EA184" s="986"/>
      <c r="EB184" s="986"/>
      <c r="EC184" s="1094">
        <f t="shared" si="80"/>
        <v>0</v>
      </c>
      <c r="ED184" s="1094">
        <f t="shared" si="80"/>
        <v>0</v>
      </c>
      <c r="EE184" s="1094">
        <f t="shared" si="80"/>
        <v>0</v>
      </c>
      <c r="EF184" s="1094">
        <f t="shared" si="80"/>
        <v>0</v>
      </c>
      <c r="EG184" s="1094">
        <f t="shared" si="80"/>
        <v>0</v>
      </c>
      <c r="EH184" s="1094">
        <f t="shared" si="80"/>
        <v>0</v>
      </c>
      <c r="EI184" s="1094">
        <f t="shared" si="80"/>
        <v>0</v>
      </c>
      <c r="EJ184" s="1094">
        <f t="shared" si="80"/>
        <v>0</v>
      </c>
      <c r="EK184"/>
      <c r="EL184"/>
      <c r="EM184"/>
      <c r="EN184"/>
      <c r="FJ184" s="1073"/>
      <c r="FK184" s="1073"/>
      <c r="FL184" s="1074"/>
      <c r="RD184" s="1101"/>
      <c r="RE184" s="1101"/>
      <c r="RF184" s="1101"/>
      <c r="RG184" s="1101"/>
      <c r="RH184" s="1101"/>
      <c r="RI184" s="1101"/>
      <c r="RJ184" s="1101"/>
      <c r="RK184" s="1101"/>
      <c r="RL184" s="1101"/>
      <c r="RM184" s="1101"/>
      <c r="RN184" s="1101"/>
      <c r="RO184" s="1101"/>
      <c r="RP184" s="1101"/>
      <c r="RQ184" s="1101"/>
      <c r="RR184" s="1101"/>
      <c r="RS184" s="1101"/>
    </row>
    <row r="185" spans="2:487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  <c r="DW185" s="30"/>
      <c r="DX185" s="1215"/>
      <c r="DY185" s="959"/>
      <c r="DZ185" s="986"/>
      <c r="EA185" s="986"/>
      <c r="EB185" s="986"/>
      <c r="EC185" s="1095">
        <f t="shared" si="80"/>
        <v>0</v>
      </c>
      <c r="ED185" s="1095">
        <f t="shared" si="80"/>
        <v>0</v>
      </c>
      <c r="EE185" s="1095">
        <f t="shared" si="80"/>
        <v>0</v>
      </c>
      <c r="EF185" s="1095">
        <f t="shared" si="80"/>
        <v>0</v>
      </c>
      <c r="EG185" s="1095">
        <f t="shared" si="80"/>
        <v>0</v>
      </c>
      <c r="EH185" s="1095">
        <f t="shared" si="80"/>
        <v>0</v>
      </c>
      <c r="EI185" s="1095">
        <f t="shared" si="80"/>
        <v>0</v>
      </c>
      <c r="EJ185" s="1095">
        <f t="shared" si="80"/>
        <v>0</v>
      </c>
      <c r="EK185"/>
      <c r="EL185"/>
      <c r="EM185"/>
      <c r="EN185"/>
      <c r="FJ185" s="1073"/>
      <c r="FK185" s="1073"/>
      <c r="FL185" s="1074"/>
      <c r="RD185" s="1101"/>
      <c r="RE185" s="1101"/>
      <c r="RF185" s="1101"/>
      <c r="RG185" s="1101"/>
      <c r="RH185" s="1101"/>
      <c r="RI185" s="1101"/>
      <c r="RJ185" s="1101"/>
      <c r="RK185" s="1101"/>
      <c r="RL185" s="1101"/>
      <c r="RM185" s="1101"/>
      <c r="RN185" s="1101"/>
      <c r="RO185" s="1101"/>
      <c r="RP185" s="1101"/>
      <c r="RQ185" s="1101"/>
      <c r="RR185" s="1101"/>
      <c r="RS185" s="1101"/>
    </row>
    <row r="186" spans="2:487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  <c r="DW186" s="30"/>
      <c r="DX186" s="1215"/>
      <c r="DY186" s="959"/>
      <c r="DZ186" s="986"/>
      <c r="EA186" s="986"/>
      <c r="EB186" s="986"/>
      <c r="EC186" s="1095">
        <f t="shared" ref="EC186:EJ201" si="81">+EC50-EC119</f>
        <v>0</v>
      </c>
      <c r="ED186" s="1095">
        <f t="shared" si="81"/>
        <v>0</v>
      </c>
      <c r="EE186" s="1095">
        <f t="shared" si="81"/>
        <v>0</v>
      </c>
      <c r="EF186" s="1095">
        <f t="shared" si="81"/>
        <v>0</v>
      </c>
      <c r="EG186" s="1095">
        <f t="shared" si="81"/>
        <v>0</v>
      </c>
      <c r="EH186" s="1095">
        <f t="shared" si="81"/>
        <v>0</v>
      </c>
      <c r="EI186" s="1095">
        <f t="shared" si="81"/>
        <v>0</v>
      </c>
      <c r="EJ186" s="1095">
        <f t="shared" si="81"/>
        <v>0</v>
      </c>
      <c r="EK186"/>
      <c r="EL186"/>
      <c r="EM186"/>
      <c r="EN186"/>
      <c r="FJ186" s="1073"/>
      <c r="FK186" s="1073"/>
      <c r="FL186" s="1074"/>
      <c r="RD186" s="1101"/>
      <c r="RE186" s="1101"/>
      <c r="RF186" s="1101"/>
      <c r="RG186" s="1101"/>
      <c r="RH186" s="1101"/>
      <c r="RI186" s="1101"/>
      <c r="RJ186" s="1101"/>
      <c r="RK186" s="1101"/>
      <c r="RL186" s="1101"/>
      <c r="RM186" s="1101"/>
      <c r="RN186" s="1101"/>
      <c r="RO186" s="1101"/>
      <c r="RP186" s="1101"/>
      <c r="RQ186" s="1101"/>
      <c r="RR186" s="1101"/>
      <c r="RS186" s="1101"/>
    </row>
    <row r="187" spans="2:487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  <c r="DW187" s="30"/>
      <c r="DX187" s="609"/>
      <c r="DY187" s="959"/>
      <c r="DZ187" s="963"/>
      <c r="EA187" s="963"/>
      <c r="EB187" s="963"/>
      <c r="EC187" s="1096">
        <f t="shared" si="81"/>
        <v>0</v>
      </c>
      <c r="ED187" s="1096">
        <f t="shared" si="81"/>
        <v>0</v>
      </c>
      <c r="EE187" s="1096">
        <f t="shared" si="81"/>
        <v>0</v>
      </c>
      <c r="EF187" s="1096">
        <f t="shared" si="81"/>
        <v>0</v>
      </c>
      <c r="EG187" s="1096">
        <f t="shared" si="81"/>
        <v>0</v>
      </c>
      <c r="EH187" s="1096">
        <f t="shared" si="81"/>
        <v>0</v>
      </c>
      <c r="EI187" s="1096">
        <f t="shared" si="81"/>
        <v>0</v>
      </c>
      <c r="EJ187" s="1096">
        <f t="shared" si="81"/>
        <v>0</v>
      </c>
      <c r="EK187"/>
      <c r="EL187"/>
      <c r="EM187"/>
      <c r="EN187"/>
      <c r="FJ187" s="1073"/>
      <c r="FK187" s="1073"/>
      <c r="FL187" s="1074"/>
      <c r="RD187" s="1101"/>
      <c r="RE187" s="1101"/>
      <c r="RF187" s="1101"/>
      <c r="RG187" s="1101"/>
      <c r="RH187" s="1101"/>
      <c r="RI187" s="1101"/>
      <c r="RJ187" s="1101"/>
      <c r="RK187" s="1101"/>
      <c r="RL187" s="1101"/>
      <c r="RM187" s="1101"/>
      <c r="RN187" s="1101"/>
      <c r="RO187" s="1101"/>
      <c r="RP187" s="1101"/>
      <c r="RQ187" s="1101"/>
      <c r="RR187" s="1101"/>
      <c r="RS187" s="1101"/>
    </row>
    <row r="188" spans="2:487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  <c r="DW188" s="30"/>
      <c r="DX188" s="609"/>
      <c r="DY188" s="959"/>
      <c r="DZ188" s="979"/>
      <c r="EA188" s="979"/>
      <c r="EB188" s="979"/>
      <c r="EC188" s="1097">
        <f t="shared" si="81"/>
        <v>0</v>
      </c>
      <c r="ED188" s="1097">
        <f t="shared" si="81"/>
        <v>0</v>
      </c>
      <c r="EE188" s="1097">
        <f t="shared" si="81"/>
        <v>0</v>
      </c>
      <c r="EF188" s="1097">
        <f t="shared" si="81"/>
        <v>0</v>
      </c>
      <c r="EG188" s="1097">
        <f t="shared" si="81"/>
        <v>0</v>
      </c>
      <c r="EH188" s="1097">
        <f t="shared" si="81"/>
        <v>0</v>
      </c>
      <c r="EI188" s="1097">
        <f t="shared" si="81"/>
        <v>0</v>
      </c>
      <c r="EJ188" s="1097">
        <f t="shared" si="81"/>
        <v>0</v>
      </c>
      <c r="EK188"/>
      <c r="EL188"/>
      <c r="EM188"/>
      <c r="EN188"/>
      <c r="FJ188" s="1073"/>
      <c r="FK188" s="1073"/>
      <c r="FL188" s="1074"/>
      <c r="RD188" s="1101"/>
      <c r="RE188" s="1101"/>
      <c r="RF188" s="1101"/>
      <c r="RG188" s="1101"/>
      <c r="RH188" s="1101"/>
      <c r="RI188" s="1101"/>
      <c r="RJ188" s="1101"/>
      <c r="RK188" s="1101"/>
      <c r="RL188" s="1101"/>
      <c r="RM188" s="1101"/>
      <c r="RN188" s="1101"/>
      <c r="RO188" s="1101"/>
      <c r="RP188" s="1101"/>
      <c r="RQ188" s="1101"/>
      <c r="RR188" s="1101"/>
      <c r="RS188" s="1101"/>
    </row>
    <row r="189" spans="2:487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  <c r="DW189" s="30"/>
      <c r="DX189" s="609"/>
      <c r="DY189" s="959"/>
      <c r="DZ189" s="979"/>
      <c r="EA189" s="979"/>
      <c r="EB189" s="979"/>
      <c r="EC189" s="1097">
        <f t="shared" si="81"/>
        <v>0</v>
      </c>
      <c r="ED189" s="1097">
        <f t="shared" si="81"/>
        <v>0</v>
      </c>
      <c r="EE189" s="1097">
        <f t="shared" si="81"/>
        <v>0</v>
      </c>
      <c r="EF189" s="1097">
        <f t="shared" si="81"/>
        <v>0</v>
      </c>
      <c r="EG189" s="1097">
        <f t="shared" si="81"/>
        <v>0</v>
      </c>
      <c r="EH189" s="1097">
        <f t="shared" si="81"/>
        <v>0</v>
      </c>
      <c r="EI189" s="1097">
        <f t="shared" si="81"/>
        <v>0</v>
      </c>
      <c r="EJ189" s="1097">
        <f t="shared" si="81"/>
        <v>0</v>
      </c>
      <c r="EK189"/>
      <c r="EL189"/>
      <c r="EM189"/>
      <c r="EN189"/>
      <c r="FJ189" s="1073"/>
      <c r="FK189" s="1073"/>
      <c r="FL189" s="1074"/>
      <c r="RD189" s="1101"/>
      <c r="RE189" s="1101"/>
      <c r="RF189" s="1101"/>
      <c r="RG189" s="1101"/>
      <c r="RH189" s="1101"/>
      <c r="RI189" s="1101"/>
      <c r="RJ189" s="1101"/>
      <c r="RK189" s="1101"/>
      <c r="RL189" s="1101"/>
      <c r="RM189" s="1101"/>
      <c r="RN189" s="1101"/>
      <c r="RO189" s="1101"/>
      <c r="RP189" s="1101"/>
      <c r="RQ189" s="1101"/>
      <c r="RR189" s="1101"/>
      <c r="RS189" s="1101"/>
    </row>
    <row r="190" spans="2:487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  <c r="DW190" s="30"/>
      <c r="DX190" s="609"/>
      <c r="DY190" s="959"/>
      <c r="DZ190" s="979"/>
      <c r="EA190" s="979"/>
      <c r="EB190" s="979"/>
      <c r="EC190" s="1097">
        <f t="shared" si="81"/>
        <v>0</v>
      </c>
      <c r="ED190" s="1097">
        <f t="shared" si="81"/>
        <v>0</v>
      </c>
      <c r="EE190" s="1097">
        <f t="shared" si="81"/>
        <v>0</v>
      </c>
      <c r="EF190" s="1097">
        <f t="shared" si="81"/>
        <v>0</v>
      </c>
      <c r="EG190" s="1097">
        <f t="shared" si="81"/>
        <v>0</v>
      </c>
      <c r="EH190" s="1097">
        <f t="shared" si="81"/>
        <v>0</v>
      </c>
      <c r="EI190" s="1097">
        <f t="shared" si="81"/>
        <v>0</v>
      </c>
      <c r="EJ190" s="1097">
        <f t="shared" si="81"/>
        <v>0</v>
      </c>
      <c r="EK190"/>
      <c r="EL190"/>
      <c r="EM190"/>
      <c r="EN190"/>
      <c r="FJ190" s="1073"/>
      <c r="FK190" s="1073"/>
      <c r="FL190" s="1074"/>
      <c r="RD190" s="1101"/>
      <c r="RE190" s="1101"/>
      <c r="RF190" s="1101"/>
      <c r="RG190" s="1101"/>
      <c r="RH190" s="1101"/>
      <c r="RI190" s="1101"/>
      <c r="RJ190" s="1101"/>
      <c r="RK190" s="1101"/>
      <c r="RL190" s="1101"/>
      <c r="RM190" s="1101"/>
      <c r="RN190" s="1101"/>
      <c r="RO190" s="1101"/>
      <c r="RP190" s="1101"/>
      <c r="RQ190" s="1101"/>
      <c r="RR190" s="1101"/>
      <c r="RS190" s="1101"/>
    </row>
    <row r="191" spans="2:487" ht="15.75" thickBot="1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/>
      <c r="DW191" s="30"/>
      <c r="DX191" s="515"/>
      <c r="DY191" s="959"/>
      <c r="DZ191" s="1216"/>
      <c r="EA191" s="1216"/>
      <c r="EB191" s="1216"/>
      <c r="EC191" s="1099">
        <f t="shared" si="81"/>
        <v>0</v>
      </c>
      <c r="ED191" s="1099">
        <f t="shared" si="81"/>
        <v>0</v>
      </c>
      <c r="EE191" s="1099">
        <f t="shared" si="81"/>
        <v>0</v>
      </c>
      <c r="EF191" s="1099">
        <f t="shared" si="81"/>
        <v>0</v>
      </c>
      <c r="EG191" s="1099">
        <f t="shared" si="81"/>
        <v>0</v>
      </c>
      <c r="EH191" s="1099">
        <f t="shared" si="81"/>
        <v>0</v>
      </c>
      <c r="EI191" s="1099">
        <f t="shared" si="81"/>
        <v>0</v>
      </c>
      <c r="EJ191" s="1099">
        <f t="shared" si="81"/>
        <v>0</v>
      </c>
      <c r="EK191"/>
      <c r="EL191"/>
      <c r="EM191"/>
      <c r="EN191"/>
      <c r="FJ191" s="1073"/>
      <c r="FK191" s="1073"/>
      <c r="FL191" s="1074"/>
      <c r="RD191" s="1101"/>
      <c r="RE191" s="1101"/>
      <c r="RF191" s="1101"/>
      <c r="RG191" s="1101"/>
      <c r="RH191" s="1101"/>
      <c r="RI191" s="1101"/>
      <c r="RJ191" s="1101"/>
      <c r="RK191" s="1101"/>
      <c r="RL191" s="1101"/>
      <c r="RM191" s="1101"/>
      <c r="RN191" s="1101"/>
      <c r="RO191" s="1101"/>
      <c r="RP191" s="1101"/>
      <c r="RQ191" s="1101"/>
      <c r="RR191" s="1101"/>
      <c r="RS191" s="1101"/>
    </row>
    <row r="192" spans="2:487" ht="15.75" thickTop="1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DW192" s="30"/>
      <c r="DX192" s="547"/>
      <c r="DY192" s="959"/>
      <c r="DZ192" s="1207"/>
      <c r="EA192" s="1075"/>
      <c r="EB192" s="20"/>
      <c r="EC192" s="86">
        <f t="shared" si="81"/>
        <v>0</v>
      </c>
      <c r="ED192" s="86">
        <f t="shared" si="81"/>
        <v>0</v>
      </c>
      <c r="EE192" s="86">
        <f t="shared" si="81"/>
        <v>0</v>
      </c>
      <c r="EF192" s="86">
        <f t="shared" si="81"/>
        <v>0</v>
      </c>
      <c r="EG192" s="86">
        <f t="shared" si="81"/>
        <v>0</v>
      </c>
      <c r="EH192" s="86">
        <f t="shared" si="81"/>
        <v>0</v>
      </c>
      <c r="EI192" s="86">
        <f t="shared" si="81"/>
        <v>0</v>
      </c>
      <c r="EJ192" s="86">
        <f t="shared" si="81"/>
        <v>0</v>
      </c>
      <c r="EK192"/>
      <c r="EL192"/>
      <c r="EM192"/>
      <c r="EN192"/>
      <c r="FJ192" s="1073"/>
      <c r="FK192" s="1073"/>
      <c r="FL192" s="1074"/>
      <c r="RD192" s="1101"/>
      <c r="RE192" s="1101"/>
      <c r="RF192" s="1101"/>
      <c r="RG192" s="1101"/>
      <c r="RH192" s="1101"/>
      <c r="RI192" s="1101"/>
      <c r="RJ192" s="1101"/>
      <c r="RK192" s="1101"/>
      <c r="RL192" s="1101"/>
      <c r="RM192" s="1101"/>
      <c r="RN192" s="1101"/>
      <c r="RO192" s="1101"/>
      <c r="RP192" s="1101"/>
      <c r="RQ192" s="1101"/>
      <c r="RR192" s="1101"/>
      <c r="RS192" s="1101"/>
    </row>
    <row r="193" spans="2:487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DW193" s="30"/>
      <c r="DX193" s="942"/>
      <c r="DY193" s="959"/>
      <c r="DZ193" s="1207"/>
      <c r="EA193" s="1075"/>
      <c r="EB193" s="20"/>
      <c r="EC193" s="86">
        <f t="shared" si="81"/>
        <v>0</v>
      </c>
      <c r="ED193" s="86">
        <f t="shared" si="81"/>
        <v>0</v>
      </c>
      <c r="EE193" s="86">
        <f t="shared" si="81"/>
        <v>0</v>
      </c>
      <c r="EF193" s="86">
        <f t="shared" si="81"/>
        <v>0</v>
      </c>
      <c r="EG193" s="86">
        <f t="shared" si="81"/>
        <v>0</v>
      </c>
      <c r="EH193" s="86">
        <f t="shared" si="81"/>
        <v>0</v>
      </c>
      <c r="EI193" s="86">
        <f t="shared" si="81"/>
        <v>0</v>
      </c>
      <c r="EJ193" s="86">
        <f t="shared" si="81"/>
        <v>0</v>
      </c>
      <c r="EK193"/>
      <c r="EL193"/>
      <c r="EM193"/>
      <c r="EN193"/>
      <c r="FJ193" s="1073"/>
      <c r="FK193" s="1073"/>
      <c r="FL193" s="1074"/>
      <c r="RD193" s="1101"/>
      <c r="RE193" s="1101"/>
      <c r="RF193" s="1101"/>
      <c r="RG193" s="1101"/>
      <c r="RH193" s="1101"/>
      <c r="RI193" s="1101"/>
      <c r="RJ193" s="1101"/>
      <c r="RK193" s="1101"/>
      <c r="RL193" s="1101"/>
      <c r="RM193" s="1101"/>
      <c r="RN193" s="1101"/>
      <c r="RO193" s="1101"/>
      <c r="RP193" s="1101"/>
      <c r="RQ193" s="1101"/>
      <c r="RR193" s="1101"/>
      <c r="RS193" s="1101"/>
    </row>
    <row r="194" spans="2:487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DW194" s="30"/>
      <c r="DX194" s="592"/>
      <c r="DY194" s="959"/>
      <c r="DZ194" s="21"/>
      <c r="EA194" s="1077"/>
      <c r="EB194" s="21"/>
      <c r="EC194" s="918">
        <f t="shared" si="81"/>
        <v>0</v>
      </c>
      <c r="ED194" s="918">
        <f t="shared" si="81"/>
        <v>0</v>
      </c>
      <c r="EE194" s="918">
        <f t="shared" si="81"/>
        <v>0</v>
      </c>
      <c r="EF194" s="918">
        <f t="shared" si="81"/>
        <v>0</v>
      </c>
      <c r="EG194" s="918">
        <f t="shared" si="81"/>
        <v>0</v>
      </c>
      <c r="EH194" s="918">
        <f t="shared" si="81"/>
        <v>0</v>
      </c>
      <c r="EI194" s="918">
        <f t="shared" si="81"/>
        <v>0</v>
      </c>
      <c r="EJ194" s="918">
        <f t="shared" si="81"/>
        <v>0</v>
      </c>
      <c r="EK194"/>
      <c r="EL194"/>
      <c r="EM194"/>
      <c r="EN194"/>
      <c r="FJ194" s="1073"/>
      <c r="FK194" s="1073"/>
      <c r="FL194" s="1074"/>
      <c r="RD194" s="1101"/>
      <c r="RE194" s="1101"/>
      <c r="RF194" s="1101"/>
      <c r="RG194" s="1101"/>
      <c r="RH194" s="1101"/>
      <c r="RI194" s="1101"/>
      <c r="RJ194" s="1101"/>
      <c r="RK194" s="1101"/>
      <c r="RL194" s="1101"/>
      <c r="RM194" s="1101"/>
      <c r="RN194" s="1101"/>
      <c r="RO194" s="1101"/>
      <c r="RP194" s="1101"/>
      <c r="RQ194" s="1101"/>
      <c r="RR194" s="1101"/>
      <c r="RS194" s="1101"/>
    </row>
    <row r="195" spans="2:487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  <c r="DW195" s="30"/>
      <c r="DX195" s="942"/>
      <c r="DY195" s="959"/>
      <c r="DZ195" s="979"/>
      <c r="EA195" s="1057"/>
      <c r="EB195" s="42"/>
      <c r="EC195" s="909">
        <f t="shared" si="81"/>
        <v>0</v>
      </c>
      <c r="ED195" s="909">
        <f t="shared" si="81"/>
        <v>0</v>
      </c>
      <c r="EE195" s="909">
        <f t="shared" si="81"/>
        <v>0</v>
      </c>
      <c r="EF195" s="909">
        <f t="shared" si="81"/>
        <v>0</v>
      </c>
      <c r="EG195" s="909">
        <f t="shared" si="81"/>
        <v>0</v>
      </c>
      <c r="EH195" s="909">
        <f t="shared" si="81"/>
        <v>0</v>
      </c>
      <c r="EI195" s="909">
        <f t="shared" si="81"/>
        <v>0</v>
      </c>
      <c r="EJ195" s="909">
        <f t="shared" si="81"/>
        <v>0</v>
      </c>
      <c r="EK195"/>
      <c r="EL195"/>
      <c r="EM195"/>
      <c r="EN195"/>
      <c r="FJ195" s="1073"/>
      <c r="FK195" s="1073"/>
      <c r="FL195" s="1074"/>
      <c r="RD195" s="1101"/>
      <c r="RE195" s="1101"/>
      <c r="RF195" s="1101"/>
      <c r="RG195" s="1101"/>
      <c r="RH195" s="1101"/>
      <c r="RI195" s="1101"/>
      <c r="RJ195" s="1101"/>
      <c r="RK195" s="1101"/>
      <c r="RL195" s="1101"/>
      <c r="RM195" s="1101"/>
      <c r="RN195" s="1101"/>
      <c r="RO195" s="1101"/>
      <c r="RP195" s="1101"/>
      <c r="RQ195" s="1101"/>
      <c r="RR195" s="1101"/>
      <c r="RS195" s="1101"/>
    </row>
    <row r="196" spans="2:487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  <c r="DW196" s="30"/>
      <c r="DX196" s="1217"/>
      <c r="DY196" s="959"/>
      <c r="DZ196" s="979"/>
      <c r="EA196" s="1057"/>
      <c r="EB196" s="42"/>
      <c r="EC196" s="909">
        <f t="shared" si="81"/>
        <v>0</v>
      </c>
      <c r="ED196" s="909">
        <f t="shared" si="81"/>
        <v>0</v>
      </c>
      <c r="EE196" s="909">
        <f t="shared" si="81"/>
        <v>0</v>
      </c>
      <c r="EF196" s="909">
        <f t="shared" si="81"/>
        <v>0</v>
      </c>
      <c r="EG196" s="909">
        <f t="shared" si="81"/>
        <v>0</v>
      </c>
      <c r="EH196" s="909">
        <f t="shared" si="81"/>
        <v>0</v>
      </c>
      <c r="EI196" s="909">
        <f t="shared" si="81"/>
        <v>0</v>
      </c>
      <c r="EJ196" s="909">
        <f t="shared" si="81"/>
        <v>0</v>
      </c>
      <c r="EK196"/>
      <c r="EL196"/>
      <c r="EM196"/>
      <c r="EN196"/>
      <c r="FJ196" s="1073"/>
      <c r="FK196" s="1073"/>
      <c r="FL196" s="1074"/>
      <c r="RD196" s="1101"/>
      <c r="RE196" s="1101"/>
      <c r="RF196" s="1101"/>
      <c r="RG196" s="1101"/>
      <c r="RH196" s="1101"/>
      <c r="RI196" s="1101"/>
      <c r="RJ196" s="1101"/>
      <c r="RK196" s="1101"/>
      <c r="RL196" s="1101"/>
      <c r="RM196" s="1101"/>
      <c r="RN196" s="1101"/>
      <c r="RO196" s="1101"/>
      <c r="RP196" s="1101"/>
      <c r="RQ196" s="1101"/>
      <c r="RR196" s="1101"/>
      <c r="RS196" s="1101"/>
    </row>
    <row r="197" spans="2:487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  <c r="DW197" s="30"/>
      <c r="DX197" s="1218"/>
      <c r="DY197" s="959"/>
      <c r="DZ197" s="979"/>
      <c r="EA197" s="1057"/>
      <c r="EB197" s="42"/>
      <c r="EC197" s="909">
        <f t="shared" si="81"/>
        <v>0</v>
      </c>
      <c r="ED197" s="909">
        <f t="shared" si="81"/>
        <v>0</v>
      </c>
      <c r="EE197" s="909">
        <f t="shared" si="81"/>
        <v>0</v>
      </c>
      <c r="EF197" s="909">
        <f t="shared" si="81"/>
        <v>0</v>
      </c>
      <c r="EG197" s="909">
        <f t="shared" si="81"/>
        <v>0</v>
      </c>
      <c r="EH197" s="909">
        <f t="shared" si="81"/>
        <v>0</v>
      </c>
      <c r="EI197" s="909">
        <f t="shared" si="81"/>
        <v>0</v>
      </c>
      <c r="EJ197" s="909">
        <f t="shared" si="81"/>
        <v>0</v>
      </c>
      <c r="EK197"/>
      <c r="EL197"/>
      <c r="EM197"/>
      <c r="EN197"/>
      <c r="FJ197" s="1073"/>
      <c r="FK197" s="1073"/>
      <c r="FL197" s="1074"/>
      <c r="RD197" s="1101"/>
      <c r="RE197" s="1101"/>
      <c r="RF197" s="1101"/>
      <c r="RG197" s="1101"/>
      <c r="RH197" s="1101"/>
      <c r="RI197" s="1101"/>
      <c r="RJ197" s="1101"/>
      <c r="RK197" s="1101"/>
      <c r="RL197" s="1101"/>
      <c r="RM197" s="1101"/>
      <c r="RN197" s="1101"/>
      <c r="RO197" s="1101"/>
      <c r="RP197" s="1101"/>
      <c r="RQ197" s="1101"/>
      <c r="RR197" s="1101"/>
      <c r="RS197" s="1101"/>
    </row>
    <row r="198" spans="2:487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  <c r="DW198" s="30"/>
      <c r="DX198" s="1165"/>
      <c r="DY198" s="959"/>
      <c r="DZ198" s="979"/>
      <c r="EA198" s="1057"/>
      <c r="EB198" s="42"/>
      <c r="EC198" s="909">
        <f t="shared" si="81"/>
        <v>0</v>
      </c>
      <c r="ED198" s="909">
        <f t="shared" si="81"/>
        <v>0</v>
      </c>
      <c r="EE198" s="909">
        <f t="shared" si="81"/>
        <v>0</v>
      </c>
      <c r="EF198" s="909">
        <f t="shared" si="81"/>
        <v>0</v>
      </c>
      <c r="EG198" s="909">
        <f t="shared" si="81"/>
        <v>0</v>
      </c>
      <c r="EH198" s="909">
        <f t="shared" si="81"/>
        <v>0</v>
      </c>
      <c r="EI198" s="909">
        <f t="shared" si="81"/>
        <v>0</v>
      </c>
      <c r="EJ198" s="909">
        <f t="shared" si="81"/>
        <v>0</v>
      </c>
      <c r="EK198"/>
      <c r="EL198"/>
      <c r="EM198"/>
      <c r="EN198"/>
      <c r="FJ198" s="1073"/>
      <c r="FK198" s="1073"/>
      <c r="FL198" s="1074"/>
    </row>
    <row r="199" spans="2:487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  <c r="DW199" s="30"/>
      <c r="DX199" s="1165"/>
      <c r="DY199" s="959"/>
      <c r="DZ199" s="979"/>
      <c r="EA199" s="1057"/>
      <c r="EB199" s="42"/>
      <c r="EC199" s="909">
        <f t="shared" si="81"/>
        <v>0</v>
      </c>
      <c r="ED199" s="909">
        <f t="shared" si="81"/>
        <v>0</v>
      </c>
      <c r="EE199" s="909">
        <f t="shared" si="81"/>
        <v>0</v>
      </c>
      <c r="EF199" s="909">
        <f t="shared" si="81"/>
        <v>0</v>
      </c>
      <c r="EG199" s="909">
        <f t="shared" si="81"/>
        <v>0</v>
      </c>
      <c r="EH199" s="909">
        <f t="shared" si="81"/>
        <v>0</v>
      </c>
      <c r="EI199" s="909">
        <f t="shared" si="81"/>
        <v>0</v>
      </c>
      <c r="EJ199" s="909">
        <f t="shared" si="81"/>
        <v>0</v>
      </c>
      <c r="EK199"/>
      <c r="EL199"/>
      <c r="EM199"/>
      <c r="EN199"/>
      <c r="FJ199" s="1073"/>
      <c r="FK199" s="1073"/>
      <c r="FL199" s="1074"/>
      <c r="RD199" s="1104" t="s">
        <v>618</v>
      </c>
      <c r="RE199" s="1104"/>
      <c r="RF199" s="1104"/>
      <c r="RG199" s="1104"/>
      <c r="RH199" s="1104"/>
      <c r="RI199" s="1104"/>
      <c r="RJ199" s="1104"/>
      <c r="RK199" s="1104"/>
      <c r="RL199" s="1104"/>
      <c r="RM199" s="1104"/>
      <c r="RN199" s="1104"/>
      <c r="RO199" s="1104"/>
      <c r="RP199" s="1104"/>
      <c r="RQ199" s="1104"/>
      <c r="RR199" s="1104"/>
      <c r="RS199" s="1104"/>
    </row>
    <row r="200" spans="2:487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  <c r="DW200" s="30"/>
      <c r="DX200" s="592"/>
      <c r="DY200" s="959"/>
      <c r="DZ200" s="979"/>
      <c r="EA200" s="42"/>
      <c r="EB200" s="42"/>
      <c r="EC200" s="86">
        <f t="shared" si="81"/>
        <v>0</v>
      </c>
      <c r="ED200" s="86">
        <f t="shared" si="81"/>
        <v>0</v>
      </c>
      <c r="EE200" s="86">
        <f t="shared" si="81"/>
        <v>0</v>
      </c>
      <c r="EF200" s="86">
        <f t="shared" si="81"/>
        <v>0</v>
      </c>
      <c r="EG200" s="86">
        <f t="shared" si="81"/>
        <v>0</v>
      </c>
      <c r="EH200" s="86">
        <f t="shared" si="81"/>
        <v>0</v>
      </c>
      <c r="EI200" s="86">
        <f t="shared" si="81"/>
        <v>0</v>
      </c>
      <c r="EJ200" s="86">
        <f t="shared" si="81"/>
        <v>0</v>
      </c>
      <c r="EK200"/>
      <c r="EL200"/>
      <c r="EM200"/>
      <c r="EN200"/>
      <c r="FJ200" s="1073"/>
      <c r="FK200" s="1073"/>
      <c r="FL200" s="1074"/>
      <c r="RD200" s="1105"/>
      <c r="RE200" s="1105"/>
      <c r="RF200" s="1105"/>
      <c r="RG200" s="1105"/>
      <c r="RH200" s="1105"/>
      <c r="RI200" s="1105"/>
      <c r="RJ200" s="1105"/>
      <c r="RK200" s="1105"/>
      <c r="RL200" s="1105"/>
      <c r="RM200" s="1105"/>
      <c r="RN200" s="1105"/>
      <c r="RO200" s="1105"/>
      <c r="RP200" s="1105"/>
      <c r="RQ200" s="1105"/>
      <c r="RR200" s="1105"/>
      <c r="RS200" s="1105"/>
    </row>
    <row r="201" spans="2:487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  <c r="DW201" s="30"/>
      <c r="DX201" s="592"/>
      <c r="DY201" s="959"/>
      <c r="DZ201" s="979"/>
      <c r="EA201" s="42"/>
      <c r="EB201" s="42"/>
      <c r="EC201" s="86">
        <f t="shared" si="81"/>
        <v>0</v>
      </c>
      <c r="ED201" s="86">
        <f t="shared" si="81"/>
        <v>0</v>
      </c>
      <c r="EE201" s="86">
        <f t="shared" si="81"/>
        <v>0</v>
      </c>
      <c r="EF201" s="86">
        <f t="shared" si="81"/>
        <v>0</v>
      </c>
      <c r="EG201" s="86">
        <f t="shared" si="81"/>
        <v>0</v>
      </c>
      <c r="EH201" s="86">
        <f t="shared" si="81"/>
        <v>0</v>
      </c>
      <c r="EI201" s="86">
        <f t="shared" si="81"/>
        <v>0</v>
      </c>
      <c r="EJ201" s="86">
        <f t="shared" si="81"/>
        <v>0</v>
      </c>
      <c r="EK201"/>
      <c r="EL201"/>
      <c r="EM201"/>
      <c r="EN201"/>
      <c r="FJ201" s="1073"/>
      <c r="FK201" s="1073"/>
      <c r="FL201" s="1074"/>
      <c r="RD201" s="1105"/>
      <c r="RE201" s="1105"/>
      <c r="RF201" s="1105"/>
      <c r="RG201" s="1105">
        <f t="shared" ref="RG201:RS216" si="82">RG16-RG110</f>
        <v>0</v>
      </c>
      <c r="RH201" s="1105">
        <f t="shared" si="82"/>
        <v>0</v>
      </c>
      <c r="RI201" s="1105">
        <f t="shared" si="82"/>
        <v>0</v>
      </c>
      <c r="RJ201" s="1105">
        <f t="shared" si="82"/>
        <v>0</v>
      </c>
      <c r="RK201" s="1105">
        <f t="shared" si="82"/>
        <v>0</v>
      </c>
      <c r="RL201" s="1105">
        <f t="shared" si="82"/>
        <v>0</v>
      </c>
      <c r="RM201" s="1105">
        <f t="shared" si="82"/>
        <v>0</v>
      </c>
      <c r="RN201" s="1105">
        <f t="shared" si="82"/>
        <v>0</v>
      </c>
      <c r="RO201" s="1105">
        <f t="shared" si="82"/>
        <v>0</v>
      </c>
      <c r="RP201" s="1105">
        <f t="shared" si="82"/>
        <v>0</v>
      </c>
      <c r="RQ201" s="1105">
        <f t="shared" si="82"/>
        <v>0</v>
      </c>
      <c r="RR201" s="1105">
        <f t="shared" si="82"/>
        <v>0</v>
      </c>
      <c r="RS201" s="1105">
        <f t="shared" si="82"/>
        <v>0</v>
      </c>
    </row>
    <row r="202" spans="2:487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DW202" s="30"/>
      <c r="DX202" s="1165"/>
      <c r="DY202" s="959"/>
      <c r="DZ202" s="979"/>
      <c r="EA202" s="1057"/>
      <c r="EB202" s="42"/>
      <c r="EC202" s="909">
        <f t="shared" ref="EC202:EJ211" si="83">+EC66-EC135</f>
        <v>0</v>
      </c>
      <c r="ED202" s="909">
        <f t="shared" si="83"/>
        <v>0</v>
      </c>
      <c r="EE202" s="909">
        <f t="shared" si="83"/>
        <v>0</v>
      </c>
      <c r="EF202" s="909">
        <f t="shared" si="83"/>
        <v>0</v>
      </c>
      <c r="EG202" s="909">
        <f t="shared" si="83"/>
        <v>0</v>
      </c>
      <c r="EH202" s="909">
        <f t="shared" si="83"/>
        <v>0</v>
      </c>
      <c r="EI202" s="909">
        <f t="shared" si="83"/>
        <v>0</v>
      </c>
      <c r="EJ202" s="909">
        <f t="shared" si="83"/>
        <v>0</v>
      </c>
      <c r="EK202"/>
      <c r="EL202"/>
      <c r="EM202"/>
      <c r="EN202"/>
      <c r="FJ202" s="1073"/>
      <c r="FK202" s="1073"/>
      <c r="FL202" s="1074"/>
      <c r="RD202" s="1105"/>
      <c r="RE202" s="1105"/>
      <c r="RF202" s="1105"/>
      <c r="RG202" s="1105">
        <f t="shared" si="82"/>
        <v>0</v>
      </c>
      <c r="RH202" s="1105">
        <f t="shared" si="82"/>
        <v>0</v>
      </c>
      <c r="RI202" s="1105">
        <f t="shared" si="82"/>
        <v>0</v>
      </c>
      <c r="RJ202" s="1105">
        <f t="shared" si="82"/>
        <v>0</v>
      </c>
      <c r="RK202" s="1105">
        <f t="shared" si="82"/>
        <v>0</v>
      </c>
      <c r="RL202" s="1105">
        <f t="shared" si="82"/>
        <v>0</v>
      </c>
      <c r="RM202" s="1105">
        <f t="shared" si="82"/>
        <v>0</v>
      </c>
      <c r="RN202" s="1105">
        <f t="shared" si="82"/>
        <v>0</v>
      </c>
      <c r="RO202" s="1105">
        <f t="shared" si="82"/>
        <v>0</v>
      </c>
      <c r="RP202" s="1105">
        <f t="shared" si="82"/>
        <v>0</v>
      </c>
      <c r="RQ202" s="1105">
        <f t="shared" si="82"/>
        <v>0</v>
      </c>
      <c r="RR202" s="1105">
        <f t="shared" si="82"/>
        <v>0</v>
      </c>
      <c r="RS202" s="1105">
        <f t="shared" si="82"/>
        <v>0</v>
      </c>
    </row>
    <row r="203" spans="2:487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  <c r="DW203" s="30"/>
      <c r="DX203" s="1165"/>
      <c r="DY203" s="959"/>
      <c r="DZ203" s="979"/>
      <c r="EA203" s="1057"/>
      <c r="EB203" s="42"/>
      <c r="EC203" s="909">
        <f t="shared" si="83"/>
        <v>0</v>
      </c>
      <c r="ED203" s="909">
        <f t="shared" si="83"/>
        <v>0</v>
      </c>
      <c r="EE203" s="909">
        <f t="shared" si="83"/>
        <v>0</v>
      </c>
      <c r="EF203" s="909">
        <f t="shared" si="83"/>
        <v>0</v>
      </c>
      <c r="EG203" s="909">
        <f t="shared" si="83"/>
        <v>0</v>
      </c>
      <c r="EH203" s="909">
        <f t="shared" si="83"/>
        <v>0</v>
      </c>
      <c r="EI203" s="909">
        <f t="shared" si="83"/>
        <v>0</v>
      </c>
      <c r="EJ203" s="909">
        <f t="shared" si="83"/>
        <v>0</v>
      </c>
      <c r="EK203"/>
      <c r="EL203"/>
      <c r="EM203"/>
      <c r="EN203"/>
      <c r="FJ203" s="1073"/>
      <c r="FK203" s="1073"/>
      <c r="FL203" s="1074"/>
      <c r="RD203" s="1105"/>
      <c r="RE203" s="1105"/>
      <c r="RF203" s="1105"/>
      <c r="RG203" s="1105">
        <f t="shared" si="82"/>
        <v>0</v>
      </c>
      <c r="RH203" s="1105">
        <f t="shared" si="82"/>
        <v>0</v>
      </c>
      <c r="RI203" s="1105">
        <f t="shared" si="82"/>
        <v>0</v>
      </c>
      <c r="RJ203" s="1105">
        <f t="shared" si="82"/>
        <v>0</v>
      </c>
      <c r="RK203" s="1105">
        <f t="shared" si="82"/>
        <v>0</v>
      </c>
      <c r="RL203" s="1105">
        <f t="shared" si="82"/>
        <v>0</v>
      </c>
      <c r="RM203" s="1105">
        <f t="shared" si="82"/>
        <v>0</v>
      </c>
      <c r="RN203" s="1105">
        <f t="shared" si="82"/>
        <v>0</v>
      </c>
      <c r="RO203" s="1105">
        <f t="shared" si="82"/>
        <v>0</v>
      </c>
      <c r="RP203" s="1105">
        <f t="shared" si="82"/>
        <v>0</v>
      </c>
      <c r="RQ203" s="1105">
        <f t="shared" si="82"/>
        <v>0</v>
      </c>
      <c r="RR203" s="1105">
        <f t="shared" si="82"/>
        <v>0</v>
      </c>
      <c r="RS203" s="1105">
        <f t="shared" si="82"/>
        <v>0</v>
      </c>
    </row>
    <row r="204" spans="2:487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  <c r="DW204" s="30"/>
      <c r="DX204" s="592"/>
      <c r="DY204" s="959"/>
      <c r="DZ204" s="979"/>
      <c r="EA204" s="42"/>
      <c r="EB204" s="42"/>
      <c r="EC204" s="86">
        <f t="shared" si="83"/>
        <v>0</v>
      </c>
      <c r="ED204" s="86">
        <f t="shared" si="83"/>
        <v>0</v>
      </c>
      <c r="EE204" s="86">
        <f t="shared" si="83"/>
        <v>0</v>
      </c>
      <c r="EF204" s="86">
        <f t="shared" si="83"/>
        <v>0</v>
      </c>
      <c r="EG204" s="86">
        <f t="shared" si="83"/>
        <v>0</v>
      </c>
      <c r="EH204" s="86">
        <f t="shared" si="83"/>
        <v>0</v>
      </c>
      <c r="EI204" s="86">
        <f t="shared" si="83"/>
        <v>0</v>
      </c>
      <c r="EJ204" s="86">
        <f t="shared" si="83"/>
        <v>0</v>
      </c>
      <c r="EK204"/>
      <c r="EL204"/>
      <c r="EM204"/>
      <c r="EN204"/>
      <c r="FJ204" s="1073"/>
      <c r="FK204" s="1073"/>
      <c r="FL204" s="1074"/>
      <c r="RD204" s="1105"/>
      <c r="RE204" s="1105"/>
      <c r="RF204" s="1105"/>
      <c r="RG204" s="1105">
        <f t="shared" si="82"/>
        <v>0</v>
      </c>
      <c r="RH204" s="1105">
        <f t="shared" si="82"/>
        <v>0</v>
      </c>
      <c r="RI204" s="1105">
        <f t="shared" si="82"/>
        <v>0</v>
      </c>
      <c r="RJ204" s="1105">
        <f t="shared" si="82"/>
        <v>0</v>
      </c>
      <c r="RK204" s="1105">
        <f t="shared" si="82"/>
        <v>0</v>
      </c>
      <c r="RL204" s="1105">
        <f t="shared" si="82"/>
        <v>0</v>
      </c>
      <c r="RM204" s="1105">
        <f t="shared" si="82"/>
        <v>0</v>
      </c>
      <c r="RN204" s="1105">
        <f t="shared" si="82"/>
        <v>0</v>
      </c>
      <c r="RO204" s="1105">
        <f t="shared" si="82"/>
        <v>0</v>
      </c>
      <c r="RP204" s="1105">
        <f t="shared" si="82"/>
        <v>0</v>
      </c>
      <c r="RQ204" s="1105">
        <f t="shared" si="82"/>
        <v>0</v>
      </c>
      <c r="RR204" s="1105">
        <f t="shared" si="82"/>
        <v>0</v>
      </c>
      <c r="RS204" s="1105">
        <f t="shared" si="82"/>
        <v>0</v>
      </c>
    </row>
    <row r="205" spans="2:487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  <c r="DW205" s="30"/>
      <c r="DX205" s="1165"/>
      <c r="DY205" s="959"/>
      <c r="DZ205" s="979"/>
      <c r="EA205" s="1057"/>
      <c r="EB205" s="42"/>
      <c r="EC205" s="909">
        <f t="shared" si="83"/>
        <v>0</v>
      </c>
      <c r="ED205" s="909">
        <f t="shared" si="83"/>
        <v>0</v>
      </c>
      <c r="EE205" s="909">
        <f t="shared" si="83"/>
        <v>0</v>
      </c>
      <c r="EF205" s="909">
        <f t="shared" si="83"/>
        <v>0</v>
      </c>
      <c r="EG205" s="909">
        <f t="shared" si="83"/>
        <v>0</v>
      </c>
      <c r="EH205" s="909">
        <f t="shared" si="83"/>
        <v>0</v>
      </c>
      <c r="EI205" s="909">
        <f t="shared" si="83"/>
        <v>0</v>
      </c>
      <c r="EJ205" s="909">
        <f t="shared" si="83"/>
        <v>0</v>
      </c>
      <c r="EK205"/>
      <c r="EL205"/>
      <c r="EM205"/>
      <c r="EN205"/>
      <c r="FJ205" s="1073"/>
      <c r="FK205" s="1073"/>
      <c r="FL205" s="1074"/>
      <c r="RD205" s="1105"/>
      <c r="RE205" s="1105"/>
      <c r="RF205" s="1105"/>
      <c r="RG205" s="1105">
        <f t="shared" si="82"/>
        <v>0</v>
      </c>
      <c r="RH205" s="1105">
        <f t="shared" si="82"/>
        <v>0</v>
      </c>
      <c r="RI205" s="1105">
        <f t="shared" si="82"/>
        <v>0</v>
      </c>
      <c r="RJ205" s="1105">
        <f t="shared" si="82"/>
        <v>0</v>
      </c>
      <c r="RK205" s="1105">
        <f t="shared" si="82"/>
        <v>0</v>
      </c>
      <c r="RL205" s="1105">
        <f t="shared" si="82"/>
        <v>0</v>
      </c>
      <c r="RM205" s="1105">
        <f t="shared" si="82"/>
        <v>0</v>
      </c>
      <c r="RN205" s="1105">
        <f t="shared" si="82"/>
        <v>0</v>
      </c>
      <c r="RO205" s="1105">
        <f t="shared" si="82"/>
        <v>0</v>
      </c>
      <c r="RP205" s="1105">
        <f t="shared" si="82"/>
        <v>0</v>
      </c>
      <c r="RQ205" s="1105">
        <f t="shared" si="82"/>
        <v>0</v>
      </c>
      <c r="RR205" s="1105">
        <f t="shared" si="82"/>
        <v>0</v>
      </c>
      <c r="RS205" s="1105">
        <f t="shared" si="82"/>
        <v>0</v>
      </c>
    </row>
    <row r="206" spans="2:487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  <c r="DW206" s="30"/>
      <c r="DX206" s="1165"/>
      <c r="DY206" s="959"/>
      <c r="DZ206" s="979"/>
      <c r="EA206" s="1057"/>
      <c r="EB206" s="42"/>
      <c r="EC206" s="909">
        <f t="shared" si="83"/>
        <v>0</v>
      </c>
      <c r="ED206" s="909">
        <f t="shared" si="83"/>
        <v>0</v>
      </c>
      <c r="EE206" s="909">
        <f t="shared" si="83"/>
        <v>0</v>
      </c>
      <c r="EF206" s="909">
        <f t="shared" si="83"/>
        <v>0</v>
      </c>
      <c r="EG206" s="909">
        <f t="shared" si="83"/>
        <v>0</v>
      </c>
      <c r="EH206" s="909">
        <f t="shared" si="83"/>
        <v>0</v>
      </c>
      <c r="EI206" s="909">
        <f t="shared" si="83"/>
        <v>0</v>
      </c>
      <c r="EJ206" s="909">
        <f t="shared" si="83"/>
        <v>0</v>
      </c>
      <c r="EK206"/>
      <c r="EL206"/>
      <c r="EM206"/>
      <c r="EN206"/>
      <c r="FJ206" s="1073"/>
      <c r="FK206" s="1073"/>
      <c r="FL206" s="1074"/>
      <c r="RD206" s="1105"/>
      <c r="RE206" s="1105"/>
      <c r="RF206" s="1105"/>
      <c r="RG206" s="1105">
        <f t="shared" si="82"/>
        <v>0</v>
      </c>
      <c r="RH206" s="1105">
        <f t="shared" si="82"/>
        <v>0</v>
      </c>
      <c r="RI206" s="1105">
        <f t="shared" si="82"/>
        <v>0</v>
      </c>
      <c r="RJ206" s="1105">
        <f t="shared" si="82"/>
        <v>0</v>
      </c>
      <c r="RK206" s="1105">
        <f t="shared" si="82"/>
        <v>0</v>
      </c>
      <c r="RL206" s="1105">
        <f t="shared" si="82"/>
        <v>0</v>
      </c>
      <c r="RM206" s="1105">
        <f t="shared" si="82"/>
        <v>0</v>
      </c>
      <c r="RN206" s="1105">
        <f t="shared" si="82"/>
        <v>0</v>
      </c>
      <c r="RO206" s="1105">
        <f t="shared" si="82"/>
        <v>0</v>
      </c>
      <c r="RP206" s="1105">
        <f t="shared" si="82"/>
        <v>0</v>
      </c>
      <c r="RQ206" s="1105">
        <f t="shared" si="82"/>
        <v>0</v>
      </c>
      <c r="RR206" s="1105">
        <f t="shared" si="82"/>
        <v>0</v>
      </c>
      <c r="RS206" s="1105">
        <f t="shared" si="82"/>
        <v>0</v>
      </c>
    </row>
    <row r="207" spans="2:487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  <c r="DW207" s="30"/>
      <c r="DX207" s="1165"/>
      <c r="DY207" s="1089"/>
      <c r="DZ207" s="979"/>
      <c r="EA207" s="1057"/>
      <c r="EB207" s="1057"/>
      <c r="EC207" s="909">
        <f t="shared" si="83"/>
        <v>0</v>
      </c>
      <c r="ED207" s="909">
        <f t="shared" si="83"/>
        <v>0</v>
      </c>
      <c r="EE207" s="909">
        <f t="shared" si="83"/>
        <v>0</v>
      </c>
      <c r="EF207" s="909">
        <f t="shared" si="83"/>
        <v>0</v>
      </c>
      <c r="EG207" s="909">
        <f t="shared" si="83"/>
        <v>0</v>
      </c>
      <c r="EH207" s="909">
        <f t="shared" si="83"/>
        <v>0</v>
      </c>
      <c r="EI207" s="909">
        <f t="shared" si="83"/>
        <v>0</v>
      </c>
      <c r="EJ207" s="909">
        <f t="shared" si="83"/>
        <v>0</v>
      </c>
      <c r="EK207"/>
      <c r="EL207"/>
      <c r="EM207"/>
      <c r="EN207"/>
      <c r="FJ207" s="1073"/>
      <c r="FK207" s="1073"/>
      <c r="FL207" s="1074"/>
      <c r="RD207" s="1105"/>
      <c r="RE207" s="1105"/>
      <c r="RF207" s="1105"/>
      <c r="RG207" s="1105">
        <f t="shared" si="82"/>
        <v>0</v>
      </c>
      <c r="RH207" s="1105">
        <f t="shared" si="82"/>
        <v>0</v>
      </c>
      <c r="RI207" s="1105">
        <f t="shared" si="82"/>
        <v>0</v>
      </c>
      <c r="RJ207" s="1105">
        <f t="shared" si="82"/>
        <v>0</v>
      </c>
      <c r="RK207" s="1105">
        <f t="shared" si="82"/>
        <v>0</v>
      </c>
      <c r="RL207" s="1105">
        <f t="shared" si="82"/>
        <v>0</v>
      </c>
      <c r="RM207" s="1105">
        <f t="shared" si="82"/>
        <v>0</v>
      </c>
      <c r="RN207" s="1105">
        <f t="shared" si="82"/>
        <v>0</v>
      </c>
      <c r="RO207" s="1105">
        <f t="shared" si="82"/>
        <v>0</v>
      </c>
      <c r="RP207" s="1105">
        <f t="shared" si="82"/>
        <v>0</v>
      </c>
      <c r="RQ207" s="1105">
        <f t="shared" si="82"/>
        <v>0</v>
      </c>
      <c r="RR207" s="1105">
        <f t="shared" si="82"/>
        <v>0</v>
      </c>
      <c r="RS207" s="1105">
        <f t="shared" si="82"/>
        <v>0</v>
      </c>
    </row>
    <row r="208" spans="2:487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  <c r="DW208" s="30"/>
      <c r="DX208" s="842"/>
      <c r="DY208" s="1089"/>
      <c r="DZ208" s="979"/>
      <c r="EA208" s="1057"/>
      <c r="EB208" s="1057"/>
      <c r="EC208" s="909">
        <f t="shared" si="83"/>
        <v>0</v>
      </c>
      <c r="ED208" s="909">
        <f t="shared" si="83"/>
        <v>0</v>
      </c>
      <c r="EE208" s="909">
        <f t="shared" si="83"/>
        <v>0</v>
      </c>
      <c r="EF208" s="909">
        <f t="shared" si="83"/>
        <v>0</v>
      </c>
      <c r="EG208" s="909">
        <f t="shared" si="83"/>
        <v>0</v>
      </c>
      <c r="EH208" s="909">
        <f t="shared" si="83"/>
        <v>0</v>
      </c>
      <c r="EI208" s="909">
        <f t="shared" si="83"/>
        <v>0</v>
      </c>
      <c r="EJ208" s="909">
        <f t="shared" si="83"/>
        <v>0</v>
      </c>
      <c r="EK208"/>
      <c r="EL208"/>
      <c r="EM208"/>
      <c r="EN208"/>
      <c r="FJ208" s="1073"/>
      <c r="FK208" s="1073"/>
      <c r="FL208" s="1074"/>
      <c r="RD208" s="1105"/>
      <c r="RE208" s="1105"/>
      <c r="RF208" s="1105"/>
      <c r="RG208" s="1105">
        <f t="shared" si="82"/>
        <v>0</v>
      </c>
      <c r="RH208" s="1105">
        <f t="shared" si="82"/>
        <v>0</v>
      </c>
      <c r="RI208" s="1105">
        <f t="shared" si="82"/>
        <v>0</v>
      </c>
      <c r="RJ208" s="1105">
        <f t="shared" si="82"/>
        <v>0</v>
      </c>
      <c r="RK208" s="1105">
        <f t="shared" si="82"/>
        <v>0</v>
      </c>
      <c r="RL208" s="1105">
        <f t="shared" si="82"/>
        <v>0</v>
      </c>
      <c r="RM208" s="1105">
        <f t="shared" si="82"/>
        <v>0</v>
      </c>
      <c r="RN208" s="1105">
        <f t="shared" si="82"/>
        <v>0</v>
      </c>
      <c r="RO208" s="1105">
        <f t="shared" si="82"/>
        <v>0</v>
      </c>
      <c r="RP208" s="1105">
        <f t="shared" si="82"/>
        <v>0</v>
      </c>
      <c r="RQ208" s="1105">
        <f t="shared" si="82"/>
        <v>0</v>
      </c>
      <c r="RR208" s="1105">
        <f t="shared" si="82"/>
        <v>0</v>
      </c>
      <c r="RS208" s="1105">
        <f t="shared" si="82"/>
        <v>0</v>
      </c>
    </row>
    <row r="209" spans="2:487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  <c r="DW209" s="30"/>
      <c r="DX209" s="842"/>
      <c r="DY209" s="1092"/>
      <c r="DZ209" s="979"/>
      <c r="EA209" s="1057"/>
      <c r="EB209" s="1057"/>
      <c r="EC209" s="909">
        <f t="shared" si="83"/>
        <v>0</v>
      </c>
      <c r="ED209" s="909">
        <f t="shared" si="83"/>
        <v>0</v>
      </c>
      <c r="EE209" s="909">
        <f t="shared" si="83"/>
        <v>0</v>
      </c>
      <c r="EF209" s="909">
        <f t="shared" si="83"/>
        <v>0</v>
      </c>
      <c r="EG209" s="909">
        <f t="shared" si="83"/>
        <v>0</v>
      </c>
      <c r="EH209" s="909">
        <f t="shared" si="83"/>
        <v>0</v>
      </c>
      <c r="EI209" s="909">
        <f t="shared" si="83"/>
        <v>0</v>
      </c>
      <c r="EJ209" s="909">
        <f t="shared" si="83"/>
        <v>0</v>
      </c>
      <c r="EK209"/>
      <c r="EL209"/>
      <c r="EM209"/>
      <c r="EN209"/>
      <c r="FJ209" s="1073"/>
      <c r="FK209" s="1073"/>
      <c r="FL209" s="1074"/>
      <c r="RD209" s="1104"/>
      <c r="RE209" s="1104"/>
      <c r="RF209" s="1104"/>
      <c r="RG209" s="1104">
        <f t="shared" si="82"/>
        <v>0</v>
      </c>
      <c r="RH209" s="1104">
        <f t="shared" si="82"/>
        <v>0</v>
      </c>
      <c r="RI209" s="1104">
        <f t="shared" si="82"/>
        <v>0</v>
      </c>
      <c r="RJ209" s="1104">
        <f t="shared" si="82"/>
        <v>0</v>
      </c>
      <c r="RK209" s="1104">
        <f t="shared" si="82"/>
        <v>0</v>
      </c>
      <c r="RL209" s="1104">
        <f t="shared" si="82"/>
        <v>0</v>
      </c>
      <c r="RM209" s="1104">
        <f t="shared" si="82"/>
        <v>0</v>
      </c>
      <c r="RN209" s="1104">
        <f t="shared" si="82"/>
        <v>0</v>
      </c>
      <c r="RO209" s="1104">
        <f t="shared" si="82"/>
        <v>0</v>
      </c>
      <c r="RP209" s="1104">
        <f t="shared" si="82"/>
        <v>0</v>
      </c>
      <c r="RQ209" s="1104">
        <f t="shared" si="82"/>
        <v>0</v>
      </c>
      <c r="RR209" s="1104">
        <f t="shared" si="82"/>
        <v>0</v>
      </c>
      <c r="RS209" s="1104">
        <f t="shared" si="82"/>
        <v>0</v>
      </c>
    </row>
    <row r="210" spans="2:487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  <c r="DW210" s="30"/>
      <c r="DX210" s="842"/>
      <c r="DY210" s="1092"/>
      <c r="DZ210" s="979"/>
      <c r="EA210" s="1057"/>
      <c r="EB210" s="1057"/>
      <c r="EC210" s="909">
        <f t="shared" si="83"/>
        <v>0</v>
      </c>
      <c r="ED210" s="909">
        <f t="shared" si="83"/>
        <v>0</v>
      </c>
      <c r="EE210" s="909">
        <f t="shared" si="83"/>
        <v>0</v>
      </c>
      <c r="EF210" s="909">
        <f t="shared" si="83"/>
        <v>0</v>
      </c>
      <c r="EG210" s="909">
        <f t="shared" si="83"/>
        <v>0</v>
      </c>
      <c r="EH210" s="909">
        <f t="shared" si="83"/>
        <v>0</v>
      </c>
      <c r="EI210" s="909">
        <f t="shared" si="83"/>
        <v>0</v>
      </c>
      <c r="EJ210" s="909">
        <f t="shared" si="83"/>
        <v>0</v>
      </c>
      <c r="EK210"/>
      <c r="EL210"/>
      <c r="EM210"/>
      <c r="EN210"/>
      <c r="FJ210" s="1073"/>
      <c r="FK210" s="1073"/>
      <c r="FL210" s="1074"/>
      <c r="RD210" s="1104"/>
      <c r="RE210" s="1104"/>
      <c r="RF210" s="1104"/>
      <c r="RG210" s="1104">
        <f t="shared" si="82"/>
        <v>0</v>
      </c>
      <c r="RH210" s="1104">
        <f t="shared" si="82"/>
        <v>0</v>
      </c>
      <c r="RI210" s="1104">
        <f t="shared" si="82"/>
        <v>0</v>
      </c>
      <c r="RJ210" s="1104">
        <f t="shared" si="82"/>
        <v>0</v>
      </c>
      <c r="RK210" s="1104">
        <f t="shared" si="82"/>
        <v>0</v>
      </c>
      <c r="RL210" s="1104">
        <f t="shared" si="82"/>
        <v>0</v>
      </c>
      <c r="RM210" s="1104">
        <f t="shared" si="82"/>
        <v>0</v>
      </c>
      <c r="RN210" s="1104">
        <f t="shared" si="82"/>
        <v>0</v>
      </c>
      <c r="RO210" s="1104">
        <f t="shared" si="82"/>
        <v>0</v>
      </c>
      <c r="RP210" s="1104">
        <f t="shared" si="82"/>
        <v>0</v>
      </c>
      <c r="RQ210" s="1104">
        <f t="shared" si="82"/>
        <v>0</v>
      </c>
      <c r="RR210" s="1104">
        <f t="shared" si="82"/>
        <v>0</v>
      </c>
      <c r="RS210" s="1104">
        <f t="shared" si="82"/>
        <v>0</v>
      </c>
    </row>
    <row r="211" spans="2:487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  <c r="DW211" s="30"/>
      <c r="DX211" s="942"/>
      <c r="DY211" s="1089"/>
      <c r="DZ211" s="1216"/>
      <c r="EA211" s="1216"/>
      <c r="EB211" s="1216"/>
      <c r="EC211" s="1102">
        <f t="shared" si="83"/>
        <v>0</v>
      </c>
      <c r="ED211" s="1102">
        <f t="shared" si="83"/>
        <v>0</v>
      </c>
      <c r="EE211" s="1102">
        <f t="shared" si="83"/>
        <v>0</v>
      </c>
      <c r="EF211" s="1102">
        <f t="shared" si="83"/>
        <v>0</v>
      </c>
      <c r="EG211" s="1102">
        <f t="shared" si="83"/>
        <v>0</v>
      </c>
      <c r="EH211" s="1102">
        <f t="shared" si="83"/>
        <v>0</v>
      </c>
      <c r="EI211" s="1102">
        <f t="shared" si="83"/>
        <v>0</v>
      </c>
      <c r="EJ211" s="1102">
        <f t="shared" si="83"/>
        <v>0</v>
      </c>
      <c r="EK211"/>
      <c r="EL211"/>
      <c r="EM211"/>
      <c r="EN211"/>
      <c r="FJ211" s="1073"/>
      <c r="FK211" s="1073"/>
      <c r="FL211" s="1074"/>
      <c r="RD211" s="1104"/>
      <c r="RE211" s="1104"/>
      <c r="RF211" s="1104"/>
      <c r="RG211" s="1104">
        <f t="shared" si="82"/>
        <v>0</v>
      </c>
      <c r="RH211" s="1104">
        <f t="shared" si="82"/>
        <v>0</v>
      </c>
      <c r="RI211" s="1104">
        <f t="shared" si="82"/>
        <v>0</v>
      </c>
      <c r="RJ211" s="1104">
        <f t="shared" si="82"/>
        <v>0</v>
      </c>
      <c r="RK211" s="1104">
        <f t="shared" si="82"/>
        <v>0</v>
      </c>
      <c r="RL211" s="1104">
        <f t="shared" si="82"/>
        <v>0</v>
      </c>
      <c r="RM211" s="1104">
        <f t="shared" si="82"/>
        <v>0</v>
      </c>
      <c r="RN211" s="1104">
        <f t="shared" si="82"/>
        <v>0</v>
      </c>
      <c r="RO211" s="1104">
        <f t="shared" si="82"/>
        <v>0</v>
      </c>
      <c r="RP211" s="1104">
        <f t="shared" si="82"/>
        <v>0</v>
      </c>
      <c r="RQ211" s="1104">
        <f t="shared" si="82"/>
        <v>0</v>
      </c>
      <c r="RR211" s="1104">
        <f t="shared" si="82"/>
        <v>0</v>
      </c>
      <c r="RS211" s="1104">
        <f t="shared" si="82"/>
        <v>0</v>
      </c>
    </row>
    <row r="212" spans="2:487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  <c r="DW212" s="99"/>
      <c r="DX212" s="99"/>
      <c r="DY212" s="99"/>
      <c r="DZ212" s="99"/>
      <c r="EA212" s="99"/>
      <c r="EB212" s="99"/>
      <c r="EC212"/>
      <c r="ED212"/>
      <c r="EE212"/>
      <c r="EF212"/>
      <c r="EG212"/>
      <c r="EH212"/>
      <c r="EI212"/>
      <c r="EJ212"/>
      <c r="EK212"/>
      <c r="EL212"/>
      <c r="EM212"/>
      <c r="EN212"/>
      <c r="FJ212" s="1073"/>
      <c r="FK212" s="1073"/>
      <c r="FL212" s="1074"/>
      <c r="RD212" s="1104"/>
      <c r="RE212" s="1104"/>
      <c r="RF212" s="1104"/>
      <c r="RG212" s="1104">
        <f t="shared" si="82"/>
        <v>0</v>
      </c>
      <c r="RH212" s="1104">
        <f t="shared" si="82"/>
        <v>0</v>
      </c>
      <c r="RI212" s="1104">
        <f t="shared" si="82"/>
        <v>0</v>
      </c>
      <c r="RJ212" s="1104">
        <f t="shared" si="82"/>
        <v>0</v>
      </c>
      <c r="RK212" s="1104">
        <f t="shared" si="82"/>
        <v>0</v>
      </c>
      <c r="RL212" s="1104">
        <f t="shared" si="82"/>
        <v>0</v>
      </c>
      <c r="RM212" s="1104">
        <f t="shared" si="82"/>
        <v>0</v>
      </c>
      <c r="RN212" s="1104">
        <f t="shared" si="82"/>
        <v>0</v>
      </c>
      <c r="RO212" s="1104">
        <f t="shared" si="82"/>
        <v>0</v>
      </c>
      <c r="RP212" s="1104">
        <f t="shared" si="82"/>
        <v>0</v>
      </c>
      <c r="RQ212" s="1104">
        <f t="shared" si="82"/>
        <v>0</v>
      </c>
      <c r="RR212" s="1104">
        <f t="shared" si="82"/>
        <v>0</v>
      </c>
      <c r="RS212" s="1104">
        <f t="shared" si="82"/>
        <v>0</v>
      </c>
    </row>
    <row r="213" spans="2:487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  <c r="DW213" s="99"/>
      <c r="DX213" s="99"/>
      <c r="DY213" s="99"/>
      <c r="DZ213" s="99"/>
      <c r="EA213" s="99"/>
      <c r="EB213" s="99"/>
      <c r="EC213"/>
      <c r="ED213"/>
      <c r="EE213"/>
      <c r="EF213"/>
      <c r="EG213"/>
      <c r="EH213"/>
      <c r="EI213"/>
      <c r="EJ213"/>
      <c r="EK213"/>
      <c r="EL213"/>
      <c r="EM213"/>
      <c r="EN213"/>
      <c r="FJ213" s="1073"/>
      <c r="FK213" s="1073"/>
      <c r="FL213" s="1074"/>
      <c r="RD213" s="1104"/>
      <c r="RE213" s="1104"/>
      <c r="RF213" s="1104"/>
      <c r="RG213" s="1104">
        <f t="shared" si="82"/>
        <v>0</v>
      </c>
      <c r="RH213" s="1104">
        <f t="shared" si="82"/>
        <v>0</v>
      </c>
      <c r="RI213" s="1104">
        <f t="shared" si="82"/>
        <v>0</v>
      </c>
      <c r="RJ213" s="1104">
        <f t="shared" si="82"/>
        <v>0</v>
      </c>
      <c r="RK213" s="1104">
        <f t="shared" si="82"/>
        <v>0</v>
      </c>
      <c r="RL213" s="1104">
        <f t="shared" si="82"/>
        <v>0</v>
      </c>
      <c r="RM213" s="1104">
        <f t="shared" si="82"/>
        <v>0</v>
      </c>
      <c r="RN213" s="1104">
        <f t="shared" si="82"/>
        <v>0</v>
      </c>
      <c r="RO213" s="1104">
        <f t="shared" si="82"/>
        <v>0</v>
      </c>
      <c r="RP213" s="1104">
        <f t="shared" si="82"/>
        <v>0</v>
      </c>
      <c r="RQ213" s="1104">
        <f t="shared" si="82"/>
        <v>0</v>
      </c>
      <c r="RR213" s="1104">
        <f t="shared" si="82"/>
        <v>0</v>
      </c>
      <c r="RS213" s="1104">
        <f t="shared" si="82"/>
        <v>0</v>
      </c>
    </row>
    <row r="214" spans="2:487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  <c r="DW214" s="99"/>
      <c r="DX214" s="99"/>
      <c r="DY214" s="99"/>
      <c r="DZ214" s="99"/>
      <c r="EA214" s="99"/>
      <c r="EB214" s="99"/>
      <c r="EC214"/>
      <c r="ED214"/>
      <c r="EE214"/>
      <c r="EF214"/>
      <c r="EG214"/>
      <c r="EH214"/>
      <c r="EI214"/>
      <c r="EJ214"/>
      <c r="EK214"/>
      <c r="EL214"/>
      <c r="EM214"/>
      <c r="EN214"/>
      <c r="FJ214" s="1073"/>
      <c r="FK214" s="1073"/>
      <c r="FL214" s="1074"/>
      <c r="RD214" s="1104"/>
      <c r="RE214" s="1104"/>
      <c r="RF214" s="1104"/>
      <c r="RG214" s="1104">
        <f t="shared" si="82"/>
        <v>0</v>
      </c>
      <c r="RH214" s="1104">
        <f t="shared" si="82"/>
        <v>0</v>
      </c>
      <c r="RI214" s="1104">
        <f t="shared" si="82"/>
        <v>0</v>
      </c>
      <c r="RJ214" s="1104">
        <f t="shared" si="82"/>
        <v>0</v>
      </c>
      <c r="RK214" s="1104">
        <f t="shared" si="82"/>
        <v>0</v>
      </c>
      <c r="RL214" s="1104">
        <f t="shared" si="82"/>
        <v>0</v>
      </c>
      <c r="RM214" s="1104">
        <f t="shared" si="82"/>
        <v>0</v>
      </c>
      <c r="RN214" s="1104">
        <f t="shared" si="82"/>
        <v>0</v>
      </c>
      <c r="RO214" s="1104">
        <f t="shared" si="82"/>
        <v>0</v>
      </c>
      <c r="RP214" s="1104">
        <f t="shared" si="82"/>
        <v>0</v>
      </c>
      <c r="RQ214" s="1104">
        <f t="shared" si="82"/>
        <v>0</v>
      </c>
      <c r="RR214" s="1104">
        <f t="shared" si="82"/>
        <v>0</v>
      </c>
      <c r="RS214" s="1104">
        <f t="shared" si="82"/>
        <v>0</v>
      </c>
    </row>
    <row r="215" spans="2:487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FJ215" s="1073"/>
      <c r="FK215" s="1073"/>
      <c r="FL215" s="1074"/>
      <c r="RD215" s="1104"/>
      <c r="RE215" s="1104"/>
      <c r="RF215" s="1104"/>
      <c r="RG215" s="1104">
        <f t="shared" si="82"/>
        <v>0</v>
      </c>
      <c r="RH215" s="1104">
        <f t="shared" si="82"/>
        <v>0</v>
      </c>
      <c r="RI215" s="1104">
        <f t="shared" si="82"/>
        <v>0</v>
      </c>
      <c r="RJ215" s="1104">
        <f t="shared" si="82"/>
        <v>0</v>
      </c>
      <c r="RK215" s="1104">
        <f t="shared" si="82"/>
        <v>0</v>
      </c>
      <c r="RL215" s="1104">
        <f t="shared" si="82"/>
        <v>0</v>
      </c>
      <c r="RM215" s="1104">
        <f t="shared" si="82"/>
        <v>0</v>
      </c>
      <c r="RN215" s="1104">
        <f t="shared" si="82"/>
        <v>0</v>
      </c>
      <c r="RO215" s="1104">
        <f t="shared" si="82"/>
        <v>0</v>
      </c>
      <c r="RP215" s="1104">
        <f t="shared" si="82"/>
        <v>0</v>
      </c>
      <c r="RQ215" s="1104">
        <f t="shared" si="82"/>
        <v>0</v>
      </c>
      <c r="RR215" s="1104">
        <f t="shared" si="82"/>
        <v>0</v>
      </c>
      <c r="RS215" s="1104">
        <f t="shared" si="82"/>
        <v>0</v>
      </c>
    </row>
    <row r="216" spans="2:487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FJ216" s="1073"/>
      <c r="FK216" s="1073"/>
      <c r="FL216" s="1074"/>
      <c r="RD216" s="1104"/>
      <c r="RE216" s="1104"/>
      <c r="RF216" s="1104"/>
      <c r="RG216" s="1104">
        <f t="shared" si="82"/>
        <v>0</v>
      </c>
      <c r="RH216" s="1104">
        <f t="shared" si="82"/>
        <v>0</v>
      </c>
      <c r="RI216" s="1104">
        <f t="shared" si="82"/>
        <v>0</v>
      </c>
      <c r="RJ216" s="1104">
        <f t="shared" si="82"/>
        <v>0</v>
      </c>
      <c r="RK216" s="1104">
        <f t="shared" si="82"/>
        <v>0</v>
      </c>
      <c r="RL216" s="1104">
        <f t="shared" si="82"/>
        <v>0</v>
      </c>
      <c r="RM216" s="1104">
        <f t="shared" si="82"/>
        <v>0</v>
      </c>
      <c r="RN216" s="1104">
        <f t="shared" si="82"/>
        <v>0</v>
      </c>
      <c r="RO216" s="1104">
        <f t="shared" si="82"/>
        <v>0</v>
      </c>
      <c r="RP216" s="1104">
        <f t="shared" si="82"/>
        <v>0</v>
      </c>
      <c r="RQ216" s="1104">
        <f t="shared" si="82"/>
        <v>0</v>
      </c>
      <c r="RR216" s="1104">
        <f t="shared" si="82"/>
        <v>0</v>
      </c>
      <c r="RS216" s="1104">
        <f t="shared" si="82"/>
        <v>0</v>
      </c>
    </row>
    <row r="217" spans="2:487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FJ217" s="1073"/>
      <c r="FK217" s="1073"/>
      <c r="FL217" s="1074"/>
      <c r="RD217" s="1104"/>
      <c r="RE217" s="1104"/>
      <c r="RF217" s="1104"/>
      <c r="RG217" s="1104">
        <f t="shared" ref="RG217:RS232" si="84">RG32-RG126</f>
        <v>0</v>
      </c>
      <c r="RH217" s="1104">
        <f t="shared" si="84"/>
        <v>0</v>
      </c>
      <c r="RI217" s="1104">
        <f t="shared" si="84"/>
        <v>0</v>
      </c>
      <c r="RJ217" s="1104">
        <f t="shared" si="84"/>
        <v>0</v>
      </c>
      <c r="RK217" s="1104">
        <f t="shared" si="84"/>
        <v>0</v>
      </c>
      <c r="RL217" s="1104">
        <f t="shared" si="84"/>
        <v>0</v>
      </c>
      <c r="RM217" s="1104">
        <f t="shared" si="84"/>
        <v>0</v>
      </c>
      <c r="RN217" s="1104">
        <f t="shared" si="84"/>
        <v>0</v>
      </c>
      <c r="RO217" s="1104">
        <f t="shared" si="84"/>
        <v>0</v>
      </c>
      <c r="RP217" s="1104">
        <f t="shared" si="84"/>
        <v>0</v>
      </c>
      <c r="RQ217" s="1104">
        <f t="shared" si="84"/>
        <v>0</v>
      </c>
      <c r="RR217" s="1104">
        <f t="shared" si="84"/>
        <v>0</v>
      </c>
      <c r="RS217" s="1104">
        <f t="shared" si="84"/>
        <v>0</v>
      </c>
    </row>
    <row r="218" spans="2:487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FJ218" s="1073"/>
      <c r="FK218" s="1073"/>
      <c r="FL218" s="1074"/>
      <c r="RD218" s="1104"/>
      <c r="RE218" s="1104"/>
      <c r="RF218" s="1104"/>
      <c r="RG218" s="1104">
        <f t="shared" si="84"/>
        <v>0</v>
      </c>
      <c r="RH218" s="1104">
        <f t="shared" si="84"/>
        <v>0</v>
      </c>
      <c r="RI218" s="1104">
        <f t="shared" si="84"/>
        <v>0</v>
      </c>
      <c r="RJ218" s="1104">
        <f t="shared" si="84"/>
        <v>0</v>
      </c>
      <c r="RK218" s="1104">
        <f t="shared" si="84"/>
        <v>0</v>
      </c>
      <c r="RL218" s="1104">
        <f t="shared" si="84"/>
        <v>0</v>
      </c>
      <c r="RM218" s="1104">
        <f t="shared" si="84"/>
        <v>0</v>
      </c>
      <c r="RN218" s="1104">
        <f t="shared" si="84"/>
        <v>0</v>
      </c>
      <c r="RO218" s="1104">
        <f t="shared" si="84"/>
        <v>0</v>
      </c>
      <c r="RP218" s="1104">
        <f t="shared" si="84"/>
        <v>0</v>
      </c>
      <c r="RQ218" s="1104">
        <f t="shared" si="84"/>
        <v>0</v>
      </c>
      <c r="RR218" s="1104">
        <f t="shared" si="84"/>
        <v>0</v>
      </c>
      <c r="RS218" s="1104">
        <f t="shared" si="84"/>
        <v>0</v>
      </c>
    </row>
    <row r="219" spans="2:487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FJ219" s="1073"/>
      <c r="FK219" s="1073"/>
      <c r="FL219" s="1074"/>
      <c r="RD219" s="1104"/>
      <c r="RE219" s="1104"/>
      <c r="RF219" s="1104"/>
      <c r="RG219" s="1104">
        <f t="shared" si="84"/>
        <v>0</v>
      </c>
      <c r="RH219" s="1104">
        <f t="shared" si="84"/>
        <v>0</v>
      </c>
      <c r="RI219" s="1104">
        <f t="shared" si="84"/>
        <v>0</v>
      </c>
      <c r="RJ219" s="1104">
        <f t="shared" si="84"/>
        <v>0</v>
      </c>
      <c r="RK219" s="1104">
        <f t="shared" si="84"/>
        <v>0</v>
      </c>
      <c r="RL219" s="1104">
        <f t="shared" si="84"/>
        <v>0</v>
      </c>
      <c r="RM219" s="1104">
        <f t="shared" si="84"/>
        <v>0</v>
      </c>
      <c r="RN219" s="1104">
        <f t="shared" si="84"/>
        <v>0</v>
      </c>
      <c r="RO219" s="1104">
        <f t="shared" si="84"/>
        <v>0</v>
      </c>
      <c r="RP219" s="1104">
        <f t="shared" si="84"/>
        <v>0</v>
      </c>
      <c r="RQ219" s="1104">
        <f t="shared" si="84"/>
        <v>0</v>
      </c>
      <c r="RR219" s="1104">
        <f t="shared" si="84"/>
        <v>0</v>
      </c>
      <c r="RS219" s="1104">
        <f t="shared" si="84"/>
        <v>0</v>
      </c>
    </row>
    <row r="220" spans="2:487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FJ220" s="1073"/>
      <c r="FK220" s="1073"/>
      <c r="FL220" s="1074"/>
      <c r="RD220" s="1104"/>
      <c r="RE220" s="1104"/>
      <c r="RF220" s="1104"/>
      <c r="RG220" s="1104">
        <f t="shared" si="84"/>
        <v>0</v>
      </c>
      <c r="RH220" s="1104">
        <f t="shared" si="84"/>
        <v>0</v>
      </c>
      <c r="RI220" s="1104">
        <f t="shared" si="84"/>
        <v>0</v>
      </c>
      <c r="RJ220" s="1104">
        <f t="shared" si="84"/>
        <v>0</v>
      </c>
      <c r="RK220" s="1104">
        <f t="shared" si="84"/>
        <v>0</v>
      </c>
      <c r="RL220" s="1104">
        <f t="shared" si="84"/>
        <v>0</v>
      </c>
      <c r="RM220" s="1104">
        <f t="shared" si="84"/>
        <v>0</v>
      </c>
      <c r="RN220" s="1104">
        <f t="shared" si="84"/>
        <v>0</v>
      </c>
      <c r="RO220" s="1104">
        <f t="shared" si="84"/>
        <v>0</v>
      </c>
      <c r="RP220" s="1104">
        <f t="shared" si="84"/>
        <v>0</v>
      </c>
      <c r="RQ220" s="1104">
        <f t="shared" si="84"/>
        <v>0</v>
      </c>
      <c r="RR220" s="1104">
        <f t="shared" si="84"/>
        <v>0</v>
      </c>
      <c r="RS220" s="1104">
        <f t="shared" si="84"/>
        <v>0</v>
      </c>
    </row>
    <row r="221" spans="2:487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FJ221" s="1073"/>
      <c r="FK221" s="1073"/>
      <c r="FL221" s="1074"/>
      <c r="RD221" s="1104"/>
      <c r="RE221" s="1104"/>
      <c r="RF221" s="1104"/>
      <c r="RG221" s="1104">
        <f t="shared" si="84"/>
        <v>0</v>
      </c>
      <c r="RH221" s="1104">
        <f t="shared" si="84"/>
        <v>0</v>
      </c>
      <c r="RI221" s="1104">
        <f t="shared" si="84"/>
        <v>0</v>
      </c>
      <c r="RJ221" s="1104">
        <f t="shared" si="84"/>
        <v>0</v>
      </c>
      <c r="RK221" s="1104">
        <f t="shared" si="84"/>
        <v>0</v>
      </c>
      <c r="RL221" s="1104">
        <f t="shared" si="84"/>
        <v>0</v>
      </c>
      <c r="RM221" s="1104">
        <f t="shared" si="84"/>
        <v>0</v>
      </c>
      <c r="RN221" s="1104">
        <f t="shared" si="84"/>
        <v>0</v>
      </c>
      <c r="RO221" s="1104">
        <f t="shared" si="84"/>
        <v>0</v>
      </c>
      <c r="RP221" s="1104">
        <f t="shared" si="84"/>
        <v>0</v>
      </c>
      <c r="RQ221" s="1104">
        <f t="shared" si="84"/>
        <v>0</v>
      </c>
      <c r="RR221" s="1104">
        <f t="shared" si="84"/>
        <v>0</v>
      </c>
      <c r="RS221" s="1104">
        <f t="shared" si="84"/>
        <v>0</v>
      </c>
    </row>
    <row r="222" spans="2:487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FJ222" s="1073"/>
      <c r="FK222" s="1073"/>
      <c r="FL222" s="1074"/>
      <c r="RD222" s="1104"/>
      <c r="RE222" s="1104"/>
      <c r="RF222" s="1104"/>
      <c r="RG222" s="1104">
        <f t="shared" si="84"/>
        <v>0</v>
      </c>
      <c r="RH222" s="1104">
        <f t="shared" si="84"/>
        <v>0</v>
      </c>
      <c r="RI222" s="1104">
        <f t="shared" si="84"/>
        <v>0</v>
      </c>
      <c r="RJ222" s="1104">
        <f t="shared" si="84"/>
        <v>0</v>
      </c>
      <c r="RK222" s="1104">
        <f t="shared" si="84"/>
        <v>0</v>
      </c>
      <c r="RL222" s="1104">
        <f t="shared" si="84"/>
        <v>0</v>
      </c>
      <c r="RM222" s="1104">
        <f t="shared" si="84"/>
        <v>0</v>
      </c>
      <c r="RN222" s="1104">
        <f t="shared" si="84"/>
        <v>0</v>
      </c>
      <c r="RO222" s="1104">
        <f t="shared" si="84"/>
        <v>0</v>
      </c>
      <c r="RP222" s="1104">
        <f t="shared" si="84"/>
        <v>0</v>
      </c>
      <c r="RQ222" s="1104">
        <f t="shared" si="84"/>
        <v>0</v>
      </c>
      <c r="RR222" s="1104">
        <f t="shared" si="84"/>
        <v>0</v>
      </c>
      <c r="RS222" s="1104">
        <f t="shared" si="84"/>
        <v>0</v>
      </c>
    </row>
    <row r="223" spans="2:487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FJ223" s="1073"/>
      <c r="FK223" s="1073"/>
      <c r="FL223" s="1074"/>
      <c r="RD223" s="1104"/>
      <c r="RE223" s="1104"/>
      <c r="RF223" s="1104"/>
      <c r="RG223" s="1104">
        <f t="shared" si="84"/>
        <v>0</v>
      </c>
      <c r="RH223" s="1104">
        <f t="shared" si="84"/>
        <v>0</v>
      </c>
      <c r="RI223" s="1104">
        <f t="shared" si="84"/>
        <v>0</v>
      </c>
      <c r="RJ223" s="1104">
        <f t="shared" si="84"/>
        <v>0</v>
      </c>
      <c r="RK223" s="1104">
        <f t="shared" si="84"/>
        <v>0</v>
      </c>
      <c r="RL223" s="1104">
        <f t="shared" si="84"/>
        <v>0</v>
      </c>
      <c r="RM223" s="1104">
        <f t="shared" si="84"/>
        <v>0</v>
      </c>
      <c r="RN223" s="1104">
        <f t="shared" si="84"/>
        <v>0</v>
      </c>
      <c r="RO223" s="1104">
        <f t="shared" si="84"/>
        <v>0</v>
      </c>
      <c r="RP223" s="1104">
        <f t="shared" si="84"/>
        <v>0</v>
      </c>
      <c r="RQ223" s="1104">
        <f t="shared" si="84"/>
        <v>0</v>
      </c>
      <c r="RR223" s="1104">
        <f t="shared" si="84"/>
        <v>0</v>
      </c>
      <c r="RS223" s="1104">
        <f t="shared" si="84"/>
        <v>0</v>
      </c>
    </row>
    <row r="224" spans="2:487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FJ224" s="1073"/>
      <c r="FK224" s="1073"/>
      <c r="FL224" s="1074"/>
      <c r="RD224" s="1104"/>
      <c r="RE224" s="1104"/>
      <c r="RF224" s="1104"/>
      <c r="RG224" s="1104">
        <f t="shared" si="84"/>
        <v>0</v>
      </c>
      <c r="RH224" s="1104">
        <f t="shared" si="84"/>
        <v>0</v>
      </c>
      <c r="RI224" s="1104">
        <f t="shared" si="84"/>
        <v>0</v>
      </c>
      <c r="RJ224" s="1104">
        <f t="shared" si="84"/>
        <v>0</v>
      </c>
      <c r="RK224" s="1104">
        <f t="shared" si="84"/>
        <v>0</v>
      </c>
      <c r="RL224" s="1104">
        <f t="shared" si="84"/>
        <v>0</v>
      </c>
      <c r="RM224" s="1104">
        <f t="shared" si="84"/>
        <v>0</v>
      </c>
      <c r="RN224" s="1104">
        <f t="shared" si="84"/>
        <v>0</v>
      </c>
      <c r="RO224" s="1104">
        <f t="shared" si="84"/>
        <v>0</v>
      </c>
      <c r="RP224" s="1104">
        <f t="shared" si="84"/>
        <v>0</v>
      </c>
      <c r="RQ224" s="1104">
        <f t="shared" si="84"/>
        <v>0</v>
      </c>
      <c r="RR224" s="1104">
        <f t="shared" si="84"/>
        <v>0</v>
      </c>
      <c r="RS224" s="1104">
        <f t="shared" si="84"/>
        <v>0</v>
      </c>
    </row>
    <row r="225" spans="2:487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FJ225" s="1073"/>
      <c r="FK225" s="1073"/>
      <c r="FL225" s="1074"/>
      <c r="RD225" s="1104"/>
      <c r="RE225" s="1104"/>
      <c r="RF225" s="1104"/>
      <c r="RG225" s="1104">
        <f t="shared" si="84"/>
        <v>0</v>
      </c>
      <c r="RH225" s="1104">
        <f t="shared" si="84"/>
        <v>0</v>
      </c>
      <c r="RI225" s="1104">
        <f t="shared" si="84"/>
        <v>0</v>
      </c>
      <c r="RJ225" s="1104">
        <f t="shared" si="84"/>
        <v>0</v>
      </c>
      <c r="RK225" s="1104">
        <f t="shared" si="84"/>
        <v>0</v>
      </c>
      <c r="RL225" s="1104">
        <f t="shared" si="84"/>
        <v>0</v>
      </c>
      <c r="RM225" s="1104">
        <f t="shared" si="84"/>
        <v>0</v>
      </c>
      <c r="RN225" s="1104">
        <f t="shared" si="84"/>
        <v>0</v>
      </c>
      <c r="RO225" s="1104">
        <f t="shared" si="84"/>
        <v>0</v>
      </c>
      <c r="RP225" s="1104">
        <f t="shared" si="84"/>
        <v>0</v>
      </c>
      <c r="RQ225" s="1104">
        <f t="shared" si="84"/>
        <v>0</v>
      </c>
      <c r="RR225" s="1104">
        <f t="shared" si="84"/>
        <v>0</v>
      </c>
      <c r="RS225" s="1104">
        <f t="shared" si="84"/>
        <v>0</v>
      </c>
    </row>
    <row r="226" spans="2:487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FJ226" s="1073"/>
      <c r="FK226" s="1073"/>
      <c r="FL226" s="1074"/>
      <c r="RD226" s="1104"/>
      <c r="RE226" s="1104"/>
      <c r="RF226" s="1104"/>
      <c r="RG226" s="1104">
        <f t="shared" si="84"/>
        <v>0</v>
      </c>
      <c r="RH226" s="1104">
        <f t="shared" si="84"/>
        <v>0</v>
      </c>
      <c r="RI226" s="1104">
        <f t="shared" si="84"/>
        <v>0</v>
      </c>
      <c r="RJ226" s="1104">
        <f t="shared" si="84"/>
        <v>0</v>
      </c>
      <c r="RK226" s="1104">
        <f t="shared" si="84"/>
        <v>0</v>
      </c>
      <c r="RL226" s="1104">
        <f t="shared" si="84"/>
        <v>0</v>
      </c>
      <c r="RM226" s="1104">
        <f t="shared" si="84"/>
        <v>0</v>
      </c>
      <c r="RN226" s="1104">
        <f t="shared" si="84"/>
        <v>0</v>
      </c>
      <c r="RO226" s="1104">
        <f t="shared" si="84"/>
        <v>0</v>
      </c>
      <c r="RP226" s="1104">
        <f t="shared" si="84"/>
        <v>0</v>
      </c>
      <c r="RQ226" s="1104">
        <f t="shared" si="84"/>
        <v>0</v>
      </c>
      <c r="RR226" s="1104">
        <f t="shared" si="84"/>
        <v>0</v>
      </c>
      <c r="RS226" s="1104">
        <f t="shared" si="84"/>
        <v>0</v>
      </c>
    </row>
    <row r="227" spans="2:487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FJ227" s="1073"/>
      <c r="FK227" s="1073"/>
      <c r="FL227" s="1074"/>
      <c r="RD227" s="1104"/>
      <c r="RE227" s="1104"/>
      <c r="RF227" s="1104"/>
      <c r="RG227" s="1104">
        <f t="shared" si="84"/>
        <v>0</v>
      </c>
      <c r="RH227" s="1104">
        <f t="shared" si="84"/>
        <v>0</v>
      </c>
      <c r="RI227" s="1104">
        <f t="shared" si="84"/>
        <v>0</v>
      </c>
      <c r="RJ227" s="1104">
        <f t="shared" si="84"/>
        <v>0</v>
      </c>
      <c r="RK227" s="1104">
        <f t="shared" si="84"/>
        <v>0</v>
      </c>
      <c r="RL227" s="1104">
        <f t="shared" si="84"/>
        <v>0</v>
      </c>
      <c r="RM227" s="1104">
        <f t="shared" si="84"/>
        <v>0</v>
      </c>
      <c r="RN227" s="1104">
        <f t="shared" si="84"/>
        <v>0</v>
      </c>
      <c r="RO227" s="1104">
        <f t="shared" si="84"/>
        <v>0</v>
      </c>
      <c r="RP227" s="1104">
        <f t="shared" si="84"/>
        <v>0</v>
      </c>
      <c r="RQ227" s="1104">
        <f t="shared" si="84"/>
        <v>0</v>
      </c>
      <c r="RR227" s="1104">
        <f t="shared" si="84"/>
        <v>0</v>
      </c>
      <c r="RS227" s="1104">
        <f t="shared" si="84"/>
        <v>0</v>
      </c>
    </row>
    <row r="228" spans="2:487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FJ228" s="1073"/>
      <c r="FK228" s="1073"/>
      <c r="FL228" s="1074"/>
      <c r="RD228" s="1104"/>
      <c r="RE228" s="1104"/>
      <c r="RF228" s="1104"/>
      <c r="RG228" s="1104">
        <f t="shared" si="84"/>
        <v>0</v>
      </c>
      <c r="RH228" s="1104">
        <f t="shared" si="84"/>
        <v>0</v>
      </c>
      <c r="RI228" s="1104">
        <f t="shared" si="84"/>
        <v>0</v>
      </c>
      <c r="RJ228" s="1104">
        <f t="shared" si="84"/>
        <v>0</v>
      </c>
      <c r="RK228" s="1104">
        <f t="shared" si="84"/>
        <v>0</v>
      </c>
      <c r="RL228" s="1104">
        <f t="shared" si="84"/>
        <v>0</v>
      </c>
      <c r="RM228" s="1104">
        <f t="shared" si="84"/>
        <v>0</v>
      </c>
      <c r="RN228" s="1104">
        <f t="shared" si="84"/>
        <v>0</v>
      </c>
      <c r="RO228" s="1104">
        <f t="shared" si="84"/>
        <v>0</v>
      </c>
      <c r="RP228" s="1104">
        <f t="shared" si="84"/>
        <v>0</v>
      </c>
      <c r="RQ228" s="1104">
        <f t="shared" si="84"/>
        <v>0</v>
      </c>
      <c r="RR228" s="1104">
        <f t="shared" si="84"/>
        <v>0</v>
      </c>
      <c r="RS228" s="1104">
        <f t="shared" si="84"/>
        <v>0</v>
      </c>
    </row>
    <row r="229" spans="2:487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FJ229" s="1073"/>
      <c r="FK229" s="1073"/>
      <c r="FL229" s="1074"/>
      <c r="RD229" s="1104"/>
      <c r="RE229" s="1104"/>
      <c r="RF229" s="1104"/>
      <c r="RG229" s="1104">
        <f t="shared" si="84"/>
        <v>0</v>
      </c>
      <c r="RH229" s="1104">
        <f t="shared" si="84"/>
        <v>0</v>
      </c>
      <c r="RI229" s="1104">
        <f t="shared" si="84"/>
        <v>0</v>
      </c>
      <c r="RJ229" s="1104">
        <f t="shared" si="84"/>
        <v>0</v>
      </c>
      <c r="RK229" s="1104">
        <f t="shared" si="84"/>
        <v>0</v>
      </c>
      <c r="RL229" s="1104">
        <f t="shared" si="84"/>
        <v>0</v>
      </c>
      <c r="RM229" s="1104">
        <f t="shared" si="84"/>
        <v>0</v>
      </c>
      <c r="RN229" s="1104">
        <f t="shared" si="84"/>
        <v>0</v>
      </c>
      <c r="RO229" s="1104">
        <f t="shared" si="84"/>
        <v>0</v>
      </c>
      <c r="RP229" s="1104">
        <f t="shared" si="84"/>
        <v>0</v>
      </c>
      <c r="RQ229" s="1104">
        <f t="shared" si="84"/>
        <v>0</v>
      </c>
      <c r="RR229" s="1104">
        <f t="shared" si="84"/>
        <v>0</v>
      </c>
      <c r="RS229" s="1104">
        <f t="shared" si="84"/>
        <v>0</v>
      </c>
    </row>
    <row r="230" spans="2:487" x14ac:dyDescent="0.25"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FJ230" s="1073"/>
      <c r="FK230" s="1073"/>
      <c r="FL230" s="1074"/>
      <c r="RD230" s="1104"/>
      <c r="RE230" s="1104"/>
      <c r="RF230" s="1104"/>
      <c r="RG230" s="1104">
        <f t="shared" si="84"/>
        <v>0</v>
      </c>
      <c r="RH230" s="1104">
        <f t="shared" si="84"/>
        <v>0</v>
      </c>
      <c r="RI230" s="1104">
        <f t="shared" si="84"/>
        <v>0</v>
      </c>
      <c r="RJ230" s="1104">
        <f t="shared" si="84"/>
        <v>0</v>
      </c>
      <c r="RK230" s="1104">
        <f t="shared" si="84"/>
        <v>0</v>
      </c>
      <c r="RL230" s="1104">
        <f t="shared" si="84"/>
        <v>0</v>
      </c>
      <c r="RM230" s="1104">
        <f t="shared" si="84"/>
        <v>0</v>
      </c>
      <c r="RN230" s="1104">
        <f t="shared" si="84"/>
        <v>0</v>
      </c>
      <c r="RO230" s="1104">
        <f t="shared" si="84"/>
        <v>0</v>
      </c>
      <c r="RP230" s="1104">
        <f t="shared" si="84"/>
        <v>0</v>
      </c>
      <c r="RQ230" s="1104">
        <f t="shared" si="84"/>
        <v>0</v>
      </c>
      <c r="RR230" s="1104">
        <f t="shared" si="84"/>
        <v>0</v>
      </c>
      <c r="RS230" s="1104">
        <f t="shared" si="84"/>
        <v>0</v>
      </c>
    </row>
    <row r="231" spans="2:487" x14ac:dyDescent="0.25"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FJ231" s="1073"/>
      <c r="FK231" s="1073"/>
      <c r="FL231" s="1074"/>
      <c r="RD231" s="1104"/>
      <c r="RE231" s="1104"/>
      <c r="RF231" s="1104"/>
      <c r="RG231" s="1104">
        <f t="shared" si="84"/>
        <v>0</v>
      </c>
      <c r="RH231" s="1104">
        <f t="shared" si="84"/>
        <v>0</v>
      </c>
      <c r="RI231" s="1104">
        <f t="shared" si="84"/>
        <v>0</v>
      </c>
      <c r="RJ231" s="1104">
        <f t="shared" si="84"/>
        <v>0</v>
      </c>
      <c r="RK231" s="1104">
        <f t="shared" si="84"/>
        <v>0</v>
      </c>
      <c r="RL231" s="1104">
        <f t="shared" si="84"/>
        <v>0</v>
      </c>
      <c r="RM231" s="1104">
        <f t="shared" si="84"/>
        <v>0</v>
      </c>
      <c r="RN231" s="1104">
        <f t="shared" si="84"/>
        <v>0</v>
      </c>
      <c r="RO231" s="1104">
        <f t="shared" si="84"/>
        <v>0</v>
      </c>
      <c r="RP231" s="1104">
        <f t="shared" si="84"/>
        <v>0</v>
      </c>
      <c r="RQ231" s="1104">
        <f t="shared" si="84"/>
        <v>0</v>
      </c>
      <c r="RR231" s="1104">
        <f t="shared" si="84"/>
        <v>0</v>
      </c>
      <c r="RS231" s="1104">
        <f t="shared" si="84"/>
        <v>0</v>
      </c>
    </row>
    <row r="232" spans="2:487" x14ac:dyDescent="0.25"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FJ232" s="1073"/>
      <c r="FK232" s="1073"/>
      <c r="FL232" s="1074"/>
      <c r="RD232" s="1104"/>
      <c r="RE232" s="1104"/>
      <c r="RF232" s="1104"/>
      <c r="RG232" s="1104">
        <f t="shared" si="84"/>
        <v>0</v>
      </c>
      <c r="RH232" s="1104">
        <f t="shared" si="84"/>
        <v>0</v>
      </c>
      <c r="RI232" s="1104">
        <f t="shared" si="84"/>
        <v>0</v>
      </c>
      <c r="RJ232" s="1104">
        <f t="shared" si="84"/>
        <v>0</v>
      </c>
      <c r="RK232" s="1104">
        <f t="shared" si="84"/>
        <v>0</v>
      </c>
      <c r="RL232" s="1104">
        <f t="shared" si="84"/>
        <v>0</v>
      </c>
      <c r="RM232" s="1104">
        <f t="shared" si="84"/>
        <v>0</v>
      </c>
      <c r="RN232" s="1104">
        <f t="shared" si="84"/>
        <v>0</v>
      </c>
      <c r="RO232" s="1104">
        <f t="shared" si="84"/>
        <v>0</v>
      </c>
      <c r="RP232" s="1104">
        <f t="shared" si="84"/>
        <v>0</v>
      </c>
      <c r="RQ232" s="1104">
        <f t="shared" si="84"/>
        <v>0</v>
      </c>
      <c r="RR232" s="1104">
        <f t="shared" si="84"/>
        <v>0</v>
      </c>
      <c r="RS232" s="1104">
        <f t="shared" si="84"/>
        <v>0</v>
      </c>
    </row>
    <row r="233" spans="2:487" x14ac:dyDescent="0.25"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FJ233" s="1073"/>
      <c r="FK233" s="1073"/>
      <c r="FL233" s="1074"/>
      <c r="RD233" s="1104"/>
      <c r="RE233" s="1104"/>
      <c r="RF233" s="1104"/>
      <c r="RG233" s="1104">
        <f t="shared" ref="RG233:RS248" si="85">RG48-RG142</f>
        <v>0</v>
      </c>
      <c r="RH233" s="1104">
        <f t="shared" si="85"/>
        <v>0</v>
      </c>
      <c r="RI233" s="1104">
        <f t="shared" si="85"/>
        <v>0</v>
      </c>
      <c r="RJ233" s="1104">
        <f t="shared" si="85"/>
        <v>0</v>
      </c>
      <c r="RK233" s="1104">
        <f t="shared" si="85"/>
        <v>0</v>
      </c>
      <c r="RL233" s="1104">
        <f t="shared" si="85"/>
        <v>0</v>
      </c>
      <c r="RM233" s="1104">
        <f t="shared" si="85"/>
        <v>0</v>
      </c>
      <c r="RN233" s="1104">
        <f t="shared" si="85"/>
        <v>0</v>
      </c>
      <c r="RO233" s="1104">
        <f t="shared" si="85"/>
        <v>0</v>
      </c>
      <c r="RP233" s="1104">
        <f t="shared" si="85"/>
        <v>0</v>
      </c>
      <c r="RQ233" s="1104">
        <f t="shared" si="85"/>
        <v>0</v>
      </c>
      <c r="RR233" s="1104">
        <f t="shared" si="85"/>
        <v>0</v>
      </c>
      <c r="RS233" s="1104">
        <f t="shared" si="85"/>
        <v>0</v>
      </c>
    </row>
    <row r="234" spans="2:487" x14ac:dyDescent="0.25"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FJ234" s="1073"/>
      <c r="FK234" s="1073"/>
      <c r="FL234" s="1074"/>
      <c r="RD234" s="1104"/>
      <c r="RE234" s="1104"/>
      <c r="RF234" s="1104"/>
      <c r="RG234" s="1104">
        <f t="shared" si="85"/>
        <v>0</v>
      </c>
      <c r="RH234" s="1104">
        <f t="shared" si="85"/>
        <v>0</v>
      </c>
      <c r="RI234" s="1104">
        <f t="shared" si="85"/>
        <v>0</v>
      </c>
      <c r="RJ234" s="1104">
        <f t="shared" si="85"/>
        <v>0</v>
      </c>
      <c r="RK234" s="1104">
        <f t="shared" si="85"/>
        <v>0</v>
      </c>
      <c r="RL234" s="1104">
        <f t="shared" si="85"/>
        <v>0</v>
      </c>
      <c r="RM234" s="1104">
        <f t="shared" si="85"/>
        <v>0</v>
      </c>
      <c r="RN234" s="1104">
        <f t="shared" si="85"/>
        <v>0</v>
      </c>
      <c r="RO234" s="1104">
        <f t="shared" si="85"/>
        <v>0</v>
      </c>
      <c r="RP234" s="1104">
        <f t="shared" si="85"/>
        <v>0</v>
      </c>
      <c r="RQ234" s="1104">
        <f t="shared" si="85"/>
        <v>0</v>
      </c>
      <c r="RR234" s="1104">
        <f t="shared" si="85"/>
        <v>0</v>
      </c>
      <c r="RS234" s="1104">
        <f t="shared" si="85"/>
        <v>0</v>
      </c>
    </row>
    <row r="235" spans="2:487" x14ac:dyDescent="0.25"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FJ235" s="1073"/>
      <c r="FK235" s="1073"/>
      <c r="FL235" s="1074"/>
      <c r="RD235" s="1104"/>
      <c r="RE235" s="1104"/>
      <c r="RF235" s="1104"/>
      <c r="RG235" s="1104">
        <f t="shared" si="85"/>
        <v>0</v>
      </c>
      <c r="RH235" s="1104">
        <f t="shared" si="85"/>
        <v>0</v>
      </c>
      <c r="RI235" s="1104">
        <f t="shared" si="85"/>
        <v>0</v>
      </c>
      <c r="RJ235" s="1104">
        <f t="shared" si="85"/>
        <v>0</v>
      </c>
      <c r="RK235" s="1104">
        <f t="shared" si="85"/>
        <v>0</v>
      </c>
      <c r="RL235" s="1104">
        <f t="shared" si="85"/>
        <v>0</v>
      </c>
      <c r="RM235" s="1104">
        <f t="shared" si="85"/>
        <v>0</v>
      </c>
      <c r="RN235" s="1104">
        <f t="shared" si="85"/>
        <v>0</v>
      </c>
      <c r="RO235" s="1104">
        <f t="shared" si="85"/>
        <v>0</v>
      </c>
      <c r="RP235" s="1104">
        <f t="shared" si="85"/>
        <v>0</v>
      </c>
      <c r="RQ235" s="1104">
        <f t="shared" si="85"/>
        <v>0</v>
      </c>
      <c r="RR235" s="1104">
        <f t="shared" si="85"/>
        <v>0</v>
      </c>
      <c r="RS235" s="1104">
        <f t="shared" si="85"/>
        <v>0</v>
      </c>
    </row>
    <row r="236" spans="2:487" x14ac:dyDescent="0.25"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FJ236" s="1073"/>
      <c r="FK236" s="1073"/>
      <c r="FL236" s="1074"/>
      <c r="RD236" s="1104"/>
      <c r="RE236" s="1104"/>
      <c r="RF236" s="1104"/>
      <c r="RG236" s="1104">
        <f t="shared" si="85"/>
        <v>0</v>
      </c>
      <c r="RH236" s="1104">
        <f t="shared" si="85"/>
        <v>0</v>
      </c>
      <c r="RI236" s="1104">
        <f t="shared" si="85"/>
        <v>0</v>
      </c>
      <c r="RJ236" s="1104">
        <f t="shared" si="85"/>
        <v>0</v>
      </c>
      <c r="RK236" s="1104">
        <f t="shared" si="85"/>
        <v>0</v>
      </c>
      <c r="RL236" s="1104">
        <f t="shared" si="85"/>
        <v>0</v>
      </c>
      <c r="RM236" s="1104">
        <f t="shared" si="85"/>
        <v>0</v>
      </c>
      <c r="RN236" s="1104">
        <f t="shared" si="85"/>
        <v>0</v>
      </c>
      <c r="RO236" s="1104">
        <f t="shared" si="85"/>
        <v>0</v>
      </c>
      <c r="RP236" s="1104">
        <f t="shared" si="85"/>
        <v>0</v>
      </c>
      <c r="RQ236" s="1104">
        <f t="shared" si="85"/>
        <v>0</v>
      </c>
      <c r="RR236" s="1104">
        <f t="shared" si="85"/>
        <v>0</v>
      </c>
      <c r="RS236" s="1104">
        <f t="shared" si="85"/>
        <v>0</v>
      </c>
    </row>
    <row r="237" spans="2:487" x14ac:dyDescent="0.25"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FJ237" s="1073"/>
      <c r="FK237" s="1073"/>
      <c r="FL237" s="1074"/>
      <c r="RD237" s="1104"/>
      <c r="RE237" s="1104"/>
      <c r="RF237" s="1104"/>
      <c r="RG237" s="1104">
        <f t="shared" si="85"/>
        <v>0</v>
      </c>
      <c r="RH237" s="1104">
        <f t="shared" si="85"/>
        <v>0</v>
      </c>
      <c r="RI237" s="1104">
        <f t="shared" si="85"/>
        <v>0</v>
      </c>
      <c r="RJ237" s="1104">
        <f t="shared" si="85"/>
        <v>0</v>
      </c>
      <c r="RK237" s="1104">
        <f t="shared" si="85"/>
        <v>0</v>
      </c>
      <c r="RL237" s="1104">
        <f t="shared" si="85"/>
        <v>0</v>
      </c>
      <c r="RM237" s="1104">
        <f t="shared" si="85"/>
        <v>0</v>
      </c>
      <c r="RN237" s="1104">
        <f t="shared" si="85"/>
        <v>0</v>
      </c>
      <c r="RO237" s="1104">
        <f t="shared" si="85"/>
        <v>0</v>
      </c>
      <c r="RP237" s="1104">
        <f t="shared" si="85"/>
        <v>0</v>
      </c>
      <c r="RQ237" s="1104">
        <f t="shared" si="85"/>
        <v>0</v>
      </c>
      <c r="RR237" s="1104">
        <f t="shared" si="85"/>
        <v>0</v>
      </c>
      <c r="RS237" s="1104">
        <f t="shared" si="85"/>
        <v>0</v>
      </c>
    </row>
    <row r="238" spans="2:487" x14ac:dyDescent="0.25"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FJ238" s="1073"/>
      <c r="FK238" s="1073"/>
      <c r="FL238" s="1074"/>
      <c r="RD238" s="1104"/>
      <c r="RE238" s="1104"/>
      <c r="RF238" s="1104"/>
      <c r="RG238" s="1104">
        <f t="shared" si="85"/>
        <v>0</v>
      </c>
      <c r="RH238" s="1104">
        <f t="shared" si="85"/>
        <v>0</v>
      </c>
      <c r="RI238" s="1104">
        <f t="shared" si="85"/>
        <v>0</v>
      </c>
      <c r="RJ238" s="1104">
        <f t="shared" si="85"/>
        <v>0</v>
      </c>
      <c r="RK238" s="1104">
        <f t="shared" si="85"/>
        <v>0</v>
      </c>
      <c r="RL238" s="1104">
        <f t="shared" si="85"/>
        <v>0</v>
      </c>
      <c r="RM238" s="1104">
        <f t="shared" si="85"/>
        <v>0</v>
      </c>
      <c r="RN238" s="1104">
        <f t="shared" si="85"/>
        <v>0</v>
      </c>
      <c r="RO238" s="1104">
        <f t="shared" si="85"/>
        <v>0</v>
      </c>
      <c r="RP238" s="1104">
        <f t="shared" si="85"/>
        <v>0</v>
      </c>
      <c r="RQ238" s="1104">
        <f t="shared" si="85"/>
        <v>0</v>
      </c>
      <c r="RR238" s="1104">
        <f t="shared" si="85"/>
        <v>0</v>
      </c>
      <c r="RS238" s="1104">
        <f t="shared" si="85"/>
        <v>0</v>
      </c>
    </row>
    <row r="239" spans="2:487" x14ac:dyDescent="0.25"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FJ239" s="1073"/>
      <c r="FK239" s="1073"/>
      <c r="FL239" s="1074"/>
      <c r="RD239" s="1104"/>
      <c r="RE239" s="1104"/>
      <c r="RF239" s="1104"/>
      <c r="RG239" s="1104">
        <f t="shared" si="85"/>
        <v>0</v>
      </c>
      <c r="RH239" s="1104">
        <f t="shared" si="85"/>
        <v>0</v>
      </c>
      <c r="RI239" s="1104">
        <f t="shared" si="85"/>
        <v>0</v>
      </c>
      <c r="RJ239" s="1104">
        <f t="shared" si="85"/>
        <v>0</v>
      </c>
      <c r="RK239" s="1104">
        <f t="shared" si="85"/>
        <v>0</v>
      </c>
      <c r="RL239" s="1104">
        <f t="shared" si="85"/>
        <v>0</v>
      </c>
      <c r="RM239" s="1104">
        <f t="shared" si="85"/>
        <v>0</v>
      </c>
      <c r="RN239" s="1104">
        <f t="shared" si="85"/>
        <v>0</v>
      </c>
      <c r="RO239" s="1104">
        <f t="shared" si="85"/>
        <v>0</v>
      </c>
      <c r="RP239" s="1104">
        <f t="shared" si="85"/>
        <v>0</v>
      </c>
      <c r="RQ239" s="1104">
        <f t="shared" si="85"/>
        <v>0</v>
      </c>
      <c r="RR239" s="1104">
        <f t="shared" si="85"/>
        <v>0</v>
      </c>
      <c r="RS239" s="1104">
        <f t="shared" si="85"/>
        <v>0</v>
      </c>
    </row>
    <row r="240" spans="2:487" x14ac:dyDescent="0.25"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FJ240" s="1073"/>
      <c r="FK240" s="1073"/>
      <c r="FL240" s="1074"/>
      <c r="RD240" s="1104"/>
      <c r="RE240" s="1104"/>
      <c r="RF240" s="1104"/>
      <c r="RG240" s="1104">
        <f t="shared" si="85"/>
        <v>0</v>
      </c>
      <c r="RH240" s="1104">
        <f t="shared" si="85"/>
        <v>0</v>
      </c>
      <c r="RI240" s="1104">
        <f t="shared" si="85"/>
        <v>0</v>
      </c>
      <c r="RJ240" s="1104">
        <f t="shared" si="85"/>
        <v>0</v>
      </c>
      <c r="RK240" s="1104">
        <f t="shared" si="85"/>
        <v>0</v>
      </c>
      <c r="RL240" s="1104">
        <f t="shared" si="85"/>
        <v>0</v>
      </c>
      <c r="RM240" s="1104">
        <f t="shared" si="85"/>
        <v>0</v>
      </c>
      <c r="RN240" s="1104">
        <f t="shared" si="85"/>
        <v>0</v>
      </c>
      <c r="RO240" s="1104">
        <f t="shared" si="85"/>
        <v>0</v>
      </c>
      <c r="RP240" s="1104">
        <f t="shared" si="85"/>
        <v>0</v>
      </c>
      <c r="RQ240" s="1104">
        <f t="shared" si="85"/>
        <v>0</v>
      </c>
      <c r="RR240" s="1104">
        <f t="shared" si="85"/>
        <v>0</v>
      </c>
      <c r="RS240" s="1104">
        <f t="shared" si="85"/>
        <v>0</v>
      </c>
    </row>
    <row r="241" spans="127:487" x14ac:dyDescent="0.25"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FJ241" s="1073"/>
      <c r="FK241" s="1073"/>
      <c r="FL241" s="1074"/>
      <c r="RD241" s="1104"/>
      <c r="RE241" s="1104"/>
      <c r="RF241" s="1104"/>
      <c r="RG241" s="1104">
        <f t="shared" si="85"/>
        <v>0</v>
      </c>
      <c r="RH241" s="1104">
        <f t="shared" si="85"/>
        <v>0</v>
      </c>
      <c r="RI241" s="1104">
        <f t="shared" si="85"/>
        <v>0</v>
      </c>
      <c r="RJ241" s="1104">
        <f t="shared" si="85"/>
        <v>0</v>
      </c>
      <c r="RK241" s="1104">
        <f t="shared" si="85"/>
        <v>0</v>
      </c>
      <c r="RL241" s="1104">
        <f t="shared" si="85"/>
        <v>0</v>
      </c>
      <c r="RM241" s="1104">
        <f t="shared" si="85"/>
        <v>0</v>
      </c>
      <c r="RN241" s="1104">
        <f t="shared" si="85"/>
        <v>0</v>
      </c>
      <c r="RO241" s="1104">
        <f t="shared" si="85"/>
        <v>0</v>
      </c>
      <c r="RP241" s="1104">
        <f t="shared" si="85"/>
        <v>0</v>
      </c>
      <c r="RQ241" s="1104">
        <f t="shared" si="85"/>
        <v>0</v>
      </c>
      <c r="RR241" s="1104">
        <f t="shared" si="85"/>
        <v>0</v>
      </c>
      <c r="RS241" s="1104">
        <f t="shared" si="85"/>
        <v>0</v>
      </c>
    </row>
    <row r="242" spans="127:487" x14ac:dyDescent="0.25"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FJ242" s="1073"/>
      <c r="FK242" s="1073"/>
      <c r="FL242" s="1074"/>
      <c r="RD242" s="1104"/>
      <c r="RE242" s="1104"/>
      <c r="RF242" s="1104"/>
      <c r="RG242" s="1104">
        <f t="shared" si="85"/>
        <v>0</v>
      </c>
      <c r="RH242" s="1104">
        <f t="shared" si="85"/>
        <v>0</v>
      </c>
      <c r="RI242" s="1104">
        <f t="shared" si="85"/>
        <v>0</v>
      </c>
      <c r="RJ242" s="1104">
        <f t="shared" si="85"/>
        <v>0</v>
      </c>
      <c r="RK242" s="1104">
        <f t="shared" si="85"/>
        <v>0</v>
      </c>
      <c r="RL242" s="1104">
        <f t="shared" si="85"/>
        <v>0</v>
      </c>
      <c r="RM242" s="1104">
        <f t="shared" si="85"/>
        <v>0</v>
      </c>
      <c r="RN242" s="1104">
        <f t="shared" si="85"/>
        <v>0</v>
      </c>
      <c r="RO242" s="1104">
        <f t="shared" si="85"/>
        <v>0</v>
      </c>
      <c r="RP242" s="1104">
        <f t="shared" si="85"/>
        <v>0</v>
      </c>
      <c r="RQ242" s="1104">
        <f t="shared" si="85"/>
        <v>0</v>
      </c>
      <c r="RR242" s="1104">
        <f t="shared" si="85"/>
        <v>0</v>
      </c>
      <c r="RS242" s="1104">
        <f t="shared" si="85"/>
        <v>0</v>
      </c>
    </row>
    <row r="243" spans="127:487" x14ac:dyDescent="0.25"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FJ243" s="1073"/>
      <c r="FK243" s="1073"/>
      <c r="FL243" s="1074"/>
      <c r="RD243" s="1104"/>
      <c r="RE243" s="1104"/>
      <c r="RF243" s="1104"/>
      <c r="RG243" s="1104">
        <f t="shared" si="85"/>
        <v>0</v>
      </c>
      <c r="RH243" s="1104">
        <f t="shared" si="85"/>
        <v>0</v>
      </c>
      <c r="RI243" s="1104">
        <f t="shared" si="85"/>
        <v>0</v>
      </c>
      <c r="RJ243" s="1104">
        <f t="shared" si="85"/>
        <v>0</v>
      </c>
      <c r="RK243" s="1104">
        <f t="shared" si="85"/>
        <v>0</v>
      </c>
      <c r="RL243" s="1104">
        <f t="shared" si="85"/>
        <v>0</v>
      </c>
      <c r="RM243" s="1104">
        <f t="shared" si="85"/>
        <v>0</v>
      </c>
      <c r="RN243" s="1104">
        <f t="shared" si="85"/>
        <v>0</v>
      </c>
      <c r="RO243" s="1104">
        <f t="shared" si="85"/>
        <v>0</v>
      </c>
      <c r="RP243" s="1104">
        <f t="shared" si="85"/>
        <v>0</v>
      </c>
      <c r="RQ243" s="1104">
        <f t="shared" si="85"/>
        <v>0</v>
      </c>
      <c r="RR243" s="1104">
        <f t="shared" si="85"/>
        <v>0</v>
      </c>
      <c r="RS243" s="1104">
        <f t="shared" si="85"/>
        <v>0</v>
      </c>
    </row>
    <row r="244" spans="127:487" x14ac:dyDescent="0.25"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FJ244" s="1073"/>
      <c r="FK244" s="1073"/>
      <c r="FL244" s="1074"/>
      <c r="RD244" s="1104"/>
      <c r="RE244" s="1104"/>
      <c r="RF244" s="1104"/>
      <c r="RG244" s="1104">
        <f t="shared" si="85"/>
        <v>0</v>
      </c>
      <c r="RH244" s="1104">
        <f t="shared" si="85"/>
        <v>0</v>
      </c>
      <c r="RI244" s="1104">
        <f t="shared" si="85"/>
        <v>0</v>
      </c>
      <c r="RJ244" s="1104">
        <f t="shared" si="85"/>
        <v>0</v>
      </c>
      <c r="RK244" s="1104">
        <f t="shared" si="85"/>
        <v>0</v>
      </c>
      <c r="RL244" s="1104">
        <f t="shared" si="85"/>
        <v>0</v>
      </c>
      <c r="RM244" s="1104">
        <f t="shared" si="85"/>
        <v>0</v>
      </c>
      <c r="RN244" s="1104">
        <f t="shared" si="85"/>
        <v>0</v>
      </c>
      <c r="RO244" s="1104">
        <f t="shared" si="85"/>
        <v>0</v>
      </c>
      <c r="RP244" s="1104">
        <f t="shared" si="85"/>
        <v>0</v>
      </c>
      <c r="RQ244" s="1104">
        <f t="shared" si="85"/>
        <v>0</v>
      </c>
      <c r="RR244" s="1104">
        <f t="shared" si="85"/>
        <v>0</v>
      </c>
      <c r="RS244" s="1104">
        <f t="shared" si="85"/>
        <v>0</v>
      </c>
    </row>
    <row r="245" spans="127:487" x14ac:dyDescent="0.25"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FJ245" s="1073"/>
      <c r="FK245" s="1073"/>
      <c r="FL245" s="1074"/>
      <c r="RD245" s="1104"/>
      <c r="RE245" s="1104"/>
      <c r="RF245" s="1104"/>
      <c r="RG245" s="1104">
        <f t="shared" si="85"/>
        <v>0</v>
      </c>
      <c r="RH245" s="1104">
        <f t="shared" si="85"/>
        <v>0</v>
      </c>
      <c r="RI245" s="1104">
        <f t="shared" si="85"/>
        <v>0</v>
      </c>
      <c r="RJ245" s="1104">
        <f t="shared" si="85"/>
        <v>0</v>
      </c>
      <c r="RK245" s="1104">
        <f t="shared" si="85"/>
        <v>0</v>
      </c>
      <c r="RL245" s="1104">
        <f t="shared" si="85"/>
        <v>0</v>
      </c>
      <c r="RM245" s="1104">
        <f t="shared" si="85"/>
        <v>0</v>
      </c>
      <c r="RN245" s="1104">
        <f t="shared" si="85"/>
        <v>0</v>
      </c>
      <c r="RO245" s="1104">
        <f t="shared" si="85"/>
        <v>0</v>
      </c>
      <c r="RP245" s="1104">
        <f t="shared" si="85"/>
        <v>0</v>
      </c>
      <c r="RQ245" s="1104">
        <f t="shared" si="85"/>
        <v>0</v>
      </c>
      <c r="RR245" s="1104">
        <f t="shared" si="85"/>
        <v>0</v>
      </c>
      <c r="RS245" s="1104">
        <f t="shared" si="85"/>
        <v>0</v>
      </c>
    </row>
    <row r="246" spans="127:487" x14ac:dyDescent="0.25"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FJ246" s="1073"/>
      <c r="FK246" s="1073"/>
      <c r="FL246" s="1074"/>
      <c r="RD246" s="1104"/>
      <c r="RE246" s="1104"/>
      <c r="RF246" s="1104"/>
      <c r="RG246" s="1104">
        <f t="shared" si="85"/>
        <v>0</v>
      </c>
      <c r="RH246" s="1104">
        <f t="shared" si="85"/>
        <v>0</v>
      </c>
      <c r="RI246" s="1104">
        <f t="shared" si="85"/>
        <v>0</v>
      </c>
      <c r="RJ246" s="1104">
        <f t="shared" si="85"/>
        <v>0</v>
      </c>
      <c r="RK246" s="1104">
        <f t="shared" si="85"/>
        <v>0</v>
      </c>
      <c r="RL246" s="1104">
        <f t="shared" si="85"/>
        <v>0</v>
      </c>
      <c r="RM246" s="1104">
        <f t="shared" si="85"/>
        <v>0</v>
      </c>
      <c r="RN246" s="1104">
        <f t="shared" si="85"/>
        <v>0</v>
      </c>
      <c r="RO246" s="1104">
        <f t="shared" si="85"/>
        <v>0</v>
      </c>
      <c r="RP246" s="1104">
        <f t="shared" si="85"/>
        <v>0</v>
      </c>
      <c r="RQ246" s="1104">
        <f t="shared" si="85"/>
        <v>0</v>
      </c>
      <c r="RR246" s="1104">
        <f t="shared" si="85"/>
        <v>0</v>
      </c>
      <c r="RS246" s="1104">
        <f t="shared" si="85"/>
        <v>0</v>
      </c>
    </row>
    <row r="247" spans="127:487" x14ac:dyDescent="0.25"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FJ247" s="1073"/>
      <c r="FK247" s="1073"/>
      <c r="FL247" s="1074"/>
      <c r="RD247" s="1104"/>
      <c r="RE247" s="1104"/>
      <c r="RF247" s="1104"/>
      <c r="RG247" s="1104">
        <f t="shared" si="85"/>
        <v>0</v>
      </c>
      <c r="RH247" s="1104">
        <f t="shared" si="85"/>
        <v>0</v>
      </c>
      <c r="RI247" s="1104">
        <f t="shared" si="85"/>
        <v>0</v>
      </c>
      <c r="RJ247" s="1104">
        <f t="shared" si="85"/>
        <v>0</v>
      </c>
      <c r="RK247" s="1104">
        <f t="shared" si="85"/>
        <v>0</v>
      </c>
      <c r="RL247" s="1104">
        <f t="shared" si="85"/>
        <v>0</v>
      </c>
      <c r="RM247" s="1104">
        <f t="shared" si="85"/>
        <v>0</v>
      </c>
      <c r="RN247" s="1104">
        <f t="shared" si="85"/>
        <v>0</v>
      </c>
      <c r="RO247" s="1104">
        <f t="shared" si="85"/>
        <v>0</v>
      </c>
      <c r="RP247" s="1104">
        <f t="shared" si="85"/>
        <v>0</v>
      </c>
      <c r="RQ247" s="1104">
        <f t="shared" si="85"/>
        <v>0</v>
      </c>
      <c r="RR247" s="1104">
        <f t="shared" si="85"/>
        <v>0</v>
      </c>
      <c r="RS247" s="1104">
        <f t="shared" si="85"/>
        <v>0</v>
      </c>
    </row>
    <row r="248" spans="127:487" x14ac:dyDescent="0.25"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FJ248" s="1073"/>
      <c r="FK248" s="1073"/>
      <c r="FL248" s="1074"/>
      <c r="RD248" s="1104"/>
      <c r="RE248" s="1104"/>
      <c r="RF248" s="1104"/>
      <c r="RG248" s="1104">
        <f t="shared" si="85"/>
        <v>0</v>
      </c>
      <c r="RH248" s="1104">
        <f t="shared" si="85"/>
        <v>0</v>
      </c>
      <c r="RI248" s="1104">
        <f t="shared" si="85"/>
        <v>0</v>
      </c>
      <c r="RJ248" s="1104">
        <f t="shared" si="85"/>
        <v>0</v>
      </c>
      <c r="RK248" s="1104">
        <f t="shared" si="85"/>
        <v>0</v>
      </c>
      <c r="RL248" s="1104">
        <f t="shared" si="85"/>
        <v>0</v>
      </c>
      <c r="RM248" s="1104">
        <f t="shared" si="85"/>
        <v>0</v>
      </c>
      <c r="RN248" s="1104">
        <f t="shared" si="85"/>
        <v>0</v>
      </c>
      <c r="RO248" s="1104">
        <f t="shared" si="85"/>
        <v>0</v>
      </c>
      <c r="RP248" s="1104">
        <f t="shared" si="85"/>
        <v>0</v>
      </c>
      <c r="RQ248" s="1104">
        <f t="shared" si="85"/>
        <v>0</v>
      </c>
      <c r="RR248" s="1104">
        <f t="shared" si="85"/>
        <v>0</v>
      </c>
      <c r="RS248" s="1104">
        <f t="shared" si="85"/>
        <v>0</v>
      </c>
    </row>
    <row r="249" spans="127:487" x14ac:dyDescent="0.25"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FJ249" s="1073"/>
      <c r="FK249" s="1073"/>
      <c r="FL249" s="1074"/>
      <c r="RD249" s="1104"/>
      <c r="RE249" s="1104"/>
      <c r="RF249" s="1104"/>
      <c r="RG249" s="1104">
        <f t="shared" ref="RG249:RS264" si="86">RG64-RG158</f>
        <v>0</v>
      </c>
      <c r="RH249" s="1104">
        <f t="shared" si="86"/>
        <v>0</v>
      </c>
      <c r="RI249" s="1104">
        <f t="shared" si="86"/>
        <v>0</v>
      </c>
      <c r="RJ249" s="1104">
        <f t="shared" si="86"/>
        <v>0</v>
      </c>
      <c r="RK249" s="1104">
        <f t="shared" si="86"/>
        <v>0</v>
      </c>
      <c r="RL249" s="1104">
        <f t="shared" si="86"/>
        <v>0</v>
      </c>
      <c r="RM249" s="1104">
        <f t="shared" si="86"/>
        <v>0</v>
      </c>
      <c r="RN249" s="1104">
        <f t="shared" si="86"/>
        <v>0</v>
      </c>
      <c r="RO249" s="1104">
        <f t="shared" si="86"/>
        <v>0</v>
      </c>
      <c r="RP249" s="1104">
        <f t="shared" si="86"/>
        <v>0</v>
      </c>
      <c r="RQ249" s="1104">
        <f t="shared" si="86"/>
        <v>0</v>
      </c>
      <c r="RR249" s="1104">
        <f t="shared" si="86"/>
        <v>0</v>
      </c>
      <c r="RS249" s="1104">
        <f t="shared" si="86"/>
        <v>0</v>
      </c>
    </row>
    <row r="250" spans="127:487" x14ac:dyDescent="0.25">
      <c r="FJ250" s="1073"/>
      <c r="FK250" s="1073"/>
      <c r="FL250" s="1074"/>
      <c r="RD250" s="1104"/>
      <c r="RE250" s="1104"/>
      <c r="RF250" s="1104"/>
      <c r="RG250" s="1104">
        <f t="shared" si="86"/>
        <v>0</v>
      </c>
      <c r="RH250" s="1104">
        <f t="shared" si="86"/>
        <v>0</v>
      </c>
      <c r="RI250" s="1104">
        <f t="shared" si="86"/>
        <v>0</v>
      </c>
      <c r="RJ250" s="1104">
        <f t="shared" si="86"/>
        <v>0</v>
      </c>
      <c r="RK250" s="1104">
        <f t="shared" si="86"/>
        <v>0</v>
      </c>
      <c r="RL250" s="1104">
        <f t="shared" si="86"/>
        <v>0</v>
      </c>
      <c r="RM250" s="1104">
        <f t="shared" si="86"/>
        <v>0</v>
      </c>
      <c r="RN250" s="1104">
        <f t="shared" si="86"/>
        <v>0</v>
      </c>
      <c r="RO250" s="1104">
        <f t="shared" si="86"/>
        <v>0</v>
      </c>
      <c r="RP250" s="1104">
        <f t="shared" si="86"/>
        <v>0</v>
      </c>
      <c r="RQ250" s="1104">
        <f t="shared" si="86"/>
        <v>0</v>
      </c>
      <c r="RR250" s="1104">
        <f t="shared" si="86"/>
        <v>0</v>
      </c>
      <c r="RS250" s="1104">
        <f t="shared" si="86"/>
        <v>0</v>
      </c>
    </row>
    <row r="251" spans="127:487" x14ac:dyDescent="0.25">
      <c r="FJ251" s="1073"/>
      <c r="FK251" s="1073"/>
      <c r="FL251" s="1074"/>
      <c r="RD251" s="1104"/>
      <c r="RE251" s="1104"/>
      <c r="RF251" s="1104"/>
      <c r="RG251" s="1104">
        <f t="shared" si="86"/>
        <v>0</v>
      </c>
      <c r="RH251" s="1104">
        <f t="shared" si="86"/>
        <v>0</v>
      </c>
      <c r="RI251" s="1104">
        <f t="shared" si="86"/>
        <v>0</v>
      </c>
      <c r="RJ251" s="1104">
        <f t="shared" si="86"/>
        <v>0</v>
      </c>
      <c r="RK251" s="1104">
        <f t="shared" si="86"/>
        <v>0</v>
      </c>
      <c r="RL251" s="1104">
        <f t="shared" si="86"/>
        <v>0</v>
      </c>
      <c r="RM251" s="1104">
        <f t="shared" si="86"/>
        <v>0</v>
      </c>
      <c r="RN251" s="1104">
        <f t="shared" si="86"/>
        <v>0</v>
      </c>
      <c r="RO251" s="1104">
        <f t="shared" si="86"/>
        <v>0</v>
      </c>
      <c r="RP251" s="1104">
        <f t="shared" si="86"/>
        <v>0</v>
      </c>
      <c r="RQ251" s="1104">
        <f t="shared" si="86"/>
        <v>0</v>
      </c>
      <c r="RR251" s="1104">
        <f t="shared" si="86"/>
        <v>0</v>
      </c>
      <c r="RS251" s="1104">
        <f t="shared" si="86"/>
        <v>0</v>
      </c>
    </row>
    <row r="252" spans="127:487" x14ac:dyDescent="0.25">
      <c r="FJ252" s="1073"/>
      <c r="FK252" s="1073"/>
      <c r="FL252" s="1074"/>
      <c r="RD252" s="1104"/>
      <c r="RE252" s="1104"/>
      <c r="RF252" s="1104"/>
      <c r="RG252" s="1104">
        <f t="shared" si="86"/>
        <v>0</v>
      </c>
      <c r="RH252" s="1104">
        <f t="shared" si="86"/>
        <v>0</v>
      </c>
      <c r="RI252" s="1104">
        <f t="shared" si="86"/>
        <v>0</v>
      </c>
      <c r="RJ252" s="1104">
        <f t="shared" si="86"/>
        <v>0</v>
      </c>
      <c r="RK252" s="1104">
        <f t="shared" si="86"/>
        <v>0</v>
      </c>
      <c r="RL252" s="1104">
        <f t="shared" si="86"/>
        <v>0</v>
      </c>
      <c r="RM252" s="1104">
        <f t="shared" si="86"/>
        <v>0</v>
      </c>
      <c r="RN252" s="1104">
        <f t="shared" si="86"/>
        <v>0</v>
      </c>
      <c r="RO252" s="1104">
        <f t="shared" si="86"/>
        <v>0</v>
      </c>
      <c r="RP252" s="1104">
        <f t="shared" si="86"/>
        <v>0</v>
      </c>
      <c r="RQ252" s="1104">
        <f t="shared" si="86"/>
        <v>0</v>
      </c>
      <c r="RR252" s="1104">
        <f t="shared" si="86"/>
        <v>0</v>
      </c>
      <c r="RS252" s="1104">
        <f t="shared" si="86"/>
        <v>0</v>
      </c>
    </row>
    <row r="253" spans="127:487" x14ac:dyDescent="0.25">
      <c r="FJ253" s="1073"/>
      <c r="FK253" s="1073"/>
      <c r="FL253" s="1074"/>
      <c r="RD253" s="1104"/>
      <c r="RE253" s="1104"/>
      <c r="RF253" s="1104"/>
      <c r="RG253" s="1104">
        <f t="shared" si="86"/>
        <v>0</v>
      </c>
      <c r="RH253" s="1104">
        <f t="shared" si="86"/>
        <v>0</v>
      </c>
      <c r="RI253" s="1104">
        <f t="shared" si="86"/>
        <v>0</v>
      </c>
      <c r="RJ253" s="1104">
        <f t="shared" si="86"/>
        <v>0</v>
      </c>
      <c r="RK253" s="1104">
        <f t="shared" si="86"/>
        <v>0</v>
      </c>
      <c r="RL253" s="1104">
        <f t="shared" si="86"/>
        <v>0</v>
      </c>
      <c r="RM253" s="1104">
        <f t="shared" si="86"/>
        <v>0</v>
      </c>
      <c r="RN253" s="1104">
        <f t="shared" si="86"/>
        <v>0</v>
      </c>
      <c r="RO253" s="1104">
        <f t="shared" si="86"/>
        <v>0</v>
      </c>
      <c r="RP253" s="1104">
        <f t="shared" si="86"/>
        <v>0</v>
      </c>
      <c r="RQ253" s="1104">
        <f t="shared" si="86"/>
        <v>0</v>
      </c>
      <c r="RR253" s="1104">
        <f t="shared" si="86"/>
        <v>0</v>
      </c>
      <c r="RS253" s="1104">
        <f t="shared" si="86"/>
        <v>0</v>
      </c>
    </row>
    <row r="254" spans="127:487" x14ac:dyDescent="0.25">
      <c r="FJ254" s="1073"/>
      <c r="FK254" s="1073"/>
      <c r="FL254" s="1074"/>
      <c r="RD254" s="1104"/>
      <c r="RE254" s="1104"/>
      <c r="RF254" s="1104"/>
      <c r="RG254" s="1104">
        <f t="shared" si="86"/>
        <v>0</v>
      </c>
      <c r="RH254" s="1104">
        <f t="shared" si="86"/>
        <v>0</v>
      </c>
      <c r="RI254" s="1104">
        <f t="shared" si="86"/>
        <v>0</v>
      </c>
      <c r="RJ254" s="1104">
        <f t="shared" si="86"/>
        <v>0</v>
      </c>
      <c r="RK254" s="1104">
        <f t="shared" si="86"/>
        <v>0</v>
      </c>
      <c r="RL254" s="1104">
        <f t="shared" si="86"/>
        <v>0</v>
      </c>
      <c r="RM254" s="1104">
        <f t="shared" si="86"/>
        <v>0</v>
      </c>
      <c r="RN254" s="1104">
        <f t="shared" si="86"/>
        <v>0</v>
      </c>
      <c r="RO254" s="1104">
        <f t="shared" si="86"/>
        <v>0</v>
      </c>
      <c r="RP254" s="1104">
        <f t="shared" si="86"/>
        <v>0</v>
      </c>
      <c r="RQ254" s="1104">
        <f t="shared" si="86"/>
        <v>0</v>
      </c>
      <c r="RR254" s="1104">
        <f t="shared" si="86"/>
        <v>0</v>
      </c>
      <c r="RS254" s="1104">
        <f t="shared" si="86"/>
        <v>0</v>
      </c>
    </row>
    <row r="255" spans="127:487" x14ac:dyDescent="0.25">
      <c r="FJ255" s="1073"/>
      <c r="FK255" s="1073"/>
      <c r="FL255" s="1074"/>
      <c r="RD255" s="1104"/>
      <c r="RE255" s="1104"/>
      <c r="RF255" s="1104"/>
      <c r="RG255" s="1104">
        <f t="shared" si="86"/>
        <v>0</v>
      </c>
      <c r="RH255" s="1104">
        <f t="shared" si="86"/>
        <v>0</v>
      </c>
      <c r="RI255" s="1104">
        <f t="shared" si="86"/>
        <v>0</v>
      </c>
      <c r="RJ255" s="1104">
        <f t="shared" si="86"/>
        <v>0</v>
      </c>
      <c r="RK255" s="1104">
        <f t="shared" si="86"/>
        <v>0</v>
      </c>
      <c r="RL255" s="1104">
        <f t="shared" si="86"/>
        <v>0</v>
      </c>
      <c r="RM255" s="1104">
        <f t="shared" si="86"/>
        <v>0</v>
      </c>
      <c r="RN255" s="1104">
        <f t="shared" si="86"/>
        <v>0</v>
      </c>
      <c r="RO255" s="1104">
        <f t="shared" si="86"/>
        <v>0</v>
      </c>
      <c r="RP255" s="1104">
        <f t="shared" si="86"/>
        <v>0</v>
      </c>
      <c r="RQ255" s="1104">
        <f t="shared" si="86"/>
        <v>0</v>
      </c>
      <c r="RR255" s="1104">
        <f t="shared" si="86"/>
        <v>0</v>
      </c>
      <c r="RS255" s="1104">
        <f t="shared" si="86"/>
        <v>0</v>
      </c>
    </row>
    <row r="256" spans="127:487" x14ac:dyDescent="0.25">
      <c r="FJ256" s="1073"/>
      <c r="FK256" s="1073"/>
      <c r="FL256" s="1074"/>
      <c r="RD256" s="1104"/>
      <c r="RE256" s="1104"/>
      <c r="RF256" s="1104"/>
      <c r="RG256" s="1104">
        <f t="shared" si="86"/>
        <v>0</v>
      </c>
      <c r="RH256" s="1104">
        <f t="shared" si="86"/>
        <v>0</v>
      </c>
      <c r="RI256" s="1104">
        <f t="shared" si="86"/>
        <v>0</v>
      </c>
      <c r="RJ256" s="1104">
        <f t="shared" si="86"/>
        <v>0</v>
      </c>
      <c r="RK256" s="1104">
        <f t="shared" si="86"/>
        <v>0</v>
      </c>
      <c r="RL256" s="1104">
        <f t="shared" si="86"/>
        <v>0</v>
      </c>
      <c r="RM256" s="1104">
        <f t="shared" si="86"/>
        <v>0</v>
      </c>
      <c r="RN256" s="1104">
        <f t="shared" si="86"/>
        <v>0</v>
      </c>
      <c r="RO256" s="1104">
        <f t="shared" si="86"/>
        <v>0</v>
      </c>
      <c r="RP256" s="1104">
        <f t="shared" si="86"/>
        <v>0</v>
      </c>
      <c r="RQ256" s="1104">
        <f t="shared" si="86"/>
        <v>0</v>
      </c>
      <c r="RR256" s="1104">
        <f t="shared" si="86"/>
        <v>0</v>
      </c>
      <c r="RS256" s="1104">
        <f t="shared" si="86"/>
        <v>0</v>
      </c>
    </row>
    <row r="257" spans="166:487" x14ac:dyDescent="0.25">
      <c r="FJ257" s="1073"/>
      <c r="FK257" s="1073"/>
      <c r="FL257" s="1074"/>
      <c r="RD257" s="1104"/>
      <c r="RE257" s="1104"/>
      <c r="RF257" s="1104"/>
      <c r="RG257" s="1104">
        <f t="shared" si="86"/>
        <v>0</v>
      </c>
      <c r="RH257" s="1104">
        <f t="shared" si="86"/>
        <v>0</v>
      </c>
      <c r="RI257" s="1104">
        <f t="shared" si="86"/>
        <v>0</v>
      </c>
      <c r="RJ257" s="1104">
        <f t="shared" si="86"/>
        <v>0</v>
      </c>
      <c r="RK257" s="1104">
        <f t="shared" si="86"/>
        <v>0</v>
      </c>
      <c r="RL257" s="1104">
        <f t="shared" si="86"/>
        <v>0</v>
      </c>
      <c r="RM257" s="1104">
        <f t="shared" si="86"/>
        <v>0</v>
      </c>
      <c r="RN257" s="1104">
        <f t="shared" si="86"/>
        <v>0</v>
      </c>
      <c r="RO257" s="1104">
        <f t="shared" si="86"/>
        <v>0</v>
      </c>
      <c r="RP257" s="1104">
        <f t="shared" si="86"/>
        <v>0</v>
      </c>
      <c r="RQ257" s="1104">
        <f t="shared" si="86"/>
        <v>0</v>
      </c>
      <c r="RR257" s="1104">
        <f t="shared" si="86"/>
        <v>0</v>
      </c>
      <c r="RS257" s="1104">
        <f t="shared" si="86"/>
        <v>0</v>
      </c>
    </row>
    <row r="258" spans="166:487" x14ac:dyDescent="0.25">
      <c r="FJ258" s="1073"/>
      <c r="FK258" s="1073"/>
      <c r="FL258" s="1074"/>
      <c r="RD258" s="1104"/>
      <c r="RE258" s="1104"/>
      <c r="RF258" s="1104"/>
      <c r="RG258" s="1104">
        <f t="shared" si="86"/>
        <v>0</v>
      </c>
      <c r="RH258" s="1104">
        <f t="shared" si="86"/>
        <v>0</v>
      </c>
      <c r="RI258" s="1104">
        <f t="shared" si="86"/>
        <v>0</v>
      </c>
      <c r="RJ258" s="1104">
        <f t="shared" si="86"/>
        <v>0</v>
      </c>
      <c r="RK258" s="1104">
        <f t="shared" si="86"/>
        <v>0</v>
      </c>
      <c r="RL258" s="1104">
        <f t="shared" si="86"/>
        <v>0</v>
      </c>
      <c r="RM258" s="1104">
        <f t="shared" si="86"/>
        <v>0</v>
      </c>
      <c r="RN258" s="1104">
        <f t="shared" si="86"/>
        <v>0</v>
      </c>
      <c r="RO258" s="1104">
        <f t="shared" si="86"/>
        <v>0</v>
      </c>
      <c r="RP258" s="1104">
        <f t="shared" si="86"/>
        <v>0</v>
      </c>
      <c r="RQ258" s="1104">
        <f t="shared" si="86"/>
        <v>0</v>
      </c>
      <c r="RR258" s="1104">
        <f t="shared" si="86"/>
        <v>0</v>
      </c>
      <c r="RS258" s="1104">
        <f t="shared" si="86"/>
        <v>0</v>
      </c>
    </row>
    <row r="259" spans="166:487" x14ac:dyDescent="0.25">
      <c r="FJ259" s="1073"/>
      <c r="FK259" s="1073"/>
      <c r="FL259" s="1074"/>
      <c r="RD259" s="1104"/>
      <c r="RE259" s="1104"/>
      <c r="RF259" s="1104"/>
      <c r="RG259" s="1104">
        <f t="shared" si="86"/>
        <v>0</v>
      </c>
      <c r="RH259" s="1104">
        <f t="shared" si="86"/>
        <v>0</v>
      </c>
      <c r="RI259" s="1104">
        <f t="shared" si="86"/>
        <v>0</v>
      </c>
      <c r="RJ259" s="1104">
        <f t="shared" si="86"/>
        <v>0</v>
      </c>
      <c r="RK259" s="1104">
        <f t="shared" si="86"/>
        <v>0</v>
      </c>
      <c r="RL259" s="1104">
        <f t="shared" si="86"/>
        <v>0</v>
      </c>
      <c r="RM259" s="1104">
        <f t="shared" si="86"/>
        <v>0</v>
      </c>
      <c r="RN259" s="1104">
        <f t="shared" si="86"/>
        <v>0</v>
      </c>
      <c r="RO259" s="1104">
        <f t="shared" si="86"/>
        <v>0</v>
      </c>
      <c r="RP259" s="1104">
        <f t="shared" si="86"/>
        <v>0</v>
      </c>
      <c r="RQ259" s="1104">
        <f t="shared" si="86"/>
        <v>0</v>
      </c>
      <c r="RR259" s="1104">
        <f t="shared" si="86"/>
        <v>0</v>
      </c>
      <c r="RS259" s="1104">
        <f t="shared" si="86"/>
        <v>0</v>
      </c>
    </row>
    <row r="260" spans="166:487" x14ac:dyDescent="0.25">
      <c r="FJ260" s="1073"/>
      <c r="FK260" s="1073"/>
      <c r="FL260" s="1074"/>
      <c r="RD260" s="1104"/>
      <c r="RE260" s="1104"/>
      <c r="RF260" s="1104"/>
      <c r="RG260" s="1104">
        <f t="shared" si="86"/>
        <v>0</v>
      </c>
      <c r="RH260" s="1104">
        <f t="shared" si="86"/>
        <v>0</v>
      </c>
      <c r="RI260" s="1104">
        <f t="shared" si="86"/>
        <v>0</v>
      </c>
      <c r="RJ260" s="1104">
        <f t="shared" si="86"/>
        <v>0</v>
      </c>
      <c r="RK260" s="1104">
        <f t="shared" si="86"/>
        <v>0</v>
      </c>
      <c r="RL260" s="1104">
        <f t="shared" si="86"/>
        <v>0</v>
      </c>
      <c r="RM260" s="1104">
        <f t="shared" si="86"/>
        <v>0</v>
      </c>
      <c r="RN260" s="1104">
        <f t="shared" si="86"/>
        <v>0</v>
      </c>
      <c r="RO260" s="1104">
        <f t="shared" si="86"/>
        <v>0</v>
      </c>
      <c r="RP260" s="1104">
        <f t="shared" si="86"/>
        <v>0</v>
      </c>
      <c r="RQ260" s="1104">
        <f t="shared" si="86"/>
        <v>0</v>
      </c>
      <c r="RR260" s="1104">
        <f t="shared" si="86"/>
        <v>0</v>
      </c>
      <c r="RS260" s="1104">
        <f t="shared" si="86"/>
        <v>0</v>
      </c>
    </row>
    <row r="261" spans="166:487" x14ac:dyDescent="0.25">
      <c r="FJ261" s="1073"/>
      <c r="FK261" s="1073"/>
      <c r="FL261" s="1074"/>
      <c r="RD261" s="1104"/>
      <c r="RE261" s="1104"/>
      <c r="RF261" s="1104"/>
      <c r="RG261" s="1104">
        <f t="shared" si="86"/>
        <v>0</v>
      </c>
      <c r="RH261" s="1104">
        <f t="shared" si="86"/>
        <v>0</v>
      </c>
      <c r="RI261" s="1104">
        <f t="shared" si="86"/>
        <v>0</v>
      </c>
      <c r="RJ261" s="1104">
        <f t="shared" si="86"/>
        <v>0</v>
      </c>
      <c r="RK261" s="1104">
        <f t="shared" si="86"/>
        <v>0</v>
      </c>
      <c r="RL261" s="1104">
        <f t="shared" si="86"/>
        <v>0</v>
      </c>
      <c r="RM261" s="1104">
        <f t="shared" si="86"/>
        <v>0</v>
      </c>
      <c r="RN261" s="1104">
        <f t="shared" si="86"/>
        <v>0</v>
      </c>
      <c r="RO261" s="1104">
        <f t="shared" si="86"/>
        <v>0</v>
      </c>
      <c r="RP261" s="1104">
        <f t="shared" si="86"/>
        <v>0</v>
      </c>
      <c r="RQ261" s="1104">
        <f t="shared" si="86"/>
        <v>0</v>
      </c>
      <c r="RR261" s="1104">
        <f t="shared" si="86"/>
        <v>0</v>
      </c>
      <c r="RS261" s="1104">
        <f t="shared" si="86"/>
        <v>0</v>
      </c>
    </row>
    <row r="262" spans="166:487" x14ac:dyDescent="0.25">
      <c r="FJ262" s="1073"/>
      <c r="FK262" s="1073"/>
      <c r="FL262" s="1074"/>
      <c r="RD262" s="1104"/>
      <c r="RE262" s="1104"/>
      <c r="RF262" s="1104"/>
      <c r="RG262" s="1104">
        <f t="shared" si="86"/>
        <v>0</v>
      </c>
      <c r="RH262" s="1104">
        <f t="shared" si="86"/>
        <v>0</v>
      </c>
      <c r="RI262" s="1104">
        <f t="shared" si="86"/>
        <v>0</v>
      </c>
      <c r="RJ262" s="1104">
        <f t="shared" si="86"/>
        <v>0</v>
      </c>
      <c r="RK262" s="1104">
        <f t="shared" si="86"/>
        <v>0</v>
      </c>
      <c r="RL262" s="1104">
        <f t="shared" si="86"/>
        <v>0</v>
      </c>
      <c r="RM262" s="1104">
        <f t="shared" si="86"/>
        <v>0</v>
      </c>
      <c r="RN262" s="1104">
        <f t="shared" si="86"/>
        <v>0</v>
      </c>
      <c r="RO262" s="1104">
        <f t="shared" si="86"/>
        <v>0</v>
      </c>
      <c r="RP262" s="1104">
        <f t="shared" si="86"/>
        <v>0</v>
      </c>
      <c r="RQ262" s="1104">
        <f t="shared" si="86"/>
        <v>0</v>
      </c>
      <c r="RR262" s="1104">
        <f t="shared" si="86"/>
        <v>0</v>
      </c>
      <c r="RS262" s="1104">
        <f t="shared" si="86"/>
        <v>0</v>
      </c>
    </row>
    <row r="263" spans="166:487" x14ac:dyDescent="0.25">
      <c r="FJ263" s="1073"/>
      <c r="FK263" s="1073"/>
      <c r="FL263" s="1074"/>
      <c r="RD263" s="1104"/>
      <c r="RE263" s="1104"/>
      <c r="RF263" s="1104"/>
      <c r="RG263" s="1104">
        <f t="shared" si="86"/>
        <v>0</v>
      </c>
      <c r="RH263" s="1104">
        <f t="shared" si="86"/>
        <v>0</v>
      </c>
      <c r="RI263" s="1104">
        <f t="shared" si="86"/>
        <v>0</v>
      </c>
      <c r="RJ263" s="1104">
        <f t="shared" si="86"/>
        <v>0</v>
      </c>
      <c r="RK263" s="1104">
        <f t="shared" si="86"/>
        <v>0</v>
      </c>
      <c r="RL263" s="1104">
        <f t="shared" si="86"/>
        <v>0</v>
      </c>
      <c r="RM263" s="1104">
        <f t="shared" si="86"/>
        <v>0</v>
      </c>
      <c r="RN263" s="1104">
        <f t="shared" si="86"/>
        <v>0</v>
      </c>
      <c r="RO263" s="1104">
        <f t="shared" si="86"/>
        <v>0</v>
      </c>
      <c r="RP263" s="1104">
        <f t="shared" si="86"/>
        <v>0</v>
      </c>
      <c r="RQ263" s="1104">
        <f t="shared" si="86"/>
        <v>0</v>
      </c>
      <c r="RR263" s="1104">
        <f t="shared" si="86"/>
        <v>0</v>
      </c>
      <c r="RS263" s="1104">
        <f t="shared" si="86"/>
        <v>0</v>
      </c>
    </row>
    <row r="264" spans="166:487" x14ac:dyDescent="0.25">
      <c r="FJ264" s="1073"/>
      <c r="FK264" s="1073"/>
      <c r="FL264" s="1074"/>
      <c r="RD264" s="1104"/>
      <c r="RE264" s="1104"/>
      <c r="RF264" s="1104"/>
      <c r="RG264" s="1104">
        <f t="shared" si="86"/>
        <v>0</v>
      </c>
      <c r="RH264" s="1104">
        <f t="shared" si="86"/>
        <v>0</v>
      </c>
      <c r="RI264" s="1104">
        <f t="shared" si="86"/>
        <v>0</v>
      </c>
      <c r="RJ264" s="1104">
        <f t="shared" si="86"/>
        <v>0</v>
      </c>
      <c r="RK264" s="1104">
        <f t="shared" si="86"/>
        <v>0</v>
      </c>
      <c r="RL264" s="1104">
        <f t="shared" si="86"/>
        <v>0</v>
      </c>
      <c r="RM264" s="1104">
        <f t="shared" si="86"/>
        <v>0</v>
      </c>
      <c r="RN264" s="1104">
        <f t="shared" si="86"/>
        <v>0</v>
      </c>
      <c r="RO264" s="1104">
        <f t="shared" si="86"/>
        <v>0</v>
      </c>
      <c r="RP264" s="1104">
        <f t="shared" si="86"/>
        <v>0</v>
      </c>
      <c r="RQ264" s="1104">
        <f t="shared" si="86"/>
        <v>0</v>
      </c>
      <c r="RR264" s="1104">
        <f t="shared" si="86"/>
        <v>0</v>
      </c>
      <c r="RS264" s="1104">
        <f t="shared" si="86"/>
        <v>0</v>
      </c>
    </row>
    <row r="265" spans="166:487" x14ac:dyDescent="0.25">
      <c r="FJ265" s="1073"/>
      <c r="FK265" s="1073"/>
      <c r="FL265" s="1074"/>
      <c r="RD265" s="1104"/>
      <c r="RE265" s="1104"/>
      <c r="RF265" s="1104"/>
      <c r="RG265" s="1104">
        <f t="shared" ref="RG265:RS280" si="87">RG80-RG174</f>
        <v>0</v>
      </c>
      <c r="RH265" s="1104">
        <f t="shared" si="87"/>
        <v>0</v>
      </c>
      <c r="RI265" s="1104">
        <f t="shared" si="87"/>
        <v>0</v>
      </c>
      <c r="RJ265" s="1104">
        <f t="shared" si="87"/>
        <v>0</v>
      </c>
      <c r="RK265" s="1104">
        <f t="shared" si="87"/>
        <v>0</v>
      </c>
      <c r="RL265" s="1104">
        <f t="shared" si="87"/>
        <v>0</v>
      </c>
      <c r="RM265" s="1104">
        <f t="shared" si="87"/>
        <v>0</v>
      </c>
      <c r="RN265" s="1104">
        <f t="shared" si="87"/>
        <v>0</v>
      </c>
      <c r="RO265" s="1104">
        <f t="shared" si="87"/>
        <v>0</v>
      </c>
      <c r="RP265" s="1104">
        <f t="shared" si="87"/>
        <v>0</v>
      </c>
      <c r="RQ265" s="1104">
        <f t="shared" si="87"/>
        <v>0</v>
      </c>
      <c r="RR265" s="1104">
        <f t="shared" si="87"/>
        <v>0</v>
      </c>
      <c r="RS265" s="1104">
        <f t="shared" si="87"/>
        <v>0</v>
      </c>
    </row>
    <row r="266" spans="166:487" x14ac:dyDescent="0.25">
      <c r="FJ266" s="1073"/>
      <c r="FK266" s="1073"/>
      <c r="FL266" s="1074"/>
      <c r="RD266" s="1104"/>
      <c r="RE266" s="1104"/>
      <c r="RF266" s="1104"/>
      <c r="RG266" s="1104">
        <f t="shared" si="87"/>
        <v>0</v>
      </c>
      <c r="RH266" s="1104">
        <f t="shared" si="87"/>
        <v>0</v>
      </c>
      <c r="RI266" s="1104">
        <f t="shared" si="87"/>
        <v>0</v>
      </c>
      <c r="RJ266" s="1104">
        <f t="shared" si="87"/>
        <v>0</v>
      </c>
      <c r="RK266" s="1104">
        <f t="shared" si="87"/>
        <v>0</v>
      </c>
      <c r="RL266" s="1104">
        <f t="shared" si="87"/>
        <v>0</v>
      </c>
      <c r="RM266" s="1104">
        <f t="shared" si="87"/>
        <v>0</v>
      </c>
      <c r="RN266" s="1104">
        <f t="shared" si="87"/>
        <v>0</v>
      </c>
      <c r="RO266" s="1104">
        <f t="shared" si="87"/>
        <v>0</v>
      </c>
      <c r="RP266" s="1104">
        <f t="shared" si="87"/>
        <v>0</v>
      </c>
      <c r="RQ266" s="1104">
        <f t="shared" si="87"/>
        <v>0</v>
      </c>
      <c r="RR266" s="1104">
        <f t="shared" si="87"/>
        <v>0</v>
      </c>
      <c r="RS266" s="1104">
        <f t="shared" si="87"/>
        <v>0</v>
      </c>
    </row>
    <row r="267" spans="166:487" x14ac:dyDescent="0.25">
      <c r="FJ267" s="1073"/>
      <c r="FK267" s="1073"/>
      <c r="FL267" s="1074"/>
      <c r="RD267" s="1104"/>
      <c r="RE267" s="1104"/>
      <c r="RF267" s="1104"/>
      <c r="RG267" s="1104">
        <f t="shared" si="87"/>
        <v>0</v>
      </c>
      <c r="RH267" s="1104">
        <f t="shared" si="87"/>
        <v>0</v>
      </c>
      <c r="RI267" s="1104">
        <f t="shared" si="87"/>
        <v>0</v>
      </c>
      <c r="RJ267" s="1104">
        <f t="shared" si="87"/>
        <v>0</v>
      </c>
      <c r="RK267" s="1104">
        <f t="shared" si="87"/>
        <v>0</v>
      </c>
      <c r="RL267" s="1104">
        <f t="shared" si="87"/>
        <v>0</v>
      </c>
      <c r="RM267" s="1104">
        <f t="shared" si="87"/>
        <v>0</v>
      </c>
      <c r="RN267" s="1104">
        <f t="shared" si="87"/>
        <v>0</v>
      </c>
      <c r="RO267" s="1104">
        <f t="shared" si="87"/>
        <v>0</v>
      </c>
      <c r="RP267" s="1104">
        <f t="shared" si="87"/>
        <v>0</v>
      </c>
      <c r="RQ267" s="1104">
        <f t="shared" si="87"/>
        <v>0</v>
      </c>
      <c r="RR267" s="1104">
        <f t="shared" si="87"/>
        <v>0</v>
      </c>
      <c r="RS267" s="1104">
        <f t="shared" si="87"/>
        <v>0</v>
      </c>
    </row>
    <row r="268" spans="166:487" x14ac:dyDescent="0.25">
      <c r="FJ268" s="1073"/>
      <c r="FK268" s="1073"/>
      <c r="FL268" s="1074"/>
      <c r="RD268" s="1104"/>
      <c r="RE268" s="1104"/>
      <c r="RF268" s="1104"/>
      <c r="RG268" s="1104">
        <f t="shared" si="87"/>
        <v>0</v>
      </c>
      <c r="RH268" s="1104">
        <f t="shared" si="87"/>
        <v>0</v>
      </c>
      <c r="RI268" s="1104">
        <f t="shared" si="87"/>
        <v>0</v>
      </c>
      <c r="RJ268" s="1104">
        <f t="shared" si="87"/>
        <v>0</v>
      </c>
      <c r="RK268" s="1104">
        <f t="shared" si="87"/>
        <v>0</v>
      </c>
      <c r="RL268" s="1104">
        <f t="shared" si="87"/>
        <v>0</v>
      </c>
      <c r="RM268" s="1104">
        <f t="shared" si="87"/>
        <v>0</v>
      </c>
      <c r="RN268" s="1104">
        <f t="shared" si="87"/>
        <v>0</v>
      </c>
      <c r="RO268" s="1104">
        <f t="shared" si="87"/>
        <v>0</v>
      </c>
      <c r="RP268" s="1104">
        <f t="shared" si="87"/>
        <v>0</v>
      </c>
      <c r="RQ268" s="1104">
        <f t="shared" si="87"/>
        <v>0</v>
      </c>
      <c r="RR268" s="1104">
        <f t="shared" si="87"/>
        <v>0</v>
      </c>
      <c r="RS268" s="1104">
        <f t="shared" si="87"/>
        <v>0</v>
      </c>
    </row>
    <row r="269" spans="166:487" x14ac:dyDescent="0.25">
      <c r="FJ269" s="1073"/>
      <c r="FK269" s="1073"/>
      <c r="FL269" s="1074"/>
      <c r="RD269" s="1104"/>
      <c r="RE269" s="1104"/>
      <c r="RF269" s="1104"/>
      <c r="RG269" s="1104">
        <f t="shared" si="87"/>
        <v>0</v>
      </c>
      <c r="RH269" s="1104">
        <f t="shared" si="87"/>
        <v>0</v>
      </c>
      <c r="RI269" s="1104">
        <f t="shared" si="87"/>
        <v>0</v>
      </c>
      <c r="RJ269" s="1104">
        <f t="shared" si="87"/>
        <v>0</v>
      </c>
      <c r="RK269" s="1104">
        <f t="shared" si="87"/>
        <v>0</v>
      </c>
      <c r="RL269" s="1104">
        <f t="shared" si="87"/>
        <v>0</v>
      </c>
      <c r="RM269" s="1104">
        <f t="shared" si="87"/>
        <v>0</v>
      </c>
      <c r="RN269" s="1104">
        <f t="shared" si="87"/>
        <v>0</v>
      </c>
      <c r="RO269" s="1104">
        <f t="shared" si="87"/>
        <v>0</v>
      </c>
      <c r="RP269" s="1104">
        <f t="shared" si="87"/>
        <v>0</v>
      </c>
      <c r="RQ269" s="1104">
        <f t="shared" si="87"/>
        <v>0</v>
      </c>
      <c r="RR269" s="1104">
        <f t="shared" si="87"/>
        <v>0</v>
      </c>
      <c r="RS269" s="1104">
        <f t="shared" si="87"/>
        <v>0</v>
      </c>
    </row>
    <row r="270" spans="166:487" x14ac:dyDescent="0.25">
      <c r="FJ270" s="1073"/>
      <c r="FK270" s="1073"/>
      <c r="FL270" s="1074"/>
      <c r="RD270" s="1104"/>
      <c r="RE270" s="1104"/>
      <c r="RF270" s="1104"/>
      <c r="RG270" s="1104">
        <f t="shared" si="87"/>
        <v>0</v>
      </c>
      <c r="RH270" s="1104">
        <f t="shared" si="87"/>
        <v>0</v>
      </c>
      <c r="RI270" s="1104">
        <f t="shared" si="87"/>
        <v>0</v>
      </c>
      <c r="RJ270" s="1104">
        <f t="shared" si="87"/>
        <v>0</v>
      </c>
      <c r="RK270" s="1104">
        <f t="shared" si="87"/>
        <v>0</v>
      </c>
      <c r="RL270" s="1104">
        <f t="shared" si="87"/>
        <v>0</v>
      </c>
      <c r="RM270" s="1104">
        <f t="shared" si="87"/>
        <v>0</v>
      </c>
      <c r="RN270" s="1104">
        <f t="shared" si="87"/>
        <v>0</v>
      </c>
      <c r="RO270" s="1104">
        <f t="shared" si="87"/>
        <v>0</v>
      </c>
      <c r="RP270" s="1104">
        <f t="shared" si="87"/>
        <v>0</v>
      </c>
      <c r="RQ270" s="1104">
        <f t="shared" si="87"/>
        <v>0</v>
      </c>
      <c r="RR270" s="1104">
        <f t="shared" si="87"/>
        <v>0</v>
      </c>
      <c r="RS270" s="1104">
        <f t="shared" si="87"/>
        <v>0</v>
      </c>
    </row>
    <row r="271" spans="166:487" x14ac:dyDescent="0.25">
      <c r="FJ271" s="1073"/>
      <c r="FK271" s="1073"/>
      <c r="FL271" s="1074"/>
      <c r="RD271" s="1104"/>
      <c r="RE271" s="1104"/>
      <c r="RF271" s="1104"/>
      <c r="RG271" s="1104">
        <f t="shared" si="87"/>
        <v>0</v>
      </c>
      <c r="RH271" s="1104">
        <f t="shared" si="87"/>
        <v>0</v>
      </c>
      <c r="RI271" s="1104">
        <f t="shared" si="87"/>
        <v>0</v>
      </c>
      <c r="RJ271" s="1104">
        <f t="shared" si="87"/>
        <v>0</v>
      </c>
      <c r="RK271" s="1104">
        <f t="shared" si="87"/>
        <v>0</v>
      </c>
      <c r="RL271" s="1104">
        <f t="shared" si="87"/>
        <v>0</v>
      </c>
      <c r="RM271" s="1104">
        <f t="shared" si="87"/>
        <v>0</v>
      </c>
      <c r="RN271" s="1104">
        <f t="shared" si="87"/>
        <v>0</v>
      </c>
      <c r="RO271" s="1104">
        <f t="shared" si="87"/>
        <v>0</v>
      </c>
      <c r="RP271" s="1104">
        <f t="shared" si="87"/>
        <v>0</v>
      </c>
      <c r="RQ271" s="1104">
        <f t="shared" si="87"/>
        <v>0</v>
      </c>
      <c r="RR271" s="1104">
        <f t="shared" si="87"/>
        <v>0</v>
      </c>
      <c r="RS271" s="1104">
        <f t="shared" si="87"/>
        <v>0</v>
      </c>
    </row>
    <row r="272" spans="166:487" x14ac:dyDescent="0.25">
      <c r="FJ272" s="1073"/>
      <c r="FK272" s="1073"/>
      <c r="FL272" s="1074"/>
      <c r="RD272" s="1104"/>
      <c r="RE272" s="1104"/>
      <c r="RF272" s="1104"/>
      <c r="RG272" s="1104">
        <f t="shared" si="87"/>
        <v>0</v>
      </c>
      <c r="RH272" s="1104">
        <f t="shared" si="87"/>
        <v>0</v>
      </c>
      <c r="RI272" s="1104">
        <f t="shared" si="87"/>
        <v>0</v>
      </c>
      <c r="RJ272" s="1104">
        <f t="shared" si="87"/>
        <v>0</v>
      </c>
      <c r="RK272" s="1104">
        <f t="shared" si="87"/>
        <v>0</v>
      </c>
      <c r="RL272" s="1104">
        <f t="shared" si="87"/>
        <v>0</v>
      </c>
      <c r="RM272" s="1104">
        <f t="shared" si="87"/>
        <v>0</v>
      </c>
      <c r="RN272" s="1104">
        <f t="shared" si="87"/>
        <v>0</v>
      </c>
      <c r="RO272" s="1104">
        <f t="shared" si="87"/>
        <v>0</v>
      </c>
      <c r="RP272" s="1104">
        <f t="shared" si="87"/>
        <v>0</v>
      </c>
      <c r="RQ272" s="1104">
        <f t="shared" si="87"/>
        <v>0</v>
      </c>
      <c r="RR272" s="1104">
        <f t="shared" si="87"/>
        <v>0</v>
      </c>
      <c r="RS272" s="1104">
        <f t="shared" si="87"/>
        <v>0</v>
      </c>
    </row>
    <row r="273" spans="166:487" x14ac:dyDescent="0.25">
      <c r="FJ273" s="1073"/>
      <c r="FK273" s="1073"/>
      <c r="FL273" s="1074"/>
      <c r="RD273" s="1104"/>
      <c r="RE273" s="1104"/>
      <c r="RF273" s="1104"/>
      <c r="RG273" s="1104">
        <f t="shared" si="87"/>
        <v>0</v>
      </c>
      <c r="RH273" s="1104">
        <f t="shared" si="87"/>
        <v>0</v>
      </c>
      <c r="RI273" s="1104">
        <f t="shared" si="87"/>
        <v>0</v>
      </c>
      <c r="RJ273" s="1104">
        <f t="shared" si="87"/>
        <v>0</v>
      </c>
      <c r="RK273" s="1104">
        <f t="shared" si="87"/>
        <v>0</v>
      </c>
      <c r="RL273" s="1104">
        <f t="shared" si="87"/>
        <v>0</v>
      </c>
      <c r="RM273" s="1104">
        <f t="shared" si="87"/>
        <v>0</v>
      </c>
      <c r="RN273" s="1104">
        <f t="shared" si="87"/>
        <v>0</v>
      </c>
      <c r="RO273" s="1104">
        <f t="shared" si="87"/>
        <v>0</v>
      </c>
      <c r="RP273" s="1104">
        <f t="shared" si="87"/>
        <v>0</v>
      </c>
      <c r="RQ273" s="1104">
        <f t="shared" si="87"/>
        <v>0</v>
      </c>
      <c r="RR273" s="1104">
        <f t="shared" si="87"/>
        <v>0</v>
      </c>
      <c r="RS273" s="1104">
        <f t="shared" si="87"/>
        <v>0</v>
      </c>
    </row>
    <row r="274" spans="166:487" x14ac:dyDescent="0.25">
      <c r="FJ274" s="1073"/>
      <c r="FK274" s="1073"/>
      <c r="FL274" s="1074"/>
      <c r="RD274" s="1104"/>
      <c r="RE274" s="1104"/>
      <c r="RF274" s="1104"/>
      <c r="RG274" s="1104">
        <f t="shared" si="87"/>
        <v>0</v>
      </c>
      <c r="RH274" s="1104">
        <f t="shared" si="87"/>
        <v>0</v>
      </c>
      <c r="RI274" s="1104">
        <f t="shared" si="87"/>
        <v>0</v>
      </c>
      <c r="RJ274" s="1104">
        <f t="shared" si="87"/>
        <v>0</v>
      </c>
      <c r="RK274" s="1104">
        <f t="shared" si="87"/>
        <v>0</v>
      </c>
      <c r="RL274" s="1104">
        <f t="shared" si="87"/>
        <v>0</v>
      </c>
      <c r="RM274" s="1104">
        <f t="shared" si="87"/>
        <v>0</v>
      </c>
      <c r="RN274" s="1104">
        <f t="shared" si="87"/>
        <v>0</v>
      </c>
      <c r="RO274" s="1104">
        <f t="shared" si="87"/>
        <v>0</v>
      </c>
      <c r="RP274" s="1104">
        <f t="shared" si="87"/>
        <v>0</v>
      </c>
      <c r="RQ274" s="1104">
        <f t="shared" si="87"/>
        <v>0</v>
      </c>
      <c r="RR274" s="1104">
        <f t="shared" si="87"/>
        <v>0</v>
      </c>
      <c r="RS274" s="1104">
        <f t="shared" si="87"/>
        <v>0</v>
      </c>
    </row>
    <row r="275" spans="166:487" x14ac:dyDescent="0.25">
      <c r="FJ275" s="1073"/>
      <c r="FK275" s="1073"/>
      <c r="FL275" s="1074"/>
      <c r="RD275" s="1104"/>
      <c r="RE275" s="1104"/>
      <c r="RF275" s="1104"/>
      <c r="RG275" s="1104">
        <f t="shared" si="87"/>
        <v>0</v>
      </c>
      <c r="RH275" s="1104">
        <f t="shared" si="87"/>
        <v>0</v>
      </c>
      <c r="RI275" s="1104">
        <f t="shared" si="87"/>
        <v>0</v>
      </c>
      <c r="RJ275" s="1104">
        <f t="shared" si="87"/>
        <v>0</v>
      </c>
      <c r="RK275" s="1104">
        <f t="shared" si="87"/>
        <v>0</v>
      </c>
      <c r="RL275" s="1104">
        <f t="shared" si="87"/>
        <v>0</v>
      </c>
      <c r="RM275" s="1104">
        <f t="shared" si="87"/>
        <v>0</v>
      </c>
      <c r="RN275" s="1104">
        <f t="shared" si="87"/>
        <v>0</v>
      </c>
      <c r="RO275" s="1104">
        <f t="shared" si="87"/>
        <v>0</v>
      </c>
      <c r="RP275" s="1104">
        <f t="shared" si="87"/>
        <v>0</v>
      </c>
      <c r="RQ275" s="1104">
        <f t="shared" si="87"/>
        <v>0</v>
      </c>
      <c r="RR275" s="1104">
        <f t="shared" si="87"/>
        <v>0</v>
      </c>
      <c r="RS275" s="1104">
        <f t="shared" si="87"/>
        <v>0</v>
      </c>
    </row>
    <row r="276" spans="166:487" x14ac:dyDescent="0.25">
      <c r="FJ276" s="1073"/>
      <c r="FK276" s="1073"/>
      <c r="FL276" s="1074"/>
      <c r="RD276" s="1104"/>
      <c r="RE276" s="1104"/>
      <c r="RF276" s="1104"/>
      <c r="RG276" s="1104">
        <f t="shared" si="87"/>
        <v>0</v>
      </c>
      <c r="RH276" s="1104">
        <f t="shared" si="87"/>
        <v>0</v>
      </c>
      <c r="RI276" s="1104">
        <f t="shared" si="87"/>
        <v>0</v>
      </c>
      <c r="RJ276" s="1104">
        <f t="shared" si="87"/>
        <v>0</v>
      </c>
      <c r="RK276" s="1104">
        <f t="shared" si="87"/>
        <v>0</v>
      </c>
      <c r="RL276" s="1104">
        <f t="shared" si="87"/>
        <v>0</v>
      </c>
      <c r="RM276" s="1104">
        <f t="shared" si="87"/>
        <v>0</v>
      </c>
      <c r="RN276" s="1104">
        <f t="shared" si="87"/>
        <v>0</v>
      </c>
      <c r="RO276" s="1104">
        <f t="shared" si="87"/>
        <v>0</v>
      </c>
      <c r="RP276" s="1104">
        <f t="shared" si="87"/>
        <v>0</v>
      </c>
      <c r="RQ276" s="1104">
        <f t="shared" si="87"/>
        <v>0</v>
      </c>
      <c r="RR276" s="1104">
        <f t="shared" si="87"/>
        <v>0</v>
      </c>
      <c r="RS276" s="1104">
        <f t="shared" si="87"/>
        <v>0</v>
      </c>
    </row>
    <row r="277" spans="166:487" x14ac:dyDescent="0.25">
      <c r="RD277" s="1104"/>
      <c r="RE277" s="1104"/>
      <c r="RF277" s="1104"/>
      <c r="RG277" s="1104">
        <f t="shared" si="87"/>
        <v>0</v>
      </c>
      <c r="RH277" s="1104">
        <f t="shared" si="87"/>
        <v>0</v>
      </c>
      <c r="RI277" s="1104">
        <f t="shared" si="87"/>
        <v>0</v>
      </c>
      <c r="RJ277" s="1104">
        <f t="shared" si="87"/>
        <v>0</v>
      </c>
      <c r="RK277" s="1104">
        <f t="shared" si="87"/>
        <v>0</v>
      </c>
      <c r="RL277" s="1104">
        <f t="shared" si="87"/>
        <v>0</v>
      </c>
      <c r="RM277" s="1104">
        <f t="shared" si="87"/>
        <v>0</v>
      </c>
      <c r="RN277" s="1104">
        <f t="shared" si="87"/>
        <v>0</v>
      </c>
      <c r="RO277" s="1104">
        <f t="shared" si="87"/>
        <v>0</v>
      </c>
      <c r="RP277" s="1104">
        <f t="shared" si="87"/>
        <v>0</v>
      </c>
      <c r="RQ277" s="1104">
        <f t="shared" si="87"/>
        <v>0</v>
      </c>
      <c r="RR277" s="1104">
        <f t="shared" si="87"/>
        <v>0</v>
      </c>
      <c r="RS277" s="1104">
        <f t="shared" si="87"/>
        <v>0</v>
      </c>
    </row>
    <row r="278" spans="166:487" x14ac:dyDescent="0.25">
      <c r="RD278" s="1104"/>
      <c r="RE278" s="1104"/>
      <c r="RF278" s="1104"/>
      <c r="RG278" s="1104">
        <f t="shared" si="87"/>
        <v>0</v>
      </c>
      <c r="RH278" s="1104">
        <f t="shared" si="87"/>
        <v>0</v>
      </c>
      <c r="RI278" s="1104">
        <f t="shared" si="87"/>
        <v>0</v>
      </c>
      <c r="RJ278" s="1104">
        <f t="shared" si="87"/>
        <v>0</v>
      </c>
      <c r="RK278" s="1104">
        <f t="shared" si="87"/>
        <v>0</v>
      </c>
      <c r="RL278" s="1104">
        <f t="shared" si="87"/>
        <v>0</v>
      </c>
      <c r="RM278" s="1104">
        <f t="shared" si="87"/>
        <v>0</v>
      </c>
      <c r="RN278" s="1104">
        <f t="shared" si="87"/>
        <v>0</v>
      </c>
      <c r="RO278" s="1104">
        <f t="shared" si="87"/>
        <v>0</v>
      </c>
      <c r="RP278" s="1104">
        <f t="shared" si="87"/>
        <v>0</v>
      </c>
      <c r="RQ278" s="1104">
        <f t="shared" si="87"/>
        <v>0</v>
      </c>
      <c r="RR278" s="1104">
        <f t="shared" si="87"/>
        <v>0</v>
      </c>
      <c r="RS278" s="1104">
        <f t="shared" si="87"/>
        <v>0</v>
      </c>
    </row>
    <row r="279" spans="166:487" x14ac:dyDescent="0.25">
      <c r="RD279" s="1104"/>
      <c r="RE279" s="1104"/>
      <c r="RF279" s="1104"/>
      <c r="RG279" s="1104">
        <f t="shared" si="87"/>
        <v>0</v>
      </c>
      <c r="RH279" s="1104">
        <f t="shared" si="87"/>
        <v>0</v>
      </c>
      <c r="RI279" s="1104">
        <f t="shared" si="87"/>
        <v>0</v>
      </c>
      <c r="RJ279" s="1104">
        <f t="shared" si="87"/>
        <v>0</v>
      </c>
      <c r="RK279" s="1104">
        <f t="shared" si="87"/>
        <v>0</v>
      </c>
      <c r="RL279" s="1104">
        <f t="shared" si="87"/>
        <v>0</v>
      </c>
      <c r="RM279" s="1104">
        <f t="shared" si="87"/>
        <v>0</v>
      </c>
      <c r="RN279" s="1104">
        <f t="shared" si="87"/>
        <v>0</v>
      </c>
      <c r="RO279" s="1104">
        <f t="shared" si="87"/>
        <v>0</v>
      </c>
      <c r="RP279" s="1104">
        <f t="shared" si="87"/>
        <v>0</v>
      </c>
      <c r="RQ279" s="1104">
        <f t="shared" si="87"/>
        <v>0</v>
      </c>
      <c r="RR279" s="1104">
        <f t="shared" si="87"/>
        <v>0</v>
      </c>
      <c r="RS279" s="1104">
        <f t="shared" si="87"/>
        <v>0</v>
      </c>
    </row>
    <row r="280" spans="166:487" x14ac:dyDescent="0.25">
      <c r="RD280" s="1104"/>
      <c r="RE280" s="1104"/>
      <c r="RF280" s="1104"/>
      <c r="RG280" s="1104">
        <f t="shared" si="87"/>
        <v>0</v>
      </c>
      <c r="RH280" s="1104">
        <f t="shared" si="87"/>
        <v>0</v>
      </c>
      <c r="RI280" s="1104">
        <f t="shared" si="87"/>
        <v>0</v>
      </c>
      <c r="RJ280" s="1104">
        <f t="shared" si="87"/>
        <v>0</v>
      </c>
      <c r="RK280" s="1104">
        <f t="shared" si="87"/>
        <v>0</v>
      </c>
      <c r="RL280" s="1104">
        <f t="shared" si="87"/>
        <v>0</v>
      </c>
      <c r="RM280" s="1104">
        <f t="shared" si="87"/>
        <v>0</v>
      </c>
      <c r="RN280" s="1104">
        <f t="shared" si="87"/>
        <v>0</v>
      </c>
      <c r="RO280" s="1104">
        <f t="shared" si="87"/>
        <v>0</v>
      </c>
      <c r="RP280" s="1104">
        <f t="shared" si="87"/>
        <v>0</v>
      </c>
      <c r="RQ280" s="1104">
        <f t="shared" si="87"/>
        <v>0</v>
      </c>
      <c r="RR280" s="1104">
        <f t="shared" si="87"/>
        <v>0</v>
      </c>
      <c r="RS280" s="1104">
        <f t="shared" si="87"/>
        <v>0</v>
      </c>
    </row>
    <row r="281" spans="166:487" x14ac:dyDescent="0.25">
      <c r="RD281" s="1104"/>
      <c r="RE281" s="1104"/>
      <c r="RF281" s="1104"/>
      <c r="RG281" s="1104">
        <f t="shared" ref="RG281:RS288" si="88">RG96-RG190</f>
        <v>0</v>
      </c>
      <c r="RH281" s="1104">
        <f t="shared" si="88"/>
        <v>0</v>
      </c>
      <c r="RI281" s="1104">
        <f t="shared" si="88"/>
        <v>0</v>
      </c>
      <c r="RJ281" s="1104">
        <f t="shared" si="88"/>
        <v>0</v>
      </c>
      <c r="RK281" s="1104">
        <f t="shared" si="88"/>
        <v>0</v>
      </c>
      <c r="RL281" s="1104">
        <f t="shared" si="88"/>
        <v>0</v>
      </c>
      <c r="RM281" s="1104">
        <f t="shared" si="88"/>
        <v>0</v>
      </c>
      <c r="RN281" s="1104">
        <f t="shared" si="88"/>
        <v>0</v>
      </c>
      <c r="RO281" s="1104">
        <f t="shared" si="88"/>
        <v>0</v>
      </c>
      <c r="RP281" s="1104">
        <f t="shared" si="88"/>
        <v>0</v>
      </c>
      <c r="RQ281" s="1104">
        <f t="shared" si="88"/>
        <v>0</v>
      </c>
      <c r="RR281" s="1104">
        <f t="shared" si="88"/>
        <v>0</v>
      </c>
      <c r="RS281" s="1104">
        <f t="shared" si="88"/>
        <v>0</v>
      </c>
    </row>
    <row r="282" spans="166:487" x14ac:dyDescent="0.25">
      <c r="RD282" s="1104"/>
      <c r="RE282" s="1104"/>
      <c r="RF282" s="1104"/>
      <c r="RG282" s="1104">
        <f t="shared" si="88"/>
        <v>0</v>
      </c>
      <c r="RH282" s="1104">
        <f t="shared" si="88"/>
        <v>0</v>
      </c>
      <c r="RI282" s="1104">
        <f t="shared" si="88"/>
        <v>0</v>
      </c>
      <c r="RJ282" s="1104">
        <f t="shared" si="88"/>
        <v>0</v>
      </c>
      <c r="RK282" s="1104">
        <f t="shared" si="88"/>
        <v>0</v>
      </c>
      <c r="RL282" s="1104">
        <f t="shared" si="88"/>
        <v>0</v>
      </c>
      <c r="RM282" s="1104">
        <f t="shared" si="88"/>
        <v>0</v>
      </c>
      <c r="RN282" s="1104">
        <f t="shared" si="88"/>
        <v>0</v>
      </c>
      <c r="RO282" s="1104">
        <f t="shared" si="88"/>
        <v>0</v>
      </c>
      <c r="RP282" s="1104">
        <f t="shared" si="88"/>
        <v>0</v>
      </c>
      <c r="RQ282" s="1104">
        <f t="shared" si="88"/>
        <v>0</v>
      </c>
      <c r="RR282" s="1104">
        <f t="shared" si="88"/>
        <v>0</v>
      </c>
      <c r="RS282" s="1104">
        <f t="shared" si="88"/>
        <v>0</v>
      </c>
    </row>
    <row r="283" spans="166:487" x14ac:dyDescent="0.25">
      <c r="RD283" s="1104"/>
      <c r="RE283" s="1104"/>
      <c r="RF283" s="1104"/>
      <c r="RG283" s="1104">
        <f t="shared" si="88"/>
        <v>0</v>
      </c>
      <c r="RH283" s="1104">
        <f t="shared" si="88"/>
        <v>0</v>
      </c>
      <c r="RI283" s="1104">
        <f t="shared" si="88"/>
        <v>0</v>
      </c>
      <c r="RJ283" s="1104">
        <f t="shared" si="88"/>
        <v>0</v>
      </c>
      <c r="RK283" s="1104">
        <f t="shared" si="88"/>
        <v>0</v>
      </c>
      <c r="RL283" s="1104">
        <f t="shared" si="88"/>
        <v>0</v>
      </c>
      <c r="RM283" s="1104">
        <f t="shared" si="88"/>
        <v>0</v>
      </c>
      <c r="RN283" s="1104">
        <f t="shared" si="88"/>
        <v>0</v>
      </c>
      <c r="RO283" s="1104">
        <f t="shared" si="88"/>
        <v>0</v>
      </c>
      <c r="RP283" s="1104">
        <f t="shared" si="88"/>
        <v>0</v>
      </c>
      <c r="RQ283" s="1104">
        <f t="shared" si="88"/>
        <v>0</v>
      </c>
      <c r="RR283" s="1104">
        <f t="shared" si="88"/>
        <v>0</v>
      </c>
      <c r="RS283" s="1104">
        <f t="shared" si="88"/>
        <v>0</v>
      </c>
    </row>
    <row r="284" spans="166:487" x14ac:dyDescent="0.25">
      <c r="RD284" s="1104"/>
      <c r="RE284" s="1104"/>
      <c r="RF284" s="1104"/>
      <c r="RG284" s="1104">
        <f t="shared" si="88"/>
        <v>0</v>
      </c>
      <c r="RH284" s="1104">
        <f t="shared" si="88"/>
        <v>0</v>
      </c>
      <c r="RI284" s="1104">
        <f t="shared" si="88"/>
        <v>0</v>
      </c>
      <c r="RJ284" s="1104">
        <f t="shared" si="88"/>
        <v>0</v>
      </c>
      <c r="RK284" s="1104">
        <f t="shared" si="88"/>
        <v>0</v>
      </c>
      <c r="RL284" s="1104">
        <f t="shared" si="88"/>
        <v>0</v>
      </c>
      <c r="RM284" s="1104">
        <f t="shared" si="88"/>
        <v>0</v>
      </c>
      <c r="RN284" s="1104">
        <f t="shared" si="88"/>
        <v>0</v>
      </c>
      <c r="RO284" s="1104">
        <f t="shared" si="88"/>
        <v>0</v>
      </c>
      <c r="RP284" s="1104">
        <f t="shared" si="88"/>
        <v>0</v>
      </c>
      <c r="RQ284" s="1104">
        <f t="shared" si="88"/>
        <v>0</v>
      </c>
      <c r="RR284" s="1104">
        <f t="shared" si="88"/>
        <v>0</v>
      </c>
      <c r="RS284" s="1104">
        <f t="shared" si="88"/>
        <v>0</v>
      </c>
    </row>
    <row r="285" spans="166:487" x14ac:dyDescent="0.25">
      <c r="RD285" s="1104"/>
      <c r="RE285" s="1104"/>
      <c r="RF285" s="1104"/>
      <c r="RG285" s="1104">
        <f t="shared" si="88"/>
        <v>0</v>
      </c>
      <c r="RH285" s="1104">
        <f t="shared" si="88"/>
        <v>0</v>
      </c>
      <c r="RI285" s="1104">
        <f t="shared" si="88"/>
        <v>0</v>
      </c>
      <c r="RJ285" s="1104">
        <f t="shared" si="88"/>
        <v>0</v>
      </c>
      <c r="RK285" s="1104">
        <f t="shared" si="88"/>
        <v>0</v>
      </c>
      <c r="RL285" s="1104">
        <f t="shared" si="88"/>
        <v>0</v>
      </c>
      <c r="RM285" s="1104">
        <f t="shared" si="88"/>
        <v>0</v>
      </c>
      <c r="RN285" s="1104">
        <f t="shared" si="88"/>
        <v>0</v>
      </c>
      <c r="RO285" s="1104">
        <f t="shared" si="88"/>
        <v>0</v>
      </c>
      <c r="RP285" s="1104">
        <f t="shared" si="88"/>
        <v>0</v>
      </c>
      <c r="RQ285" s="1104">
        <f t="shared" si="88"/>
        <v>0</v>
      </c>
      <c r="RR285" s="1104">
        <f t="shared" si="88"/>
        <v>0</v>
      </c>
      <c r="RS285" s="1104">
        <f t="shared" si="88"/>
        <v>0</v>
      </c>
    </row>
    <row r="286" spans="166:487" x14ac:dyDescent="0.25">
      <c r="RD286" s="1104"/>
      <c r="RE286" s="1104"/>
      <c r="RF286" s="1104"/>
      <c r="RG286" s="1104">
        <f t="shared" si="88"/>
        <v>0</v>
      </c>
      <c r="RH286" s="1104">
        <f t="shared" si="88"/>
        <v>0</v>
      </c>
      <c r="RI286" s="1104">
        <f t="shared" si="88"/>
        <v>0</v>
      </c>
      <c r="RJ286" s="1104">
        <f t="shared" si="88"/>
        <v>0</v>
      </c>
      <c r="RK286" s="1104">
        <f t="shared" si="88"/>
        <v>0</v>
      </c>
      <c r="RL286" s="1104">
        <f t="shared" si="88"/>
        <v>0</v>
      </c>
      <c r="RM286" s="1104">
        <f t="shared" si="88"/>
        <v>0</v>
      </c>
      <c r="RN286" s="1104">
        <f t="shared" si="88"/>
        <v>0</v>
      </c>
      <c r="RO286" s="1104">
        <f t="shared" si="88"/>
        <v>0</v>
      </c>
      <c r="RP286" s="1104">
        <f t="shared" si="88"/>
        <v>0</v>
      </c>
      <c r="RQ286" s="1104">
        <f t="shared" si="88"/>
        <v>0</v>
      </c>
      <c r="RR286" s="1104">
        <f t="shared" si="88"/>
        <v>0</v>
      </c>
      <c r="RS286" s="1104">
        <f t="shared" si="88"/>
        <v>0</v>
      </c>
    </row>
    <row r="287" spans="166:487" x14ac:dyDescent="0.25">
      <c r="RD287" s="1104"/>
      <c r="RE287" s="1104"/>
      <c r="RF287" s="1104"/>
      <c r="RG287" s="1104">
        <f t="shared" si="88"/>
        <v>0</v>
      </c>
      <c r="RH287" s="1104">
        <f t="shared" si="88"/>
        <v>0</v>
      </c>
      <c r="RI287" s="1104">
        <f t="shared" si="88"/>
        <v>0</v>
      </c>
      <c r="RJ287" s="1104">
        <f t="shared" si="88"/>
        <v>0</v>
      </c>
      <c r="RK287" s="1104">
        <f t="shared" si="88"/>
        <v>0</v>
      </c>
      <c r="RL287" s="1104">
        <f t="shared" si="88"/>
        <v>0</v>
      </c>
      <c r="RM287" s="1104">
        <f t="shared" si="88"/>
        <v>0</v>
      </c>
      <c r="RN287" s="1104">
        <f t="shared" si="88"/>
        <v>0</v>
      </c>
      <c r="RO287" s="1104">
        <f t="shared" si="88"/>
        <v>0</v>
      </c>
      <c r="RP287" s="1104">
        <f t="shared" si="88"/>
        <v>0</v>
      </c>
      <c r="RQ287" s="1104">
        <f t="shared" si="88"/>
        <v>0</v>
      </c>
      <c r="RR287" s="1104">
        <f t="shared" si="88"/>
        <v>0</v>
      </c>
      <c r="RS287" s="1104">
        <f t="shared" si="88"/>
        <v>0</v>
      </c>
    </row>
    <row r="288" spans="166:487" x14ac:dyDescent="0.25">
      <c r="RD288" s="1104"/>
      <c r="RE288" s="1104"/>
      <c r="RF288" s="1104"/>
      <c r="RG288" s="1104">
        <f t="shared" si="88"/>
        <v>0</v>
      </c>
      <c r="RH288" s="1104">
        <f t="shared" si="88"/>
        <v>0</v>
      </c>
      <c r="RI288" s="1104">
        <f t="shared" si="88"/>
        <v>0</v>
      </c>
      <c r="RJ288" s="1104">
        <f t="shared" si="88"/>
        <v>0</v>
      </c>
      <c r="RK288" s="1104">
        <f t="shared" si="88"/>
        <v>0</v>
      </c>
      <c r="RL288" s="1104">
        <f t="shared" si="88"/>
        <v>0</v>
      </c>
      <c r="RM288" s="1104">
        <f t="shared" si="88"/>
        <v>0</v>
      </c>
      <c r="RN288" s="1104">
        <f t="shared" si="88"/>
        <v>0</v>
      </c>
      <c r="RO288" s="1104">
        <f t="shared" si="88"/>
        <v>0</v>
      </c>
      <c r="RP288" s="1104">
        <f t="shared" si="88"/>
        <v>0</v>
      </c>
      <c r="RQ288" s="1104">
        <f t="shared" si="88"/>
        <v>0</v>
      </c>
      <c r="RR288" s="1104">
        <f t="shared" si="88"/>
        <v>0</v>
      </c>
      <c r="RS288" s="1104">
        <f t="shared" si="88"/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6"/>
  <sheetViews>
    <sheetView zoomScale="90" zoomScaleNormal="90" workbookViewId="0">
      <pane ySplit="10" topLeftCell="A11" activePane="bottomLeft" state="frozen"/>
      <selection activeCell="E167" sqref="E167"/>
      <selection pane="bottomLeft" activeCell="J35" sqref="J35"/>
    </sheetView>
  </sheetViews>
  <sheetFormatPr defaultColWidth="9.28515625" defaultRowHeight="15" outlineLevelRow="1" outlineLevelCol="1" x14ac:dyDescent="0.25"/>
  <cols>
    <col min="1" max="1" width="5" style="1" bestFit="1" customWidth="1"/>
    <col min="2" max="2" width="68.7109375" style="1" customWidth="1"/>
    <col min="3" max="3" width="17.28515625" style="1" customWidth="1"/>
    <col min="4" max="4" width="16" style="1" bestFit="1" customWidth="1"/>
    <col min="5" max="5" width="16" style="1" hidden="1" customWidth="1" outlineLevel="1"/>
    <col min="6" max="6" width="18.28515625" style="1" hidden="1" customWidth="1" outlineLevel="1"/>
    <col min="7" max="7" width="12.42578125" style="1" bestFit="1" customWidth="1" collapsed="1"/>
    <col min="8" max="8" width="41.7109375" style="1" customWidth="1"/>
    <col min="9" max="11" width="12.28515625" style="1" customWidth="1"/>
    <col min="17" max="17" width="9.28515625" style="1" customWidth="1"/>
    <col min="18" max="19" width="9.28515625" style="1"/>
    <col min="20" max="20" width="15.28515625" style="1" bestFit="1" customWidth="1"/>
    <col min="21" max="21" width="19.42578125" style="1" customWidth="1"/>
    <col min="22" max="22" width="12.28515625" style="1" bestFit="1" customWidth="1"/>
    <col min="23" max="23" width="15.28515625" style="1" bestFit="1" customWidth="1"/>
    <col min="24" max="26" width="9.28515625" style="1"/>
    <col min="27" max="27" width="16.7109375" style="1" customWidth="1"/>
    <col min="28" max="16384" width="9.28515625" style="1"/>
  </cols>
  <sheetData>
    <row r="1" spans="1:28" x14ac:dyDescent="0.25">
      <c r="C1" s="2" t="s">
        <v>849</v>
      </c>
      <c r="D1" s="3"/>
      <c r="E1" s="936"/>
      <c r="F1" s="4"/>
      <c r="J1" s="2" t="s">
        <v>848</v>
      </c>
      <c r="K1" s="3"/>
    </row>
    <row r="2" spans="1:28" x14ac:dyDescent="0.25">
      <c r="A2" s="6" t="s">
        <v>847</v>
      </c>
      <c r="B2" s="6"/>
      <c r="C2" s="6"/>
      <c r="D2" s="6"/>
      <c r="E2" s="7"/>
      <c r="F2" s="7"/>
      <c r="G2" s="6" t="s">
        <v>847</v>
      </c>
      <c r="H2" s="6"/>
      <c r="I2" s="6"/>
      <c r="J2" s="6"/>
      <c r="K2" s="6"/>
    </row>
    <row r="3" spans="1:28" x14ac:dyDescent="0.25">
      <c r="A3" s="6" t="s">
        <v>846</v>
      </c>
      <c r="B3" s="6"/>
      <c r="C3" s="6"/>
      <c r="D3" s="6"/>
      <c r="E3" s="7"/>
      <c r="F3" s="7"/>
      <c r="G3" s="6" t="s">
        <v>846</v>
      </c>
      <c r="H3" s="6"/>
      <c r="I3" s="6"/>
      <c r="J3" s="6"/>
      <c r="K3" s="6"/>
    </row>
    <row r="4" spans="1:28" x14ac:dyDescent="0.25">
      <c r="A4" s="6" t="s">
        <v>51</v>
      </c>
      <c r="B4" s="6"/>
      <c r="C4" s="6"/>
      <c r="D4" s="6"/>
      <c r="E4" s="7"/>
      <c r="F4" s="7"/>
      <c r="G4" s="6" t="str">
        <f>$A$4</f>
        <v>2024 GENERAL RATE CASE</v>
      </c>
      <c r="H4" s="6"/>
      <c r="I4" s="6"/>
      <c r="J4" s="6"/>
      <c r="K4" s="6"/>
    </row>
    <row r="5" spans="1:28" x14ac:dyDescent="0.25">
      <c r="A5" s="6" t="s">
        <v>52</v>
      </c>
      <c r="B5" s="6"/>
      <c r="C5" s="6"/>
      <c r="D5" s="6"/>
      <c r="E5" s="7"/>
      <c r="F5" s="7"/>
      <c r="G5" s="6" t="str">
        <f>$A$5</f>
        <v>12 MONTHS ENDED JUNE 30, 2023</v>
      </c>
      <c r="H5" s="6"/>
      <c r="I5" s="6"/>
      <c r="J5" s="6"/>
      <c r="K5" s="6"/>
    </row>
    <row r="6" spans="1:28" s="11" customFormat="1" ht="12.75" x14ac:dyDescent="0.2">
      <c r="A6" s="9" t="s">
        <v>1</v>
      </c>
      <c r="B6" s="9"/>
      <c r="C6" s="9"/>
      <c r="D6" s="9"/>
      <c r="E6" s="10"/>
      <c r="F6" s="10"/>
      <c r="G6" s="9" t="s">
        <v>2</v>
      </c>
      <c r="H6" s="9"/>
      <c r="I6" s="9"/>
      <c r="J6" s="9"/>
      <c r="K6" s="9"/>
    </row>
    <row r="7" spans="1:28" x14ac:dyDescent="0.25">
      <c r="B7" s="8"/>
      <c r="C7" s="8"/>
      <c r="D7" s="8"/>
      <c r="E7" s="8"/>
      <c r="F7" s="8"/>
      <c r="H7" s="8"/>
      <c r="I7" s="8"/>
      <c r="J7" s="8"/>
      <c r="K7" s="8"/>
    </row>
    <row r="9" spans="1:28" x14ac:dyDescent="0.25">
      <c r="A9" s="13" t="s">
        <v>4</v>
      </c>
      <c r="B9" s="13"/>
      <c r="C9" s="14">
        <v>2025</v>
      </c>
      <c r="D9" s="14">
        <v>2026</v>
      </c>
      <c r="E9" s="100"/>
      <c r="F9" s="100"/>
      <c r="G9" s="13" t="s">
        <v>4</v>
      </c>
      <c r="H9" s="13"/>
      <c r="I9" s="14" t="s">
        <v>5</v>
      </c>
      <c r="K9" s="14" t="s">
        <v>6</v>
      </c>
    </row>
    <row r="10" spans="1:28" x14ac:dyDescent="0.25">
      <c r="A10" s="15" t="s">
        <v>7</v>
      </c>
      <c r="B10" s="15" t="s">
        <v>8</v>
      </c>
      <c r="C10" s="16" t="s">
        <v>9</v>
      </c>
      <c r="D10" s="16" t="s">
        <v>10</v>
      </c>
      <c r="E10" s="100"/>
      <c r="F10" s="100"/>
      <c r="G10" s="15" t="s">
        <v>7</v>
      </c>
      <c r="H10" s="15" t="s">
        <v>8</v>
      </c>
      <c r="I10" s="16" t="s">
        <v>13</v>
      </c>
      <c r="J10" s="16" t="s">
        <v>14</v>
      </c>
      <c r="K10" s="16" t="s">
        <v>14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x14ac:dyDescent="0.25">
      <c r="E11" s="20"/>
      <c r="F11" s="20"/>
      <c r="G11"/>
      <c r="H11"/>
      <c r="I11" s="19"/>
      <c r="J11" s="19"/>
      <c r="K11" s="19"/>
      <c r="S11" s="20"/>
      <c r="T11" s="21"/>
      <c r="U11" s="20"/>
      <c r="V11" s="18"/>
      <c r="W11" s="18"/>
      <c r="X11" s="18"/>
      <c r="Y11" s="18"/>
      <c r="Z11" s="18"/>
      <c r="AA11" s="18"/>
      <c r="AB11" s="18"/>
    </row>
    <row r="12" spans="1:28" x14ac:dyDescent="0.25">
      <c r="A12" s="22">
        <f>ROW()</f>
        <v>12</v>
      </c>
      <c r="B12" s="23" t="s">
        <v>15</v>
      </c>
      <c r="C12" s="24">
        <f>'SEF-34 pg 1'!K58</f>
        <v>2866503992.9496732</v>
      </c>
      <c r="D12" s="24">
        <f>'SEF-34 pg 1'!M58</f>
        <v>2863128296.2018123</v>
      </c>
      <c r="E12" s="1178"/>
      <c r="F12" s="1178"/>
      <c r="G12" s="22">
        <f>ROW()</f>
        <v>12</v>
      </c>
      <c r="H12" s="25" t="s">
        <v>845</v>
      </c>
      <c r="I12" s="26"/>
      <c r="J12" s="26"/>
      <c r="K12" s="27"/>
      <c r="S12" s="30"/>
      <c r="T12" s="21"/>
      <c r="U12" s="21"/>
      <c r="V12" s="18"/>
      <c r="W12" s="18"/>
      <c r="X12" s="18"/>
      <c r="Y12" s="18"/>
      <c r="Z12" s="18"/>
      <c r="AA12" s="18"/>
      <c r="AB12" s="18"/>
    </row>
    <row r="13" spans="1:28" x14ac:dyDescent="0.25">
      <c r="A13" s="22">
        <f t="shared" ref="A13:A36" si="0">A12+1</f>
        <v>13</v>
      </c>
      <c r="B13" s="28" t="s">
        <v>18</v>
      </c>
      <c r="C13" s="31">
        <f>+K24</f>
        <v>7.6499999999999999E-2</v>
      </c>
      <c r="D13" s="31">
        <f>+K33</f>
        <v>7.9899999999999999E-2</v>
      </c>
      <c r="E13" s="34"/>
      <c r="F13" s="34"/>
      <c r="G13" s="30">
        <f t="shared" ref="G13:G37" si="1">+G12+1</f>
        <v>13</v>
      </c>
      <c r="H13" s="33" t="s">
        <v>19</v>
      </c>
      <c r="I13" s="34">
        <v>0.50929999999999997</v>
      </c>
      <c r="J13" s="34">
        <f>K13/I13</f>
        <v>5.1639505203220103E-2</v>
      </c>
      <c r="K13" s="35">
        <v>2.6299999999999997E-2</v>
      </c>
      <c r="S13" s="30"/>
      <c r="T13" s="34"/>
      <c r="U13" s="21"/>
      <c r="V13" s="18"/>
      <c r="W13" s="18"/>
      <c r="X13" s="18"/>
      <c r="Y13" s="18"/>
      <c r="Z13" s="18"/>
      <c r="AA13" s="18"/>
      <c r="AB13" s="18"/>
    </row>
    <row r="14" spans="1:28" x14ac:dyDescent="0.25">
      <c r="A14" s="22">
        <f t="shared" si="0"/>
        <v>14</v>
      </c>
      <c r="B14" s="28"/>
      <c r="C14" s="36"/>
      <c r="D14" s="36"/>
      <c r="E14" s="20"/>
      <c r="F14" s="20"/>
      <c r="G14" s="1306">
        <f t="shared" si="1"/>
        <v>14</v>
      </c>
      <c r="H14" s="33" t="s">
        <v>21</v>
      </c>
      <c r="I14" s="34">
        <v>0.49070000000000003</v>
      </c>
      <c r="J14" s="34">
        <v>9.4E-2</v>
      </c>
      <c r="K14" s="35">
        <f>ROUND(I14*J14,4)</f>
        <v>4.6100000000000002E-2</v>
      </c>
      <c r="S14" s="30"/>
      <c r="T14" s="20"/>
      <c r="U14" s="21"/>
      <c r="V14" s="18"/>
      <c r="W14" s="18"/>
      <c r="X14" s="18"/>
      <c r="Y14" s="18"/>
      <c r="Z14" s="18"/>
      <c r="AA14" s="18"/>
      <c r="AB14" s="18"/>
    </row>
    <row r="15" spans="1:28" x14ac:dyDescent="0.25">
      <c r="A15" s="22">
        <f t="shared" si="0"/>
        <v>15</v>
      </c>
      <c r="B15" s="23" t="s">
        <v>22</v>
      </c>
      <c r="C15" s="39">
        <f>+C13*C12</f>
        <v>219287555.46065</v>
      </c>
      <c r="D15" s="39">
        <f>+D13*D12</f>
        <v>228763950.86652479</v>
      </c>
      <c r="E15" s="633"/>
      <c r="F15" s="633"/>
      <c r="G15" s="30">
        <f t="shared" si="1"/>
        <v>15</v>
      </c>
      <c r="H15" s="33" t="s">
        <v>23</v>
      </c>
      <c r="I15" s="40">
        <f>SUM(I13:I14)</f>
        <v>1</v>
      </c>
      <c r="J15" s="26"/>
      <c r="K15" s="1149">
        <f>SUM(K13:K14)</f>
        <v>7.2399999999999992E-2</v>
      </c>
      <c r="S15" s="30"/>
      <c r="T15" s="42"/>
      <c r="U15" s="21"/>
      <c r="V15" s="18"/>
      <c r="W15" s="18"/>
      <c r="X15" s="18"/>
      <c r="Y15" s="18"/>
      <c r="Z15" s="18"/>
      <c r="AA15" s="18"/>
      <c r="AB15" s="18"/>
    </row>
    <row r="16" spans="1:28" x14ac:dyDescent="0.25">
      <c r="A16" s="22">
        <f t="shared" si="0"/>
        <v>16</v>
      </c>
      <c r="B16" s="23"/>
      <c r="C16" s="43"/>
      <c r="D16" s="43"/>
      <c r="E16" s="20"/>
      <c r="F16" s="20"/>
      <c r="G16" s="30">
        <f t="shared" si="1"/>
        <v>16</v>
      </c>
      <c r="H16" s="33"/>
      <c r="I16" s="20"/>
      <c r="J16" s="20"/>
      <c r="K16" s="44"/>
      <c r="S16" s="30"/>
      <c r="T16" s="20"/>
      <c r="U16" s="21"/>
      <c r="V16" s="18"/>
      <c r="W16" s="18"/>
      <c r="X16" s="18"/>
      <c r="Y16" s="18"/>
      <c r="Z16" s="18"/>
      <c r="AA16" s="18"/>
      <c r="AB16" s="18"/>
    </row>
    <row r="17" spans="1:28" x14ac:dyDescent="0.25">
      <c r="A17" s="22">
        <f t="shared" si="0"/>
        <v>17</v>
      </c>
      <c r="B17" s="28" t="s">
        <v>25</v>
      </c>
      <c r="C17" s="46">
        <f>'SEF-34 pg 1'!K47</f>
        <v>30177041.730425537</v>
      </c>
      <c r="D17" s="46">
        <f>'SEF-34 pg 1'!M47</f>
        <v>19810710.780777812</v>
      </c>
      <c r="E17" s="633"/>
      <c r="F17" s="633"/>
      <c r="G17" s="30">
        <f t="shared" si="1"/>
        <v>17</v>
      </c>
      <c r="H17" s="33" t="s">
        <v>26</v>
      </c>
      <c r="I17" s="1305">
        <f>+I13</f>
        <v>0.50929999999999997</v>
      </c>
      <c r="J17" s="34">
        <f>J13*0.79</f>
        <v>4.0795209110543885E-2</v>
      </c>
      <c r="K17" s="35">
        <f>ROUND(K13*0.79,4)</f>
        <v>2.0799999999999999E-2</v>
      </c>
      <c r="S17" s="30"/>
      <c r="T17" s="42"/>
      <c r="U17" s="21"/>
      <c r="V17" s="18"/>
      <c r="W17" s="18"/>
      <c r="X17" s="18"/>
      <c r="Y17" s="18"/>
      <c r="Z17" s="18"/>
      <c r="AA17" s="18"/>
      <c r="AB17" s="18"/>
    </row>
    <row r="18" spans="1:28" x14ac:dyDescent="0.25">
      <c r="A18" s="22">
        <f t="shared" si="0"/>
        <v>18</v>
      </c>
      <c r="B18" s="28" t="s">
        <v>27</v>
      </c>
      <c r="C18" s="47">
        <f>+C15-C17</f>
        <v>189110513.73022446</v>
      </c>
      <c r="D18" s="47">
        <f>+D15-D17</f>
        <v>208953240.08574697</v>
      </c>
      <c r="E18" s="633"/>
      <c r="F18" s="633"/>
      <c r="G18" s="30">
        <f t="shared" si="1"/>
        <v>18</v>
      </c>
      <c r="H18" s="33" t="s">
        <v>21</v>
      </c>
      <c r="I18" s="34">
        <f>+I14</f>
        <v>0.49070000000000003</v>
      </c>
      <c r="J18" s="34">
        <f>+J14</f>
        <v>9.4E-2</v>
      </c>
      <c r="K18" s="35">
        <f>ROUND(I18*J18,4)</f>
        <v>4.6100000000000002E-2</v>
      </c>
      <c r="S18" s="30"/>
      <c r="T18" s="42"/>
      <c r="U18" s="21"/>
      <c r="V18" s="18"/>
      <c r="W18" s="18"/>
      <c r="X18" s="18"/>
      <c r="Y18" s="18"/>
      <c r="Z18" s="18"/>
      <c r="AA18" s="18"/>
      <c r="AB18" s="18"/>
    </row>
    <row r="19" spans="1:28" x14ac:dyDescent="0.25">
      <c r="A19" s="22">
        <f t="shared" si="0"/>
        <v>19</v>
      </c>
      <c r="B19" s="23"/>
      <c r="C19" s="750"/>
      <c r="D19" s="750"/>
      <c r="E19" s="78"/>
      <c r="F19" s="21"/>
      <c r="G19" s="30">
        <f t="shared" si="1"/>
        <v>19</v>
      </c>
      <c r="H19" s="52" t="s">
        <v>28</v>
      </c>
      <c r="I19" s="53">
        <f>SUM(I17:I18)</f>
        <v>1</v>
      </c>
      <c r="J19" s="54"/>
      <c r="K19" s="55">
        <f>SUM(K17:K18)</f>
        <v>6.6900000000000001E-2</v>
      </c>
      <c r="S19" s="30"/>
      <c r="T19" s="20"/>
      <c r="U19" s="21"/>
      <c r="V19" s="18"/>
      <c r="W19" s="18"/>
      <c r="X19" s="18"/>
      <c r="Y19" s="18"/>
      <c r="Z19" s="18"/>
      <c r="AA19" s="18"/>
      <c r="AB19" s="18"/>
    </row>
    <row r="20" spans="1:28" x14ac:dyDescent="0.25">
      <c r="A20" s="22">
        <f t="shared" si="0"/>
        <v>20</v>
      </c>
      <c r="B20" s="23" t="s">
        <v>3</v>
      </c>
      <c r="C20" s="57">
        <f>+'SEF-35'!E20</f>
        <v>0.75342299999999995</v>
      </c>
      <c r="D20" s="57">
        <f>C20</f>
        <v>0.75342299999999995</v>
      </c>
      <c r="E20" s="60"/>
      <c r="F20" s="60"/>
      <c r="G20" s="30">
        <f t="shared" si="1"/>
        <v>20</v>
      </c>
      <c r="H20"/>
      <c r="I20" s="20"/>
      <c r="J20" s="20"/>
      <c r="K20" s="20"/>
      <c r="Q20" s="1304"/>
      <c r="R20" s="1303"/>
      <c r="S20" s="30"/>
      <c r="T20" s="60"/>
      <c r="U20" s="21"/>
      <c r="V20" s="18"/>
      <c r="W20" s="18"/>
      <c r="X20" s="18"/>
      <c r="Y20" s="18"/>
      <c r="Z20" s="18"/>
      <c r="AA20" s="18"/>
      <c r="AB20" s="18"/>
    </row>
    <row r="21" spans="1:28" ht="15.75" thickBot="1" x14ac:dyDescent="0.3">
      <c r="A21" s="22">
        <f t="shared" si="0"/>
        <v>21</v>
      </c>
      <c r="B21" s="1" t="s">
        <v>29</v>
      </c>
      <c r="C21" s="61">
        <f>ROUND(+C18/C20,0)</f>
        <v>251001780</v>
      </c>
      <c r="D21" s="61">
        <f>ROUND(+D18/D20,0)</f>
        <v>277338547</v>
      </c>
      <c r="E21" s="67"/>
      <c r="F21" s="67"/>
      <c r="G21" s="30">
        <f t="shared" si="1"/>
        <v>21</v>
      </c>
      <c r="H21" s="25">
        <v>2025</v>
      </c>
      <c r="I21" s="26"/>
      <c r="J21" s="26"/>
      <c r="K21" s="27"/>
      <c r="Q21"/>
      <c r="R21"/>
      <c r="S21" s="30"/>
      <c r="T21" s="63"/>
      <c r="U21" s="21"/>
      <c r="V21" s="18"/>
      <c r="W21" s="18"/>
      <c r="X21" s="18"/>
      <c r="Y21" s="18"/>
      <c r="Z21" s="18"/>
      <c r="AA21" s="18"/>
      <c r="AB21" s="18"/>
    </row>
    <row r="22" spans="1:28" ht="15.75" thickTop="1" x14ac:dyDescent="0.25">
      <c r="A22" s="22">
        <f t="shared" si="0"/>
        <v>22</v>
      </c>
      <c r="C22" s="794"/>
      <c r="D22" s="794"/>
      <c r="E22" s="64"/>
      <c r="F22" s="64"/>
      <c r="G22" s="30">
        <f t="shared" si="1"/>
        <v>22</v>
      </c>
      <c r="H22" s="33" t="s">
        <v>19</v>
      </c>
      <c r="I22" s="34">
        <v>0.5</v>
      </c>
      <c r="J22" s="34">
        <f>K22/I22</f>
        <v>5.3399999999999996E-2</v>
      </c>
      <c r="K22" s="35">
        <v>2.6699999999999998E-2</v>
      </c>
      <c r="Q22"/>
      <c r="R22"/>
      <c r="S22" s="30"/>
      <c r="T22" s="20"/>
      <c r="U22" s="21"/>
      <c r="V22" s="18"/>
      <c r="W22" s="18"/>
      <c r="X22" s="18"/>
      <c r="Y22" s="18"/>
      <c r="Z22" s="18"/>
      <c r="AA22" s="18"/>
      <c r="AB22" s="18"/>
    </row>
    <row r="23" spans="1:28" x14ac:dyDescent="0.25">
      <c r="A23" s="22">
        <f t="shared" si="0"/>
        <v>23</v>
      </c>
      <c r="B23" s="1" t="s">
        <v>31</v>
      </c>
      <c r="C23" s="66">
        <f>C21-0</f>
        <v>251001780</v>
      </c>
      <c r="D23" s="66">
        <f>D21-C21</f>
        <v>26336767</v>
      </c>
      <c r="E23" s="67"/>
      <c r="F23" s="67"/>
      <c r="G23" s="30">
        <f t="shared" si="1"/>
        <v>23</v>
      </c>
      <c r="H23" s="33" t="s">
        <v>21</v>
      </c>
      <c r="I23" s="34">
        <v>0.5</v>
      </c>
      <c r="J23" s="34">
        <v>9.9500000000000005E-2</v>
      </c>
      <c r="K23" s="35">
        <f>ROUND(I23*J23,4)</f>
        <v>4.9799999999999997E-2</v>
      </c>
      <c r="Q23"/>
      <c r="R23"/>
      <c r="S23" s="30"/>
      <c r="T23" s="42"/>
      <c r="U23" s="21"/>
      <c r="V23" s="18"/>
      <c r="W23" s="18"/>
      <c r="X23" s="18"/>
      <c r="Y23" s="18"/>
      <c r="Z23" s="18"/>
      <c r="AA23" s="18"/>
      <c r="AB23" s="18"/>
    </row>
    <row r="24" spans="1:28" ht="15.75" x14ac:dyDescent="0.25">
      <c r="A24" s="22">
        <f t="shared" si="0"/>
        <v>24</v>
      </c>
      <c r="B24" s="43" t="s">
        <v>844</v>
      </c>
      <c r="C24" s="68"/>
      <c r="D24" s="79"/>
      <c r="E24" s="34"/>
      <c r="F24" s="63"/>
      <c r="G24" s="30">
        <f t="shared" si="1"/>
        <v>24</v>
      </c>
      <c r="H24" s="33" t="s">
        <v>23</v>
      </c>
      <c r="I24" s="70">
        <f>SUM(I22:I23)</f>
        <v>1</v>
      </c>
      <c r="J24" s="26"/>
      <c r="K24" s="1149">
        <f>SUM(K22:K23)</f>
        <v>7.6499999999999999E-2</v>
      </c>
      <c r="Q24"/>
      <c r="R24"/>
      <c r="S24" s="30"/>
      <c r="T24" s="42"/>
      <c r="U24" s="21"/>
      <c r="V24" s="18"/>
      <c r="W24" s="18"/>
      <c r="X24" s="18"/>
      <c r="Y24" s="18"/>
      <c r="Z24" s="18"/>
      <c r="AA24" s="18"/>
      <c r="AB24" s="18"/>
    </row>
    <row r="25" spans="1:28" ht="15.75" customHeight="1" x14ac:dyDescent="0.25">
      <c r="A25" s="1016">
        <f t="shared" si="0"/>
        <v>25</v>
      </c>
      <c r="B25" s="73" t="s">
        <v>33</v>
      </c>
      <c r="C25" s="39"/>
      <c r="D25" s="34"/>
      <c r="F25" s="99"/>
      <c r="G25" s="30">
        <f t="shared" si="1"/>
        <v>25</v>
      </c>
      <c r="H25" s="33"/>
      <c r="I25" s="20"/>
      <c r="J25" s="20"/>
      <c r="K25" s="44"/>
      <c r="Q25"/>
      <c r="R25"/>
      <c r="S25" s="30"/>
      <c r="T25" s="42"/>
      <c r="U25" s="21"/>
      <c r="V25" s="18"/>
      <c r="W25" s="18"/>
      <c r="X25" s="18"/>
      <c r="Y25" s="18"/>
      <c r="Z25" s="18"/>
      <c r="AA25" s="18"/>
      <c r="AB25" s="18"/>
    </row>
    <row r="26" spans="1:28" ht="15" customHeight="1" x14ac:dyDescent="0.25">
      <c r="A26" s="1016">
        <f t="shared" si="0"/>
        <v>26</v>
      </c>
      <c r="B26" s="73" t="s">
        <v>843</v>
      </c>
      <c r="C26" s="39">
        <v>2957095.5558646722</v>
      </c>
      <c r="D26" s="34"/>
      <c r="E26" s="34"/>
      <c r="F26" s="99"/>
      <c r="G26" s="30">
        <f t="shared" si="1"/>
        <v>26</v>
      </c>
      <c r="H26" s="33" t="s">
        <v>26</v>
      </c>
      <c r="I26" s="34">
        <f>+I22</f>
        <v>0.5</v>
      </c>
      <c r="J26" s="34">
        <f>J22*0.79</f>
        <v>4.2186000000000001E-2</v>
      </c>
      <c r="K26" s="35">
        <f>ROUND(K22*0.79,4)</f>
        <v>2.1100000000000001E-2</v>
      </c>
      <c r="Q26"/>
      <c r="R26"/>
      <c r="S26" s="30"/>
      <c r="T26" s="42"/>
      <c r="U26" s="21"/>
      <c r="V26" s="18"/>
      <c r="W26" s="18"/>
      <c r="X26" s="18"/>
      <c r="Y26" s="18"/>
      <c r="Z26" s="18"/>
      <c r="AA26" s="18"/>
      <c r="AB26" s="18"/>
    </row>
    <row r="27" spans="1:28" x14ac:dyDescent="0.25">
      <c r="A27" s="1016">
        <f t="shared" si="0"/>
        <v>27</v>
      </c>
      <c r="B27" s="73" t="s">
        <v>842</v>
      </c>
      <c r="C27" s="39">
        <v>-59540833.419087738</v>
      </c>
      <c r="D27" s="34"/>
      <c r="E27" s="34"/>
      <c r="F27" s="99"/>
      <c r="G27" s="30">
        <f t="shared" si="1"/>
        <v>27</v>
      </c>
      <c r="H27" s="33" t="s">
        <v>21</v>
      </c>
      <c r="I27" s="34">
        <f>+I23</f>
        <v>0.5</v>
      </c>
      <c r="J27" s="34">
        <f>+J23</f>
        <v>9.9500000000000005E-2</v>
      </c>
      <c r="K27" s="35">
        <f>ROUND(I27*J27,4)</f>
        <v>4.9799999999999997E-2</v>
      </c>
      <c r="Q27"/>
      <c r="R27"/>
      <c r="S27" s="30"/>
      <c r="T27" s="42"/>
      <c r="U27" s="21"/>
      <c r="V27" s="18"/>
      <c r="W27" s="18"/>
      <c r="X27" s="18"/>
      <c r="Y27" s="18"/>
      <c r="Z27" s="18"/>
      <c r="AA27" s="18"/>
      <c r="AB27" s="18"/>
    </row>
    <row r="28" spans="1:28" ht="15.75" customHeight="1" x14ac:dyDescent="0.25">
      <c r="A28" s="1016">
        <f t="shared" si="0"/>
        <v>28</v>
      </c>
      <c r="B28" s="43" t="s">
        <v>841</v>
      </c>
      <c r="C28" s="39"/>
      <c r="D28" s="34"/>
      <c r="E28" s="34"/>
      <c r="F28" s="99"/>
      <c r="G28" s="30">
        <f t="shared" si="1"/>
        <v>28</v>
      </c>
      <c r="H28" s="52" t="s">
        <v>28</v>
      </c>
      <c r="I28" s="53">
        <f>SUM(I26:I27)</f>
        <v>1</v>
      </c>
      <c r="J28" s="54"/>
      <c r="K28" s="55">
        <f>SUM(K26:K27)</f>
        <v>7.0899999999999991E-2</v>
      </c>
      <c r="Q28"/>
      <c r="R28"/>
      <c r="S28" s="30"/>
      <c r="T28" s="42"/>
      <c r="U28" s="21"/>
      <c r="V28" s="18"/>
      <c r="W28" s="18"/>
      <c r="X28" s="18"/>
      <c r="Y28" s="18"/>
      <c r="Z28" s="18"/>
      <c r="AA28" s="18"/>
      <c r="AB28" s="18"/>
    </row>
    <row r="29" spans="1:28" x14ac:dyDescent="0.25">
      <c r="A29" s="1016">
        <f t="shared" si="0"/>
        <v>29</v>
      </c>
      <c r="B29" s="73" t="s">
        <v>840</v>
      </c>
      <c r="C29" s="46">
        <v>4039346.7547446783</v>
      </c>
      <c r="D29" s="42">
        <v>0</v>
      </c>
      <c r="E29" s="34"/>
      <c r="F29" s="99"/>
      <c r="G29" s="30">
        <f t="shared" si="1"/>
        <v>29</v>
      </c>
      <c r="H29"/>
      <c r="I29" s="20"/>
      <c r="J29" s="20"/>
      <c r="K29" s="20"/>
      <c r="Q29"/>
      <c r="R29"/>
      <c r="S29" s="30"/>
      <c r="T29" s="42"/>
      <c r="U29" s="21"/>
      <c r="V29" s="18"/>
      <c r="W29" s="18"/>
      <c r="X29" s="18"/>
      <c r="Y29" s="18"/>
      <c r="Z29" s="18"/>
      <c r="AA29" s="18"/>
      <c r="AB29" s="18"/>
    </row>
    <row r="30" spans="1:28" x14ac:dyDescent="0.25">
      <c r="A30" s="1016">
        <f t="shared" si="0"/>
        <v>30</v>
      </c>
      <c r="B30" s="73"/>
      <c r="C30" s="39"/>
      <c r="D30" s="34"/>
      <c r="E30" s="34"/>
      <c r="F30" s="99"/>
      <c r="G30" s="30">
        <f t="shared" si="1"/>
        <v>30</v>
      </c>
      <c r="H30" s="25">
        <v>2026</v>
      </c>
      <c r="I30" s="26"/>
      <c r="J30" s="26"/>
      <c r="K30" s="27"/>
      <c r="Q30"/>
      <c r="R30"/>
      <c r="S30" s="30"/>
      <c r="T30" s="42"/>
      <c r="U30" s="21"/>
      <c r="V30" s="18"/>
      <c r="W30" s="18"/>
      <c r="X30" s="18"/>
      <c r="Y30" s="18"/>
      <c r="Z30" s="18"/>
      <c r="AA30" s="18"/>
      <c r="AB30" s="18"/>
    </row>
    <row r="31" spans="1:28" x14ac:dyDescent="0.25">
      <c r="A31" s="1016">
        <f t="shared" si="0"/>
        <v>31</v>
      </c>
      <c r="B31" s="43" t="s">
        <v>45</v>
      </c>
      <c r="C31" s="47">
        <f>SUM(C25:C30)</f>
        <v>-52544391.10847839</v>
      </c>
      <c r="D31" s="47">
        <f>SUM(D25:D30)</f>
        <v>0</v>
      </c>
      <c r="E31" s="21"/>
      <c r="F31" s="99"/>
      <c r="G31" s="30">
        <f t="shared" si="1"/>
        <v>31</v>
      </c>
      <c r="H31" s="33" t="s">
        <v>19</v>
      </c>
      <c r="I31" s="34">
        <v>0.49</v>
      </c>
      <c r="J31" s="34">
        <f>K31/I31</f>
        <v>5.3673469387755107E-2</v>
      </c>
      <c r="K31" s="35">
        <v>2.63E-2</v>
      </c>
      <c r="Q31"/>
      <c r="R31"/>
      <c r="S31" s="30"/>
      <c r="T31" s="20"/>
      <c r="U31" s="21"/>
      <c r="V31" s="18"/>
      <c r="W31" s="18"/>
      <c r="X31" s="18"/>
      <c r="Y31" s="18"/>
      <c r="Z31" s="18"/>
      <c r="AA31" s="18"/>
      <c r="AB31" s="18"/>
    </row>
    <row r="32" spans="1:28" x14ac:dyDescent="0.25">
      <c r="A32" s="1016">
        <f t="shared" si="0"/>
        <v>32</v>
      </c>
      <c r="B32" s="43"/>
      <c r="C32" s="1302"/>
      <c r="D32" s="1302"/>
      <c r="E32" s="78"/>
      <c r="F32" s="99"/>
      <c r="G32" s="30">
        <f t="shared" si="1"/>
        <v>32</v>
      </c>
      <c r="H32" s="33" t="s">
        <v>21</v>
      </c>
      <c r="I32" s="34">
        <v>0.51</v>
      </c>
      <c r="J32" s="34">
        <v>0.105</v>
      </c>
      <c r="K32" s="35">
        <f>ROUND(I32*J32,4)</f>
        <v>5.3600000000000002E-2</v>
      </c>
      <c r="Q32"/>
      <c r="R32"/>
      <c r="S32" s="30"/>
      <c r="T32" s="78"/>
      <c r="U32" s="21"/>
      <c r="V32" s="18"/>
      <c r="W32" s="18"/>
      <c r="X32" s="18"/>
      <c r="Y32" s="18"/>
      <c r="Z32" s="18"/>
      <c r="AA32" s="18"/>
      <c r="AB32" s="18"/>
    </row>
    <row r="33" spans="1:28" ht="15.75" thickBot="1" x14ac:dyDescent="0.3">
      <c r="A33" s="1016">
        <f t="shared" si="0"/>
        <v>33</v>
      </c>
      <c r="B33" s="43" t="s">
        <v>839</v>
      </c>
      <c r="C33" s="1301">
        <f>C23+C31</f>
        <v>198457388.8915216</v>
      </c>
      <c r="D33" s="1301">
        <f>D23+D31</f>
        <v>26336767</v>
      </c>
      <c r="E33" s="34"/>
      <c r="F33" s="99"/>
      <c r="G33" s="30">
        <f t="shared" si="1"/>
        <v>33</v>
      </c>
      <c r="H33" s="33" t="s">
        <v>23</v>
      </c>
      <c r="I33" s="79">
        <f>SUM(I31:I32)</f>
        <v>1</v>
      </c>
      <c r="J33" s="26"/>
      <c r="K33" s="1149">
        <f>SUM(K31:K32)</f>
        <v>7.9899999999999999E-2</v>
      </c>
      <c r="Q33"/>
      <c r="R33"/>
      <c r="S33" s="30"/>
      <c r="T33" s="78"/>
      <c r="U33" s="21"/>
      <c r="V33" s="18"/>
      <c r="W33" s="18"/>
      <c r="X33" s="18"/>
      <c r="Y33" s="18"/>
      <c r="Z33" s="18"/>
      <c r="AA33" s="18"/>
      <c r="AB33" s="18"/>
    </row>
    <row r="34" spans="1:28" ht="15.75" thickTop="1" x14ac:dyDescent="0.25">
      <c r="A34" s="1016">
        <f t="shared" si="0"/>
        <v>34</v>
      </c>
      <c r="B34" s="43"/>
      <c r="C34" s="1300"/>
      <c r="D34" s="750"/>
      <c r="E34" s="573"/>
      <c r="F34" s="99"/>
      <c r="G34" s="30">
        <f t="shared" si="1"/>
        <v>34</v>
      </c>
      <c r="H34" s="33"/>
      <c r="I34" s="20"/>
      <c r="J34" s="20"/>
      <c r="K34" s="44"/>
      <c r="Q34"/>
      <c r="R34"/>
      <c r="S34" s="30"/>
      <c r="T34" s="78"/>
      <c r="U34" s="21"/>
      <c r="V34" s="18"/>
      <c r="W34" s="18"/>
      <c r="X34" s="18"/>
      <c r="Y34" s="18"/>
      <c r="Z34" s="18"/>
      <c r="AA34" s="18"/>
      <c r="AB34" s="18"/>
    </row>
    <row r="35" spans="1:28" x14ac:dyDescent="0.25">
      <c r="A35" s="1016">
        <f t="shared" si="0"/>
        <v>35</v>
      </c>
      <c r="B35" s="43" t="s">
        <v>47</v>
      </c>
      <c r="C35" s="94">
        <f>C33/C36</f>
        <v>0.19197379933368519</v>
      </c>
      <c r="D35" s="94">
        <f>D33/D36</f>
        <v>2.1421032680293477E-2</v>
      </c>
      <c r="E35" s="20"/>
      <c r="F35" s="99"/>
      <c r="G35" s="30">
        <f t="shared" si="1"/>
        <v>35</v>
      </c>
      <c r="H35" s="33" t="s">
        <v>26</v>
      </c>
      <c r="I35" s="34">
        <f>+I31</f>
        <v>0.49</v>
      </c>
      <c r="J35" s="34">
        <f>J31*0.79</f>
        <v>4.2402040816326536E-2</v>
      </c>
      <c r="K35" s="35">
        <f>ROUND(K31*0.79,4)</f>
        <v>2.0799999999999999E-2</v>
      </c>
      <c r="Q35"/>
      <c r="R35"/>
      <c r="S35" s="30"/>
      <c r="T35" s="78"/>
      <c r="U35" s="21"/>
      <c r="V35" s="18"/>
      <c r="W35" s="18"/>
      <c r="X35" s="18"/>
      <c r="Y35" s="18"/>
      <c r="Z35" s="18"/>
      <c r="AA35" s="18"/>
      <c r="AB35" s="18"/>
    </row>
    <row r="36" spans="1:28" ht="15" customHeight="1" x14ac:dyDescent="0.25">
      <c r="A36" s="1016">
        <f t="shared" si="0"/>
        <v>36</v>
      </c>
      <c r="B36" s="43" t="s">
        <v>1051</v>
      </c>
      <c r="C36" s="1948">
        <v>1033773304.3797647</v>
      </c>
      <c r="D36" s="1948">
        <v>1229481668.464509</v>
      </c>
      <c r="E36" s="20"/>
      <c r="F36" s="20"/>
      <c r="G36" s="30">
        <f t="shared" si="1"/>
        <v>36</v>
      </c>
      <c r="H36" s="33" t="s">
        <v>21</v>
      </c>
      <c r="I36" s="34">
        <f>+I32</f>
        <v>0.51</v>
      </c>
      <c r="J36" s="34">
        <f>+J32</f>
        <v>0.105</v>
      </c>
      <c r="K36" s="35">
        <f>ROUND(I36*J36,4)</f>
        <v>5.3600000000000002E-2</v>
      </c>
      <c r="Q36"/>
      <c r="R36"/>
      <c r="S36" s="30"/>
      <c r="T36" s="78"/>
      <c r="U36" s="21"/>
      <c r="V36" s="18"/>
      <c r="W36" s="18"/>
      <c r="X36" s="18"/>
      <c r="Y36" s="18"/>
      <c r="Z36" s="18"/>
      <c r="AA36" s="18"/>
      <c r="AB36" s="18"/>
    </row>
    <row r="37" spans="1:28" x14ac:dyDescent="0.25">
      <c r="A37" s="1016"/>
      <c r="B37" s="1299"/>
      <c r="C37" s="43"/>
      <c r="D37" s="43"/>
      <c r="E37"/>
      <c r="F37"/>
      <c r="G37" s="30">
        <f t="shared" si="1"/>
        <v>37</v>
      </c>
      <c r="H37" s="52" t="s">
        <v>28</v>
      </c>
      <c r="I37" s="53">
        <f>SUM(I35:I36)</f>
        <v>1</v>
      </c>
      <c r="J37" s="54"/>
      <c r="K37" s="55">
        <f>SUM(K35:K36)</f>
        <v>7.4399999999999994E-2</v>
      </c>
      <c r="Q37"/>
      <c r="R37"/>
      <c r="S37" s="30"/>
      <c r="T37" s="21"/>
      <c r="U37" s="21"/>
      <c r="V37" s="18"/>
      <c r="W37" s="18"/>
      <c r="X37" s="18"/>
      <c r="Y37" s="18"/>
      <c r="Z37" s="18"/>
      <c r="AA37" s="18"/>
      <c r="AB37" s="18"/>
    </row>
    <row r="38" spans="1:28" x14ac:dyDescent="0.25">
      <c r="A38" s="1298" t="s">
        <v>838</v>
      </c>
      <c r="F38"/>
      <c r="G38" s="30"/>
      <c r="H38" s="88"/>
      <c r="I38" s="89"/>
      <c r="J38" s="89"/>
      <c r="K38" s="89"/>
      <c r="Q38"/>
      <c r="R38"/>
      <c r="S38" s="89"/>
      <c r="T38" s="89"/>
      <c r="U38" s="89"/>
      <c r="V38" s="18"/>
      <c r="W38" s="18"/>
      <c r="X38" s="18"/>
      <c r="Y38" s="18"/>
      <c r="Z38" s="18"/>
      <c r="AA38" s="18"/>
      <c r="AB38" s="18"/>
    </row>
    <row r="39" spans="1:28" outlineLevel="1" x14ac:dyDescent="0.25">
      <c r="A39" s="1016"/>
      <c r="F39"/>
      <c r="G39"/>
      <c r="H39"/>
      <c r="I39"/>
      <c r="J39"/>
      <c r="K39"/>
      <c r="Q39"/>
      <c r="R39"/>
      <c r="S39" s="89"/>
      <c r="T39" s="89"/>
      <c r="U39" s="89"/>
      <c r="V39" s="18"/>
      <c r="W39" s="18"/>
      <c r="X39" s="18"/>
      <c r="Y39" s="18"/>
      <c r="Z39" s="18"/>
      <c r="AA39" s="18"/>
      <c r="AB39" s="18"/>
    </row>
    <row r="40" spans="1:28" outlineLevel="1" x14ac:dyDescent="0.25">
      <c r="A40" s="1016"/>
      <c r="F40"/>
      <c r="G40"/>
      <c r="H40"/>
      <c r="I40"/>
      <c r="J40"/>
      <c r="K40"/>
      <c r="Q40"/>
      <c r="R40"/>
      <c r="S40" s="89"/>
      <c r="T40" s="89"/>
      <c r="U40" s="89"/>
      <c r="V40" s="18"/>
      <c r="W40" s="18"/>
      <c r="X40" s="18"/>
      <c r="Y40" s="18"/>
      <c r="Z40" s="18"/>
      <c r="AA40" s="18"/>
      <c r="AB40" s="18"/>
    </row>
    <row r="41" spans="1:28" outlineLevel="1" x14ac:dyDescent="0.25">
      <c r="A41" s="1016"/>
      <c r="F41"/>
      <c r="G41"/>
      <c r="Q41"/>
      <c r="R41"/>
      <c r="S41" s="89"/>
      <c r="T41" s="89"/>
      <c r="U41" s="89"/>
      <c r="V41" s="18"/>
      <c r="W41" s="18"/>
      <c r="X41" s="18"/>
      <c r="Y41" s="18"/>
      <c r="Z41" s="18"/>
      <c r="AA41" s="18"/>
      <c r="AB41" s="18"/>
    </row>
    <row r="42" spans="1:28" outlineLevel="1" x14ac:dyDescent="0.25">
      <c r="A42" s="1016"/>
      <c r="F42"/>
      <c r="G42"/>
      <c r="H42"/>
      <c r="I42"/>
      <c r="J42"/>
      <c r="K42"/>
      <c r="Q42"/>
      <c r="R42"/>
      <c r="S42" s="89"/>
      <c r="T42" s="89"/>
      <c r="U42" s="89"/>
      <c r="V42" s="18"/>
      <c r="W42" s="18"/>
      <c r="X42" s="18"/>
      <c r="Y42" s="18"/>
      <c r="Z42" s="18"/>
      <c r="AA42" s="18"/>
      <c r="AB42" s="18"/>
    </row>
    <row r="43" spans="1:28" outlineLevel="1" x14ac:dyDescent="0.25">
      <c r="A43" s="1016"/>
      <c r="B43" s="1295"/>
      <c r="C43" s="1294"/>
      <c r="D43" s="1294"/>
      <c r="E43"/>
      <c r="F43"/>
      <c r="G43"/>
      <c r="H43"/>
      <c r="I43"/>
      <c r="J43"/>
      <c r="K43"/>
      <c r="Q43"/>
      <c r="R43"/>
      <c r="S43" s="89"/>
      <c r="T43" s="89"/>
      <c r="U43" s="89"/>
      <c r="V43" s="18"/>
      <c r="W43" s="18"/>
      <c r="X43" s="18"/>
      <c r="Y43" s="18"/>
      <c r="Z43" s="18"/>
      <c r="AA43" s="18"/>
      <c r="AB43" s="18"/>
    </row>
    <row r="44" spans="1:28" outlineLevel="1" x14ac:dyDescent="0.25">
      <c r="A44" s="1016"/>
      <c r="B44" s="1295"/>
      <c r="C44" s="1294"/>
      <c r="D44" s="1294"/>
      <c r="E44"/>
      <c r="F44"/>
      <c r="G44"/>
      <c r="H44"/>
      <c r="I44"/>
      <c r="J44"/>
      <c r="K44"/>
      <c r="Q44"/>
      <c r="R44"/>
      <c r="S44" s="89"/>
      <c r="T44" s="89"/>
      <c r="U44" s="89"/>
      <c r="V44" s="18"/>
      <c r="W44" s="18"/>
      <c r="X44" s="18"/>
      <c r="Y44" s="18"/>
      <c r="Z44" s="18"/>
      <c r="AA44" s="18"/>
      <c r="AB44" s="18"/>
    </row>
    <row r="45" spans="1:28" ht="15" customHeight="1" outlineLevel="1" x14ac:dyDescent="0.25">
      <c r="A45" s="1016"/>
      <c r="B45" s="1295"/>
      <c r="C45" s="1294"/>
      <c r="D45" s="1294"/>
      <c r="E45"/>
      <c r="F45"/>
      <c r="G45"/>
      <c r="H45"/>
      <c r="I45"/>
      <c r="J45"/>
      <c r="K45"/>
      <c r="Q45"/>
      <c r="R45"/>
      <c r="S45" s="89"/>
      <c r="T45" s="89"/>
      <c r="U45" s="89"/>
      <c r="V45" s="18"/>
      <c r="W45" s="18"/>
      <c r="X45" s="18"/>
      <c r="Y45" s="18"/>
      <c r="Z45" s="18"/>
      <c r="AA45" s="18"/>
      <c r="AB45" s="18"/>
    </row>
    <row r="46" spans="1:28" outlineLevel="1" x14ac:dyDescent="0.25">
      <c r="A46" s="1016"/>
      <c r="B46" s="1297"/>
      <c r="C46" s="1297"/>
      <c r="D46" s="1297"/>
      <c r="E46"/>
      <c r="F46"/>
      <c r="G46"/>
      <c r="H46"/>
      <c r="I46"/>
      <c r="J46"/>
      <c r="K46"/>
      <c r="Q46"/>
      <c r="R46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spans="1:28" customFormat="1" outlineLevel="1" x14ac:dyDescent="0.25">
      <c r="A47" s="1016"/>
      <c r="B47" s="1297"/>
      <c r="C47" s="1297"/>
      <c r="D47" s="1294"/>
    </row>
    <row r="48" spans="1:28" outlineLevel="1" x14ac:dyDescent="0.25">
      <c r="A48" s="1016"/>
      <c r="B48" s="1295"/>
      <c r="C48" s="1297"/>
      <c r="D48" s="1297"/>
      <c r="E48"/>
      <c r="F48"/>
      <c r="G48"/>
      <c r="H48"/>
      <c r="I48"/>
      <c r="J48"/>
      <c r="K48"/>
      <c r="Q48"/>
      <c r="R48"/>
      <c r="S48" s="18"/>
      <c r="T48" s="18"/>
      <c r="U48" s="18"/>
      <c r="V48" s="18"/>
      <c r="W48" s="18"/>
      <c r="X48" s="18"/>
      <c r="Y48" s="18"/>
      <c r="Z48" s="18"/>
      <c r="AA48" s="18"/>
      <c r="AB48" s="18"/>
    </row>
    <row r="49" spans="1:28" outlineLevel="1" x14ac:dyDescent="0.25">
      <c r="A49" s="1016"/>
      <c r="B49" s="85"/>
      <c r="C49" s="1297"/>
      <c r="D49" s="1297"/>
      <c r="E49"/>
      <c r="F49"/>
      <c r="G49"/>
      <c r="H49"/>
      <c r="I49"/>
      <c r="J49"/>
      <c r="K49"/>
      <c r="Q49"/>
      <c r="R49"/>
      <c r="S49" s="18"/>
      <c r="T49" s="18"/>
      <c r="U49" s="18"/>
      <c r="V49" s="18"/>
      <c r="W49" s="18"/>
      <c r="X49" s="18"/>
      <c r="Y49" s="18"/>
      <c r="Z49" s="18"/>
      <c r="AA49" s="18"/>
      <c r="AB49" s="18"/>
    </row>
    <row r="50" spans="1:28" outlineLevel="1" x14ac:dyDescent="0.25">
      <c r="A50" s="1016"/>
      <c r="B50" s="1295"/>
      <c r="C50" s="1294"/>
      <c r="D50" s="1294"/>
      <c r="E50" s="1293" t="s">
        <v>837</v>
      </c>
      <c r="F50"/>
      <c r="G50"/>
      <c r="H50"/>
      <c r="I50"/>
      <c r="J50"/>
      <c r="K50"/>
      <c r="Q50"/>
      <c r="R50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spans="1:28" outlineLevel="1" x14ac:dyDescent="0.25">
      <c r="A51" s="1016"/>
      <c r="B51" s="1295"/>
      <c r="C51" s="1296"/>
      <c r="D51" s="1296"/>
      <c r="E51" s="1293" t="s">
        <v>837</v>
      </c>
      <c r="F51"/>
      <c r="G51"/>
      <c r="H51"/>
      <c r="I51"/>
      <c r="J51"/>
      <c r="K51"/>
      <c r="Q51"/>
      <c r="R51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spans="1:28" outlineLevel="1" x14ac:dyDescent="0.25">
      <c r="A52" s="1016"/>
      <c r="B52" s="1295"/>
      <c r="C52" s="1294"/>
      <c r="D52" s="1294"/>
      <c r="E52" s="1293" t="s">
        <v>837</v>
      </c>
      <c r="F52"/>
      <c r="G52"/>
      <c r="H52"/>
      <c r="I52"/>
      <c r="J52"/>
      <c r="K52"/>
      <c r="Q52"/>
      <c r="R52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outlineLevel="1" x14ac:dyDescent="0.25">
      <c r="A53" s="1016"/>
      <c r="B53" s="1292"/>
      <c r="C53" s="1291"/>
      <c r="D53" s="1291"/>
      <c r="E53"/>
      <c r="F53"/>
      <c r="G53"/>
      <c r="H53"/>
      <c r="I53"/>
      <c r="J53"/>
      <c r="K53"/>
      <c r="Q53"/>
      <c r="R53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spans="1:28" outlineLevel="1" x14ac:dyDescent="0.25">
      <c r="A54" s="1016"/>
      <c r="B54" s="1292"/>
      <c r="C54" s="1291"/>
      <c r="D54" s="1291"/>
      <c r="E54"/>
      <c r="F54"/>
      <c r="G54"/>
      <c r="H54"/>
      <c r="I54"/>
      <c r="J54"/>
      <c r="K54"/>
      <c r="Q54"/>
      <c r="R54"/>
      <c r="S54" s="18"/>
      <c r="T54" s="18"/>
      <c r="U54" s="18"/>
      <c r="V54" s="18"/>
      <c r="W54" s="18"/>
      <c r="X54" s="18"/>
      <c r="Y54" s="18"/>
      <c r="Z54" s="18"/>
      <c r="AA54" s="18"/>
      <c r="AB54" s="18"/>
    </row>
    <row r="55" spans="1:28" outlineLevel="1" x14ac:dyDescent="0.25">
      <c r="A55" s="1016"/>
      <c r="B55" s="1292"/>
      <c r="C55" s="1291"/>
      <c r="D55" s="1291"/>
      <c r="E55"/>
      <c r="F55"/>
      <c r="G55"/>
      <c r="H55"/>
      <c r="I55"/>
      <c r="J55"/>
      <c r="K55"/>
      <c r="Q55"/>
      <c r="R55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spans="1:28" x14ac:dyDescent="0.25">
      <c r="A56" s="1016"/>
      <c r="B56" s="1292"/>
      <c r="C56" s="1291"/>
      <c r="D56" s="1291"/>
      <c r="E56"/>
      <c r="F56"/>
      <c r="G56"/>
      <c r="H56"/>
      <c r="I56"/>
      <c r="J56"/>
      <c r="K56"/>
      <c r="Q56"/>
      <c r="R56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spans="1:28" x14ac:dyDescent="0.25">
      <c r="A57" s="22"/>
      <c r="B57"/>
      <c r="C57"/>
      <c r="D57"/>
      <c r="E57"/>
      <c r="F57"/>
      <c r="G57"/>
      <c r="H57"/>
      <c r="I57"/>
      <c r="J57"/>
      <c r="K57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spans="1:28" x14ac:dyDescent="0.25">
      <c r="A58" s="22"/>
      <c r="B58"/>
      <c r="C58"/>
      <c r="D58"/>
      <c r="E58"/>
      <c r="F58"/>
      <c r="G58"/>
      <c r="H58"/>
      <c r="I58"/>
      <c r="J58"/>
      <c r="K58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spans="1:28" x14ac:dyDescent="0.25">
      <c r="A59" s="22"/>
      <c r="B59" s="73"/>
      <c r="C59"/>
      <c r="D59"/>
      <c r="E59"/>
      <c r="F59"/>
      <c r="G59"/>
      <c r="H59"/>
      <c r="I59"/>
      <c r="J59"/>
      <c r="K59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spans="1:28" x14ac:dyDescent="0.25">
      <c r="A60" s="22"/>
      <c r="B60" s="73"/>
      <c r="C60"/>
      <c r="D60"/>
      <c r="E60"/>
      <c r="F60"/>
      <c r="G60"/>
      <c r="H60"/>
      <c r="I60"/>
      <c r="J60"/>
      <c r="K60"/>
      <c r="L60" s="1"/>
      <c r="M60" s="1"/>
      <c r="N60" s="1"/>
      <c r="O60" s="1"/>
      <c r="P60" s="1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x14ac:dyDescent="0.25">
      <c r="A61" s="22"/>
      <c r="B61" s="73"/>
      <c r="C61"/>
      <c r="D61"/>
      <c r="E61"/>
      <c r="F61"/>
      <c r="G61"/>
      <c r="H61"/>
      <c r="I61"/>
      <c r="J61"/>
      <c r="K61"/>
      <c r="S61" s="18"/>
      <c r="T61" s="18"/>
      <c r="U61" s="18"/>
      <c r="V61" s="18"/>
      <c r="W61" s="18"/>
      <c r="X61" s="18"/>
      <c r="Y61" s="18"/>
      <c r="Z61" s="18"/>
      <c r="AA61" s="18"/>
      <c r="AB61" s="18"/>
    </row>
    <row r="62" spans="1:28" x14ac:dyDescent="0.25">
      <c r="A62" s="22"/>
      <c r="B62"/>
      <c r="C62"/>
      <c r="D62"/>
      <c r="E62"/>
      <c r="F62"/>
      <c r="G62"/>
      <c r="H62"/>
      <c r="I62"/>
      <c r="J62"/>
      <c r="K62"/>
      <c r="S62" s="18"/>
      <c r="T62" s="18"/>
      <c r="U62" s="18"/>
      <c r="V62" s="18"/>
      <c r="W62" s="18"/>
      <c r="X62" s="18"/>
      <c r="Y62" s="18"/>
      <c r="Z62" s="18"/>
      <c r="AA62" s="18"/>
      <c r="AB62" s="18"/>
    </row>
    <row r="63" spans="1:28" x14ac:dyDescent="0.25">
      <c r="A63" s="22"/>
      <c r="B63"/>
      <c r="C63"/>
      <c r="D63"/>
      <c r="E63"/>
      <c r="F63"/>
      <c r="G63"/>
      <c r="H63"/>
      <c r="I63"/>
      <c r="J63"/>
      <c r="K63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spans="1:28" x14ac:dyDescent="0.25">
      <c r="A64" s="22"/>
      <c r="B64"/>
      <c r="C64"/>
      <c r="D64"/>
      <c r="E64"/>
      <c r="F64"/>
      <c r="G64"/>
      <c r="H64"/>
      <c r="I64"/>
      <c r="J64"/>
      <c r="K64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spans="1:28" outlineLevel="1" x14ac:dyDescent="0.25">
      <c r="A65" s="22"/>
      <c r="B65"/>
      <c r="C65"/>
      <c r="D65"/>
      <c r="E65"/>
      <c r="F65"/>
      <c r="G65"/>
      <c r="H65"/>
      <c r="I65"/>
      <c r="J65"/>
      <c r="K65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spans="1:28" outlineLevel="1" x14ac:dyDescent="0.25">
      <c r="A66" s="22"/>
      <c r="B66"/>
      <c r="C66"/>
      <c r="D66"/>
      <c r="E66"/>
      <c r="F66"/>
      <c r="G66"/>
      <c r="H66"/>
      <c r="I66"/>
      <c r="J66"/>
      <c r="K66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spans="1:28" outlineLevel="1" x14ac:dyDescent="0.25">
      <c r="A67" s="22"/>
      <c r="B67"/>
      <c r="C67"/>
      <c r="D67"/>
      <c r="E67"/>
      <c r="F67"/>
      <c r="G67"/>
      <c r="H67"/>
      <c r="I67"/>
      <c r="J67"/>
      <c r="K67"/>
      <c r="L67" s="1"/>
      <c r="M67" s="1"/>
      <c r="N67" s="1"/>
      <c r="O67" s="1"/>
      <c r="P67" s="1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spans="1:28" outlineLevel="1" x14ac:dyDescent="0.25">
      <c r="A68" s="30"/>
      <c r="B68" s="99"/>
      <c r="C68" s="99"/>
      <c r="D68" s="99"/>
      <c r="E68"/>
      <c r="F68"/>
      <c r="G68"/>
      <c r="H68"/>
      <c r="I68"/>
      <c r="J68"/>
      <c r="K68"/>
      <c r="L68" s="1"/>
      <c r="M68" s="1"/>
      <c r="N68" s="1"/>
      <c r="O68" s="1"/>
      <c r="P68" s="1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pans="1:28" outlineLevel="1" x14ac:dyDescent="0.25">
      <c r="A69" s="30"/>
      <c r="B69" s="99"/>
      <c r="C69" s="99"/>
      <c r="D69" s="99"/>
      <c r="E69"/>
      <c r="F69"/>
      <c r="G69"/>
      <c r="H69"/>
      <c r="I69"/>
      <c r="J69"/>
      <c r="K69"/>
      <c r="L69" s="1"/>
      <c r="M69" s="1"/>
      <c r="N69" s="1"/>
      <c r="O69" s="1"/>
      <c r="P69" s="1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outlineLevel="1" x14ac:dyDescent="0.25">
      <c r="A70" s="30"/>
      <c r="B70" s="547"/>
      <c r="C70" s="1178"/>
      <c r="D70" s="1178"/>
      <c r="E70"/>
      <c r="F70"/>
      <c r="G70"/>
      <c r="H70"/>
      <c r="I70"/>
      <c r="J70"/>
      <c r="K70"/>
      <c r="L70" s="1"/>
      <c r="M70" s="1"/>
      <c r="N70" s="1"/>
      <c r="O70" s="1"/>
      <c r="P70" s="1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spans="1:28" outlineLevel="1" x14ac:dyDescent="0.25">
      <c r="A71" s="30"/>
      <c r="B71" s="842"/>
      <c r="C71" s="1231"/>
      <c r="D71" s="1231"/>
      <c r="E71"/>
      <c r="F71"/>
      <c r="G71"/>
      <c r="H71"/>
      <c r="I71"/>
      <c r="J71"/>
      <c r="K71"/>
      <c r="L71" s="1"/>
      <c r="M71" s="1"/>
      <c r="N71" s="1"/>
      <c r="O71" s="1"/>
      <c r="P71" s="1"/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spans="1:28" outlineLevel="1" x14ac:dyDescent="0.25">
      <c r="A72" s="30"/>
      <c r="B72" s="842"/>
      <c r="C72" s="72"/>
      <c r="D72" s="72"/>
      <c r="E72"/>
      <c r="F72"/>
      <c r="G72"/>
      <c r="H72"/>
      <c r="I72"/>
      <c r="J72"/>
      <c r="K72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spans="1:28" outlineLevel="1" x14ac:dyDescent="0.25">
      <c r="A73" s="30"/>
      <c r="B73" s="547"/>
      <c r="C73" s="633"/>
      <c r="D73" s="633"/>
      <c r="E73"/>
      <c r="F73"/>
      <c r="G73"/>
      <c r="H73"/>
      <c r="I73"/>
      <c r="J73"/>
      <c r="K73"/>
      <c r="L73" s="1"/>
      <c r="M73" s="1"/>
      <c r="N73" s="1"/>
      <c r="O73" s="1"/>
      <c r="P73" s="1"/>
      <c r="S73" s="18"/>
      <c r="T73" s="18"/>
      <c r="U73" s="18"/>
      <c r="V73" s="18"/>
      <c r="W73" s="18"/>
      <c r="X73" s="18"/>
      <c r="Y73" s="18"/>
      <c r="Z73" s="18"/>
      <c r="AA73" s="18"/>
      <c r="AB73" s="18"/>
    </row>
    <row r="74" spans="1:28" outlineLevel="1" x14ac:dyDescent="0.25">
      <c r="A74" s="30"/>
      <c r="B74" s="547"/>
      <c r="C74" s="72"/>
      <c r="D74" s="72"/>
      <c r="E74"/>
      <c r="F74"/>
      <c r="G74"/>
      <c r="H74"/>
      <c r="I74"/>
      <c r="J74"/>
      <c r="K74"/>
      <c r="S74" s="18"/>
      <c r="T74" s="18"/>
      <c r="U74" s="18"/>
      <c r="V74" s="18"/>
      <c r="W74" s="18"/>
      <c r="X74" s="18"/>
      <c r="Y74" s="18"/>
      <c r="Z74" s="18"/>
      <c r="AA74" s="18"/>
      <c r="AB74" s="18"/>
    </row>
    <row r="75" spans="1:28" outlineLevel="1" x14ac:dyDescent="0.25">
      <c r="A75" s="30"/>
      <c r="B75" s="842"/>
      <c r="C75" s="633"/>
      <c r="D75" s="633"/>
      <c r="E75"/>
      <c r="F75"/>
      <c r="G75"/>
      <c r="H75"/>
      <c r="I75"/>
      <c r="J75"/>
      <c r="K75"/>
      <c r="S75" s="18"/>
      <c r="T75" s="18"/>
      <c r="U75" s="18"/>
      <c r="V75" s="18"/>
      <c r="W75" s="18"/>
      <c r="X75" s="18"/>
      <c r="Y75" s="18"/>
      <c r="Z75" s="18"/>
      <c r="AA75" s="18"/>
      <c r="AB75" s="18"/>
    </row>
    <row r="76" spans="1:28" outlineLevel="1" x14ac:dyDescent="0.25">
      <c r="A76" s="30"/>
      <c r="B76" s="842"/>
      <c r="C76" s="633"/>
      <c r="D76" s="633"/>
      <c r="E76"/>
      <c r="F76"/>
      <c r="G76"/>
      <c r="H76"/>
      <c r="I76"/>
      <c r="J76"/>
      <c r="K76"/>
      <c r="S76" s="18"/>
      <c r="T76" s="18"/>
      <c r="U76" s="18"/>
      <c r="V76" s="18"/>
      <c r="W76" s="18"/>
      <c r="X76" s="18"/>
      <c r="Y76" s="18"/>
      <c r="Z76" s="18"/>
      <c r="AA76" s="18"/>
      <c r="AB76" s="18"/>
    </row>
    <row r="77" spans="1:28" outlineLevel="1" x14ac:dyDescent="0.25">
      <c r="A77" s="30"/>
      <c r="B77" s="547"/>
      <c r="C77" s="1232"/>
      <c r="D77" s="1232"/>
      <c r="E77"/>
      <c r="F77"/>
      <c r="G77"/>
      <c r="H77"/>
      <c r="I77"/>
      <c r="J77"/>
      <c r="K77"/>
      <c r="S77" s="18"/>
      <c r="T77" s="18"/>
      <c r="U77" s="18"/>
      <c r="V77" s="18"/>
      <c r="W77" s="18"/>
      <c r="X77" s="18"/>
      <c r="Y77" s="18"/>
      <c r="Z77" s="18"/>
      <c r="AA77" s="18"/>
      <c r="AB77" s="18"/>
    </row>
    <row r="78" spans="1:28" outlineLevel="1" x14ac:dyDescent="0.25">
      <c r="A78" s="30"/>
      <c r="B78" s="547"/>
      <c r="C78" s="1233"/>
      <c r="D78" s="1233"/>
      <c r="E78"/>
      <c r="F78"/>
      <c r="G78"/>
      <c r="H78"/>
      <c r="I78"/>
      <c r="J78"/>
      <c r="K78"/>
      <c r="S78" s="18"/>
      <c r="T78" s="18"/>
      <c r="U78" s="18"/>
      <c r="V78" s="18"/>
      <c r="W78" s="18"/>
      <c r="X78" s="18"/>
      <c r="Y78" s="18"/>
      <c r="Z78" s="18"/>
      <c r="AA78" s="18"/>
      <c r="AB78" s="18"/>
    </row>
    <row r="79" spans="1:28" outlineLevel="1" x14ac:dyDescent="0.25">
      <c r="A79" s="30"/>
      <c r="B79" s="20"/>
      <c r="C79" s="67"/>
      <c r="D79" s="67"/>
      <c r="E79"/>
      <c r="F79"/>
      <c r="G79"/>
      <c r="H79"/>
      <c r="I79"/>
      <c r="J79"/>
      <c r="K79"/>
      <c r="S79" s="18"/>
      <c r="T79" s="18"/>
      <c r="U79" s="18"/>
      <c r="V79" s="18"/>
      <c r="W79" s="18"/>
      <c r="X79" s="18"/>
      <c r="Y79" s="18"/>
      <c r="Z79" s="18"/>
      <c r="AA79" s="18"/>
      <c r="AB79" s="18"/>
    </row>
    <row r="80" spans="1:28" outlineLevel="1" x14ac:dyDescent="0.25">
      <c r="A80" s="30"/>
      <c r="B80" s="99"/>
      <c r="C80" s="99"/>
      <c r="D80" s="99"/>
      <c r="E80"/>
      <c r="F80"/>
      <c r="G80"/>
      <c r="H80"/>
      <c r="I80"/>
      <c r="J80"/>
      <c r="K80"/>
      <c r="S80" s="18"/>
      <c r="T80" s="18"/>
      <c r="U80" s="18"/>
      <c r="V80" s="18"/>
      <c r="W80" s="18"/>
      <c r="X80" s="18"/>
      <c r="Y80" s="18"/>
      <c r="Z80" s="18"/>
      <c r="AA80" s="18"/>
      <c r="AB80" s="18"/>
    </row>
    <row r="81" spans="1:28" outlineLevel="1" x14ac:dyDescent="0.25">
      <c r="A81" s="30"/>
      <c r="B81" s="99"/>
      <c r="C81" s="99"/>
      <c r="D81" s="99"/>
      <c r="E81"/>
      <c r="F81"/>
      <c r="G81"/>
      <c r="H81"/>
      <c r="I81"/>
      <c r="J81"/>
      <c r="K81"/>
      <c r="S81" s="18"/>
      <c r="T81" s="18"/>
      <c r="U81" s="18"/>
      <c r="V81" s="18"/>
      <c r="W81" s="18"/>
      <c r="X81" s="18"/>
      <c r="Y81" s="18"/>
      <c r="Z81" s="18"/>
      <c r="AA81" s="18"/>
      <c r="AB81" s="18"/>
    </row>
    <row r="82" spans="1:28" x14ac:dyDescent="0.25">
      <c r="A82" s="30"/>
      <c r="B82" s="99"/>
      <c r="C82" s="99"/>
      <c r="D82" s="99"/>
      <c r="E82"/>
      <c r="F82"/>
      <c r="G82"/>
      <c r="H82"/>
      <c r="I82"/>
      <c r="J82"/>
      <c r="K82"/>
      <c r="S82" s="18"/>
      <c r="T82" s="18"/>
      <c r="U82" s="18"/>
      <c r="V82" s="18"/>
      <c r="W82" s="18"/>
      <c r="X82" s="18"/>
      <c r="Y82" s="18"/>
      <c r="Z82" s="18"/>
      <c r="AA82" s="18"/>
      <c r="AB82" s="18"/>
    </row>
    <row r="83" spans="1:28" x14ac:dyDescent="0.25">
      <c r="A83" s="30"/>
      <c r="B83" s="99"/>
      <c r="C83" s="99"/>
      <c r="D83" s="99"/>
      <c r="E83"/>
      <c r="F83"/>
      <c r="G83"/>
      <c r="H83"/>
      <c r="I83"/>
      <c r="J83"/>
      <c r="K83"/>
      <c r="S83" s="18"/>
      <c r="T83" s="18"/>
      <c r="U83" s="18"/>
      <c r="V83" s="18"/>
      <c r="W83" s="18"/>
      <c r="X83" s="18"/>
      <c r="Y83" s="18"/>
      <c r="Z83" s="18"/>
      <c r="AA83" s="18"/>
      <c r="AB83" s="18"/>
    </row>
    <row r="84" spans="1:28" x14ac:dyDescent="0.25">
      <c r="A84" s="30"/>
      <c r="B84" s="99"/>
      <c r="C84" s="99"/>
      <c r="D84" s="99"/>
      <c r="E84"/>
      <c r="F84"/>
      <c r="G84"/>
      <c r="H84"/>
      <c r="I84"/>
      <c r="J84"/>
      <c r="K84"/>
      <c r="S84" s="18"/>
      <c r="T84" s="18"/>
      <c r="U84" s="18"/>
      <c r="V84" s="18"/>
      <c r="W84" s="18"/>
      <c r="X84" s="18"/>
      <c r="Y84" s="18"/>
      <c r="Z84" s="18"/>
      <c r="AA84" s="18"/>
      <c r="AB84" s="18"/>
    </row>
    <row r="85" spans="1:28" x14ac:dyDescent="0.25">
      <c r="A85" s="30"/>
      <c r="B85" s="547"/>
      <c r="C85" s="1178"/>
      <c r="D85" s="1178"/>
      <c r="E85"/>
      <c r="F85"/>
      <c r="G85"/>
      <c r="H85"/>
      <c r="I85"/>
      <c r="J85"/>
      <c r="K85"/>
      <c r="S85" s="18"/>
      <c r="T85" s="18"/>
      <c r="U85" s="18"/>
      <c r="V85" s="18"/>
      <c r="W85" s="18"/>
      <c r="X85" s="18"/>
      <c r="Y85" s="18"/>
      <c r="Z85" s="18"/>
      <c r="AA85" s="18"/>
      <c r="AB85" s="18"/>
    </row>
    <row r="86" spans="1:28" x14ac:dyDescent="0.25">
      <c r="A86" s="30"/>
      <c r="B86" s="842"/>
      <c r="C86" s="1231"/>
      <c r="D86" s="1231"/>
      <c r="E86"/>
      <c r="F86"/>
      <c r="G86" s="18"/>
      <c r="H86" s="18"/>
      <c r="I86" s="18"/>
      <c r="J86" s="18"/>
      <c r="K86" s="18"/>
      <c r="S86" s="18"/>
      <c r="T86" s="18"/>
      <c r="U86" s="18"/>
      <c r="V86" s="18"/>
      <c r="W86" s="18"/>
      <c r="X86" s="18"/>
      <c r="Y86" s="18"/>
      <c r="Z86" s="18"/>
      <c r="AA86" s="18"/>
      <c r="AB86" s="18"/>
    </row>
    <row r="87" spans="1:28" x14ac:dyDescent="0.25">
      <c r="A87" s="30"/>
      <c r="B87" s="842"/>
      <c r="C87" s="72"/>
      <c r="D87" s="72"/>
      <c r="E87"/>
      <c r="F87"/>
      <c r="G87" s="18"/>
      <c r="H87" s="18"/>
      <c r="I87" s="18"/>
      <c r="J87" s="18"/>
      <c r="K87" s="18"/>
      <c r="S87" s="18"/>
      <c r="T87" s="18"/>
      <c r="U87" s="18"/>
      <c r="V87" s="18"/>
      <c r="W87" s="18"/>
      <c r="X87" s="18"/>
      <c r="Y87" s="18"/>
      <c r="Z87" s="18"/>
      <c r="AA87" s="18"/>
      <c r="AB87" s="18"/>
    </row>
    <row r="88" spans="1:28" x14ac:dyDescent="0.25">
      <c r="A88" s="30"/>
      <c r="B88" s="547"/>
      <c r="C88" s="633"/>
      <c r="D88" s="633"/>
      <c r="E88"/>
      <c r="F88"/>
      <c r="G88" s="18"/>
      <c r="H88" s="18"/>
      <c r="I88" s="18"/>
      <c r="J88" s="18"/>
      <c r="K88" s="18"/>
      <c r="S88" s="18"/>
      <c r="T88" s="18"/>
      <c r="U88" s="18"/>
      <c r="V88" s="18"/>
      <c r="W88" s="18"/>
      <c r="X88" s="18"/>
      <c r="Y88" s="18"/>
      <c r="Z88" s="18"/>
      <c r="AA88" s="18"/>
      <c r="AB88" s="18"/>
    </row>
    <row r="89" spans="1:28" x14ac:dyDescent="0.25">
      <c r="A89" s="30"/>
      <c r="B89" s="547"/>
      <c r="C89" s="72"/>
      <c r="D89" s="72"/>
      <c r="E89"/>
      <c r="F89"/>
      <c r="G89" s="18"/>
      <c r="H89" s="18"/>
      <c r="I89" s="18"/>
      <c r="J89" s="18"/>
      <c r="K89" s="18"/>
      <c r="S89" s="18"/>
      <c r="T89" s="18"/>
      <c r="U89" s="18"/>
      <c r="V89" s="18"/>
      <c r="W89" s="18"/>
      <c r="X89" s="18"/>
      <c r="Y89" s="18"/>
      <c r="Z89" s="18"/>
      <c r="AA89" s="18"/>
      <c r="AB89" s="18"/>
    </row>
    <row r="90" spans="1:28" x14ac:dyDescent="0.25">
      <c r="A90" s="30"/>
      <c r="B90" s="842"/>
      <c r="C90" s="633"/>
      <c r="D90" s="633"/>
      <c r="E90"/>
      <c r="F90"/>
      <c r="G90" s="18"/>
      <c r="H90" s="18"/>
      <c r="I90" s="18"/>
      <c r="J90" s="18"/>
      <c r="K90" s="18"/>
      <c r="S90" s="18"/>
      <c r="T90" s="18"/>
      <c r="U90" s="18"/>
      <c r="V90" s="18"/>
      <c r="W90" s="18"/>
      <c r="X90" s="18"/>
      <c r="Y90" s="18"/>
      <c r="Z90" s="18"/>
      <c r="AA90" s="18"/>
      <c r="AB90" s="18"/>
    </row>
    <row r="91" spans="1:28" x14ac:dyDescent="0.25">
      <c r="A91" s="30"/>
      <c r="B91" s="842"/>
      <c r="C91" s="633"/>
      <c r="D91" s="633"/>
      <c r="E91"/>
      <c r="F91"/>
      <c r="G91" s="18"/>
      <c r="H91" s="18"/>
      <c r="I91" s="18"/>
      <c r="J91" s="18"/>
      <c r="K91" s="18"/>
      <c r="S91" s="18"/>
      <c r="T91" s="18"/>
      <c r="U91" s="18"/>
      <c r="V91" s="18"/>
      <c r="W91" s="18"/>
      <c r="X91" s="18"/>
      <c r="Y91" s="18"/>
      <c r="Z91" s="18"/>
      <c r="AA91" s="18"/>
      <c r="AB91" s="18"/>
    </row>
    <row r="92" spans="1:28" x14ac:dyDescent="0.25">
      <c r="A92" s="30"/>
      <c r="B92" s="547"/>
      <c r="C92" s="1232"/>
      <c r="D92" s="1232"/>
      <c r="E92"/>
      <c r="F92"/>
      <c r="G92" s="18"/>
      <c r="H92" s="18"/>
      <c r="I92" s="18"/>
      <c r="J92" s="18"/>
      <c r="K92" s="18"/>
      <c r="S92" s="18"/>
      <c r="T92" s="18"/>
      <c r="U92" s="18"/>
      <c r="V92" s="18"/>
      <c r="W92" s="18"/>
      <c r="X92" s="18"/>
      <c r="Y92" s="18"/>
      <c r="Z92" s="18"/>
      <c r="AA92" s="18"/>
      <c r="AB92" s="18"/>
    </row>
    <row r="93" spans="1:28" x14ac:dyDescent="0.25">
      <c r="A93" s="30"/>
      <c r="B93" s="547"/>
      <c r="C93" s="1233"/>
      <c r="D93" s="1233"/>
      <c r="E93"/>
      <c r="F93"/>
      <c r="G93" s="18"/>
      <c r="H93" s="18"/>
      <c r="I93" s="18"/>
      <c r="J93" s="18"/>
      <c r="K93" s="18"/>
      <c r="S93" s="18"/>
      <c r="T93" s="18"/>
      <c r="U93" s="18"/>
      <c r="V93" s="18"/>
      <c r="W93" s="18"/>
      <c r="X93" s="18"/>
      <c r="Y93" s="18"/>
      <c r="Z93" s="18"/>
      <c r="AA93" s="18"/>
      <c r="AB93" s="18"/>
    </row>
    <row r="94" spans="1:28" x14ac:dyDescent="0.25">
      <c r="A94" s="30"/>
      <c r="B94" s="20"/>
      <c r="C94" s="67"/>
      <c r="D94" s="67"/>
      <c r="E94"/>
      <c r="F94"/>
      <c r="G94" s="18"/>
      <c r="H94" s="18"/>
      <c r="I94" s="18"/>
      <c r="J94" s="18"/>
      <c r="K94" s="18"/>
      <c r="S94" s="18"/>
      <c r="T94" s="18"/>
      <c r="U94" s="18"/>
      <c r="V94" s="18"/>
      <c r="W94" s="18"/>
      <c r="X94" s="18"/>
      <c r="Y94" s="18"/>
      <c r="Z94" s="18"/>
      <c r="AA94" s="18"/>
      <c r="AB94" s="18"/>
    </row>
    <row r="95" spans="1:28" x14ac:dyDescent="0.25">
      <c r="A95" s="30"/>
      <c r="B95" s="99"/>
      <c r="C95" s="99"/>
      <c r="D95" s="99"/>
      <c r="E95"/>
      <c r="F95"/>
      <c r="G95" s="18"/>
      <c r="H95" s="18"/>
      <c r="I95" s="18"/>
      <c r="J95" s="18"/>
      <c r="K95" s="18"/>
      <c r="S95" s="18"/>
      <c r="T95" s="18"/>
      <c r="U95" s="18"/>
      <c r="V95" s="18"/>
      <c r="W95" s="18"/>
      <c r="X95" s="18"/>
      <c r="Y95" s="18"/>
      <c r="Z95" s="18"/>
      <c r="AA95" s="18"/>
      <c r="AB95" s="18"/>
    </row>
    <row r="96" spans="1:28" x14ac:dyDescent="0.25">
      <c r="A96" s="22"/>
      <c r="B96"/>
      <c r="C96"/>
      <c r="D96"/>
      <c r="E96"/>
      <c r="F96"/>
      <c r="G96" s="18"/>
      <c r="H96" s="18"/>
      <c r="I96" s="18"/>
      <c r="J96" s="18"/>
      <c r="K96" s="18"/>
      <c r="S96" s="18"/>
      <c r="T96" s="18"/>
      <c r="U96" s="18"/>
      <c r="V96" s="18"/>
      <c r="W96" s="18"/>
      <c r="X96" s="18"/>
      <c r="Y96" s="18"/>
      <c r="Z96" s="18"/>
      <c r="AA96" s="18"/>
      <c r="AB96" s="18"/>
    </row>
    <row r="97" spans="1:28" x14ac:dyDescent="0.25">
      <c r="A97" s="22"/>
      <c r="B97"/>
      <c r="C97"/>
      <c r="D97"/>
      <c r="E97"/>
      <c r="F97"/>
      <c r="G97" s="18"/>
      <c r="H97" s="18"/>
      <c r="I97" s="18"/>
      <c r="J97" s="18"/>
      <c r="K97" s="18"/>
      <c r="S97" s="18"/>
      <c r="T97" s="18"/>
      <c r="U97" s="18"/>
      <c r="V97" s="18"/>
      <c r="W97" s="18"/>
      <c r="X97" s="18"/>
      <c r="Y97" s="18"/>
      <c r="Z97" s="18"/>
      <c r="AA97" s="18"/>
      <c r="AB97" s="18"/>
    </row>
    <row r="98" spans="1:28" x14ac:dyDescent="0.25">
      <c r="A98" s="22"/>
      <c r="B98"/>
      <c r="C98"/>
      <c r="D98"/>
      <c r="E98"/>
      <c r="F98"/>
      <c r="G98" s="18"/>
      <c r="H98" s="18"/>
      <c r="I98" s="18"/>
      <c r="J98" s="18"/>
      <c r="K98" s="18"/>
      <c r="S98" s="18"/>
      <c r="T98" s="18"/>
      <c r="U98" s="18"/>
      <c r="V98" s="18"/>
      <c r="W98" s="18"/>
      <c r="X98" s="18"/>
      <c r="Y98" s="18"/>
      <c r="Z98" s="18"/>
      <c r="AA98" s="18"/>
      <c r="AB98" s="18"/>
    </row>
    <row r="99" spans="1:28" x14ac:dyDescent="0.25">
      <c r="A99" s="22"/>
      <c r="B99"/>
      <c r="C99"/>
      <c r="D99"/>
      <c r="E99"/>
      <c r="F99"/>
      <c r="G99" s="18"/>
      <c r="H99" s="18"/>
      <c r="I99" s="18"/>
      <c r="J99" s="18"/>
      <c r="K99" s="18"/>
      <c r="S99" s="18"/>
      <c r="T99" s="18"/>
      <c r="U99" s="18"/>
      <c r="V99" s="18"/>
      <c r="W99" s="18"/>
      <c r="X99" s="18"/>
      <c r="Y99" s="18"/>
      <c r="Z99" s="18"/>
      <c r="AA99" s="18"/>
      <c r="AB99" s="18"/>
    </row>
    <row r="100" spans="1:28" x14ac:dyDescent="0.25">
      <c r="A100" s="22"/>
      <c r="B100"/>
      <c r="C100"/>
      <c r="D100"/>
      <c r="E100"/>
      <c r="F100"/>
      <c r="G100" s="18"/>
      <c r="H100" s="18"/>
      <c r="I100" s="18"/>
      <c r="J100" s="18"/>
      <c r="K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</row>
    <row r="101" spans="1:28" x14ac:dyDescent="0.25">
      <c r="A101" s="22"/>
      <c r="B101"/>
      <c r="C101"/>
      <c r="D101"/>
      <c r="E101"/>
      <c r="F101"/>
      <c r="G101" s="18"/>
      <c r="H101" s="18"/>
      <c r="I101" s="18"/>
      <c r="J101" s="18"/>
      <c r="K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</row>
    <row r="102" spans="1:28" x14ac:dyDescent="0.25">
      <c r="A102" s="22"/>
      <c r="B102"/>
      <c r="C102"/>
      <c r="D102"/>
      <c r="E102"/>
      <c r="F102"/>
      <c r="G102" s="18"/>
      <c r="H102" s="18"/>
      <c r="I102" s="18"/>
      <c r="J102" s="18"/>
      <c r="K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</row>
    <row r="103" spans="1:28" x14ac:dyDescent="0.25">
      <c r="A103" s="22"/>
      <c r="B103"/>
      <c r="C103"/>
      <c r="D103"/>
      <c r="E103"/>
      <c r="F103"/>
      <c r="G103" s="18"/>
      <c r="H103" s="18"/>
      <c r="I103" s="18"/>
      <c r="J103" s="18"/>
      <c r="K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</row>
    <row r="104" spans="1:28" x14ac:dyDescent="0.25">
      <c r="A104" s="22"/>
      <c r="B104"/>
      <c r="C104"/>
      <c r="D104"/>
      <c r="E104"/>
      <c r="F104"/>
      <c r="G104" s="18"/>
      <c r="H104" s="18"/>
      <c r="I104" s="18"/>
      <c r="J104" s="18"/>
      <c r="K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</row>
    <row r="105" spans="1:28" x14ac:dyDescent="0.25">
      <c r="A105" s="22"/>
      <c r="B105"/>
      <c r="C105"/>
      <c r="D105"/>
      <c r="E105"/>
      <c r="F105"/>
      <c r="G105" s="18"/>
      <c r="H105" s="18"/>
      <c r="I105" s="18"/>
      <c r="J105" s="18"/>
      <c r="K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</row>
    <row r="106" spans="1:28" x14ac:dyDescent="0.25">
      <c r="A106" s="22"/>
      <c r="B106"/>
      <c r="C106"/>
      <c r="D106"/>
      <c r="E106"/>
      <c r="F106"/>
      <c r="G106" s="18"/>
      <c r="H106" s="18"/>
      <c r="I106" s="18"/>
      <c r="J106" s="18"/>
      <c r="K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</row>
    <row r="107" spans="1:28" x14ac:dyDescent="0.25">
      <c r="A107" s="18"/>
      <c r="B107"/>
      <c r="C107"/>
      <c r="D107"/>
      <c r="E107"/>
      <c r="F107"/>
      <c r="G107" s="18"/>
      <c r="H107" s="18"/>
      <c r="I107" s="18"/>
      <c r="J107" s="18"/>
      <c r="K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</row>
    <row r="108" spans="1:28" x14ac:dyDescent="0.25">
      <c r="A108" s="18"/>
      <c r="B108"/>
      <c r="C108"/>
      <c r="D108"/>
      <c r="E108"/>
      <c r="F108"/>
      <c r="G108" s="18"/>
      <c r="H108" s="18"/>
      <c r="I108" s="18"/>
      <c r="J108" s="18"/>
      <c r="K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</row>
    <row r="109" spans="1:28" x14ac:dyDescent="0.25">
      <c r="A109" s="18"/>
      <c r="B109"/>
      <c r="C109"/>
      <c r="D109"/>
      <c r="E109"/>
      <c r="F109"/>
      <c r="G109" s="18"/>
      <c r="H109" s="18"/>
      <c r="I109" s="18"/>
      <c r="J109" s="18"/>
      <c r="K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</row>
    <row r="110" spans="1:28" x14ac:dyDescent="0.25">
      <c r="A110" s="18"/>
      <c r="B110"/>
      <c r="C110"/>
      <c r="D110"/>
      <c r="E110"/>
      <c r="F110"/>
      <c r="G110" s="18"/>
      <c r="H110" s="18"/>
      <c r="I110" s="18"/>
      <c r="J110" s="18"/>
      <c r="K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</row>
    <row r="111" spans="1:28" x14ac:dyDescent="0.25">
      <c r="A111" s="18"/>
      <c r="B111"/>
      <c r="C111"/>
      <c r="D111"/>
      <c r="E111"/>
      <c r="F111"/>
      <c r="G111" s="18"/>
      <c r="H111" s="18"/>
      <c r="I111" s="18"/>
      <c r="J111" s="18"/>
      <c r="K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</row>
    <row r="112" spans="1:28" x14ac:dyDescent="0.25">
      <c r="A112" s="18"/>
      <c r="B112"/>
      <c r="C112"/>
      <c r="D112"/>
      <c r="E112"/>
      <c r="F112"/>
      <c r="G112" s="18"/>
      <c r="H112" s="18"/>
      <c r="I112" s="18"/>
      <c r="J112" s="18"/>
      <c r="K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</row>
    <row r="113" spans="1:28" x14ac:dyDescent="0.25">
      <c r="A113" s="18"/>
      <c r="B113"/>
      <c r="C113"/>
      <c r="D113"/>
      <c r="E113"/>
      <c r="F113"/>
      <c r="G113" s="18"/>
      <c r="H113" s="18"/>
      <c r="I113" s="18"/>
      <c r="J113" s="18"/>
      <c r="K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</row>
    <row r="114" spans="1:28" x14ac:dyDescent="0.25">
      <c r="A114" s="18"/>
      <c r="B114"/>
      <c r="C114"/>
      <c r="D114"/>
      <c r="E114"/>
      <c r="F114"/>
      <c r="G114" s="18"/>
      <c r="H114" s="18"/>
      <c r="I114" s="18"/>
      <c r="J114" s="18"/>
      <c r="K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</row>
    <row r="115" spans="1:28" x14ac:dyDescent="0.25">
      <c r="A115" s="18"/>
      <c r="B115"/>
      <c r="C115"/>
      <c r="D115"/>
      <c r="E115"/>
      <c r="F115"/>
      <c r="G115" s="18"/>
      <c r="H115" s="18"/>
      <c r="I115" s="18"/>
      <c r="J115" s="18"/>
      <c r="K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</row>
    <row r="116" spans="1:28" x14ac:dyDescent="0.25">
      <c r="A116" s="18"/>
      <c r="B116"/>
      <c r="C116"/>
      <c r="D116"/>
      <c r="E116"/>
      <c r="F116"/>
      <c r="G116" s="18"/>
      <c r="H116" s="18"/>
      <c r="I116" s="18"/>
      <c r="J116" s="18"/>
      <c r="K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</row>
    <row r="117" spans="1:28" x14ac:dyDescent="0.25">
      <c r="A117" s="18"/>
      <c r="B117"/>
      <c r="C117"/>
      <c r="D117"/>
      <c r="E117"/>
      <c r="F117"/>
      <c r="G117" s="18"/>
      <c r="H117" s="18"/>
      <c r="I117" s="18"/>
      <c r="J117" s="18"/>
      <c r="K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</row>
    <row r="118" spans="1:28" x14ac:dyDescent="0.25">
      <c r="A118" s="18"/>
      <c r="B118"/>
      <c r="C118"/>
      <c r="D118"/>
      <c r="E118"/>
      <c r="F118"/>
      <c r="G118" s="18"/>
      <c r="H118" s="18"/>
      <c r="I118" s="18"/>
      <c r="J118" s="18"/>
      <c r="K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</row>
    <row r="119" spans="1:28" x14ac:dyDescent="0.25">
      <c r="A119" s="18"/>
      <c r="B119"/>
      <c r="C119"/>
      <c r="D119"/>
      <c r="E119"/>
      <c r="F119"/>
      <c r="G119" s="18"/>
      <c r="H119" s="18"/>
      <c r="I119" s="18"/>
      <c r="J119" s="18"/>
      <c r="K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</row>
    <row r="120" spans="1:28" x14ac:dyDescent="0.25">
      <c r="A120" s="18"/>
      <c r="B120"/>
      <c r="C120"/>
      <c r="D120"/>
      <c r="E120"/>
      <c r="F120"/>
      <c r="G120" s="18"/>
      <c r="H120" s="18"/>
      <c r="I120" s="18"/>
      <c r="J120" s="18"/>
      <c r="K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</row>
    <row r="121" spans="1:28" x14ac:dyDescent="0.25">
      <c r="A121" s="18"/>
      <c r="B121"/>
      <c r="C121"/>
      <c r="D121"/>
      <c r="E121"/>
      <c r="F121"/>
      <c r="G121" s="18"/>
      <c r="H121" s="18"/>
      <c r="I121" s="18"/>
      <c r="J121" s="18"/>
      <c r="K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</row>
    <row r="122" spans="1:28" x14ac:dyDescent="0.25">
      <c r="A122" s="18"/>
      <c r="B122"/>
      <c r="C122"/>
      <c r="D122"/>
      <c r="E122"/>
      <c r="F122"/>
      <c r="G122" s="18"/>
      <c r="H122" s="18"/>
      <c r="I122" s="18"/>
      <c r="J122" s="18"/>
      <c r="K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</row>
    <row r="123" spans="1:28" x14ac:dyDescent="0.25">
      <c r="A123" s="18"/>
      <c r="B123"/>
      <c r="C123"/>
      <c r="D123"/>
      <c r="E123"/>
      <c r="F123"/>
      <c r="G123" s="18"/>
      <c r="H123" s="18"/>
      <c r="I123" s="18"/>
      <c r="J123" s="18"/>
      <c r="K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</row>
    <row r="124" spans="1:28" x14ac:dyDescent="0.25">
      <c r="A124" s="18"/>
      <c r="B124"/>
      <c r="C124"/>
      <c r="D124"/>
      <c r="E124"/>
      <c r="F124"/>
      <c r="G124" s="18"/>
      <c r="H124" s="18"/>
      <c r="I124" s="18"/>
      <c r="J124" s="18"/>
      <c r="K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</row>
    <row r="125" spans="1:28" x14ac:dyDescent="0.25">
      <c r="A125" s="18"/>
      <c r="B125"/>
      <c r="C125"/>
      <c r="D125"/>
      <c r="E125"/>
      <c r="F125"/>
      <c r="G125" s="18"/>
      <c r="H125" s="18"/>
      <c r="I125" s="18"/>
      <c r="J125" s="18"/>
      <c r="K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</row>
    <row r="126" spans="1:28" x14ac:dyDescent="0.25">
      <c r="A126" s="18"/>
      <c r="B126"/>
      <c r="C126"/>
      <c r="D126"/>
      <c r="E126"/>
      <c r="F126"/>
      <c r="G126" s="18"/>
      <c r="H126" s="18"/>
      <c r="I126" s="18"/>
      <c r="J126" s="18"/>
      <c r="K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</row>
    <row r="127" spans="1:28" x14ac:dyDescent="0.25">
      <c r="A127" s="18"/>
      <c r="B127"/>
      <c r="C127"/>
      <c r="D127"/>
      <c r="E127"/>
      <c r="F127"/>
      <c r="G127" s="18"/>
      <c r="H127" s="18"/>
      <c r="I127" s="18"/>
      <c r="J127" s="18"/>
      <c r="K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</row>
    <row r="128" spans="1:28" x14ac:dyDescent="0.25">
      <c r="A128" s="18"/>
      <c r="B128"/>
      <c r="C128"/>
      <c r="D128"/>
      <c r="E128"/>
      <c r="F128"/>
      <c r="G128" s="18"/>
      <c r="H128" s="18"/>
      <c r="I128" s="18"/>
      <c r="J128" s="18"/>
      <c r="K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</row>
    <row r="129" spans="1:28" x14ac:dyDescent="0.25">
      <c r="A129" s="18"/>
      <c r="B129"/>
      <c r="C129"/>
      <c r="D129"/>
      <c r="E129"/>
      <c r="F129"/>
      <c r="G129" s="18"/>
      <c r="H129" s="18"/>
      <c r="I129" s="18"/>
      <c r="J129" s="18"/>
      <c r="K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</row>
    <row r="130" spans="1:28" x14ac:dyDescent="0.25">
      <c r="A130" s="18"/>
      <c r="B130"/>
      <c r="C130"/>
      <c r="D130"/>
      <c r="E130"/>
      <c r="F130"/>
      <c r="G130" s="18"/>
      <c r="H130" s="18"/>
      <c r="I130" s="18"/>
      <c r="J130" s="18"/>
      <c r="K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</row>
    <row r="131" spans="1:28" x14ac:dyDescent="0.25">
      <c r="A131" s="18"/>
      <c r="B131"/>
      <c r="C131"/>
      <c r="D131"/>
      <c r="E131"/>
      <c r="F131"/>
      <c r="G131" s="18"/>
      <c r="H131" s="18"/>
      <c r="I131" s="18"/>
      <c r="J131" s="18"/>
      <c r="K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</row>
    <row r="132" spans="1:28" x14ac:dyDescent="0.25">
      <c r="A132" s="18"/>
      <c r="B132"/>
      <c r="C132"/>
      <c r="D132"/>
      <c r="E132"/>
      <c r="F132"/>
      <c r="G132" s="18"/>
      <c r="H132" s="18"/>
      <c r="I132" s="18"/>
      <c r="J132" s="18"/>
      <c r="K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</row>
    <row r="133" spans="1:28" x14ac:dyDescent="0.25">
      <c r="A133" s="18"/>
      <c r="B133"/>
      <c r="C133"/>
      <c r="D133"/>
      <c r="E133"/>
      <c r="F133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</row>
    <row r="134" spans="1:28" x14ac:dyDescent="0.25">
      <c r="A134" s="18"/>
      <c r="B134"/>
      <c r="C134"/>
      <c r="D134"/>
      <c r="E134"/>
      <c r="F134"/>
      <c r="G134" s="18"/>
      <c r="H134" s="18"/>
      <c r="I134" s="18"/>
      <c r="J134" s="18"/>
      <c r="K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</row>
    <row r="135" spans="1:28" x14ac:dyDescent="0.25">
      <c r="A135" s="18"/>
      <c r="B135"/>
      <c r="C135"/>
      <c r="D135"/>
      <c r="E135"/>
      <c r="F135"/>
      <c r="G135" s="18"/>
      <c r="H135" s="18"/>
      <c r="I135" s="18"/>
      <c r="J135" s="18"/>
      <c r="K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</row>
    <row r="136" spans="1:28" x14ac:dyDescent="0.25">
      <c r="A136" s="18"/>
      <c r="B136"/>
      <c r="C136"/>
      <c r="D136"/>
      <c r="E136"/>
      <c r="F136"/>
      <c r="G136" s="18"/>
      <c r="H136" s="18"/>
      <c r="I136" s="18"/>
      <c r="J136" s="18"/>
      <c r="K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</row>
    <row r="137" spans="1:28" x14ac:dyDescent="0.25">
      <c r="A137" s="18"/>
      <c r="B137"/>
      <c r="C137"/>
      <c r="D137"/>
      <c r="E137"/>
      <c r="F137"/>
      <c r="G137" s="18"/>
      <c r="H137" s="18"/>
      <c r="I137" s="18"/>
      <c r="J137" s="18"/>
      <c r="K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</row>
    <row r="138" spans="1:28" x14ac:dyDescent="0.25">
      <c r="A138" s="18"/>
      <c r="B138"/>
      <c r="C138"/>
      <c r="D138"/>
      <c r="E138"/>
      <c r="F138"/>
      <c r="G138" s="18"/>
      <c r="H138" s="18"/>
      <c r="I138" s="18"/>
      <c r="J138" s="18"/>
      <c r="K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</row>
    <row r="139" spans="1:28" x14ac:dyDescent="0.25">
      <c r="A139" s="18"/>
      <c r="B139"/>
      <c r="C139"/>
      <c r="D139"/>
      <c r="E139"/>
      <c r="F139"/>
      <c r="G139" s="18"/>
      <c r="H139" s="18"/>
      <c r="I139" s="18"/>
      <c r="J139" s="18"/>
      <c r="K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</row>
    <row r="140" spans="1:28" x14ac:dyDescent="0.25">
      <c r="A140" s="18"/>
      <c r="B140"/>
      <c r="C140"/>
      <c r="D140"/>
      <c r="E140"/>
      <c r="F140"/>
      <c r="G140" s="18"/>
      <c r="H140" s="18"/>
      <c r="I140" s="18"/>
      <c r="J140" s="18"/>
      <c r="K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</row>
    <row r="141" spans="1:28" x14ac:dyDescent="0.25">
      <c r="A141" s="18"/>
      <c r="B141"/>
      <c r="C141"/>
      <c r="D141"/>
      <c r="E141"/>
      <c r="F141"/>
      <c r="G141" s="18"/>
      <c r="H141" s="18"/>
      <c r="I141" s="18"/>
      <c r="J141" s="18"/>
      <c r="K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</row>
    <row r="142" spans="1:28" x14ac:dyDescent="0.25">
      <c r="A142" s="18"/>
      <c r="B142"/>
      <c r="C142"/>
      <c r="D142"/>
      <c r="E142"/>
      <c r="F142"/>
      <c r="G142" s="18"/>
      <c r="H142" s="18"/>
      <c r="I142" s="18"/>
      <c r="J142" s="18"/>
      <c r="K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</row>
    <row r="143" spans="1:28" x14ac:dyDescent="0.25">
      <c r="A143" s="18"/>
      <c r="B143"/>
      <c r="C143"/>
      <c r="D143"/>
      <c r="E143"/>
      <c r="F143"/>
      <c r="G143" s="18"/>
      <c r="H143" s="18"/>
      <c r="I143" s="18"/>
      <c r="J143" s="18"/>
      <c r="K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</row>
    <row r="144" spans="1:28" x14ac:dyDescent="0.25">
      <c r="A144" s="18"/>
      <c r="B144"/>
      <c r="C144"/>
      <c r="D144"/>
      <c r="E144"/>
      <c r="F144"/>
      <c r="G144" s="18"/>
      <c r="H144" s="18"/>
      <c r="I144" s="18"/>
      <c r="J144" s="18"/>
      <c r="K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</row>
    <row r="145" spans="1:28" x14ac:dyDescent="0.25">
      <c r="A145" s="18"/>
      <c r="B145"/>
      <c r="C145"/>
      <c r="D145"/>
      <c r="E145"/>
      <c r="F145"/>
      <c r="G145" s="18"/>
      <c r="H145" s="18"/>
      <c r="I145" s="18"/>
      <c r="J145" s="18"/>
      <c r="K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</row>
    <row r="146" spans="1:28" x14ac:dyDescent="0.25">
      <c r="A146" s="18"/>
      <c r="B146"/>
      <c r="C146"/>
      <c r="D146"/>
      <c r="E146"/>
      <c r="F146"/>
      <c r="G146" s="18"/>
      <c r="H146" s="18"/>
      <c r="I146" s="18"/>
      <c r="J146" s="18"/>
      <c r="K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</row>
    <row r="147" spans="1:28" x14ac:dyDescent="0.25">
      <c r="A147" s="18"/>
      <c r="B147"/>
      <c r="C147"/>
      <c r="D147"/>
      <c r="E147"/>
      <c r="F147"/>
      <c r="G147" s="18"/>
      <c r="H147" s="18"/>
      <c r="I147" s="18"/>
      <c r="J147" s="18"/>
      <c r="K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</row>
    <row r="148" spans="1:28" x14ac:dyDescent="0.25">
      <c r="A148" s="18"/>
      <c r="B148"/>
      <c r="C148"/>
      <c r="D148"/>
      <c r="E148"/>
      <c r="F148"/>
      <c r="G148" s="18"/>
      <c r="H148" s="18"/>
      <c r="I148" s="18"/>
      <c r="J148" s="18"/>
      <c r="K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</row>
    <row r="149" spans="1:28" x14ac:dyDescent="0.25">
      <c r="A149" s="18"/>
      <c r="B149"/>
      <c r="C149"/>
      <c r="D149"/>
      <c r="E149"/>
      <c r="F149"/>
      <c r="G149" s="18"/>
      <c r="H149" s="18"/>
      <c r="I149" s="18"/>
      <c r="J149" s="18"/>
      <c r="K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</row>
    <row r="150" spans="1:28" x14ac:dyDescent="0.25">
      <c r="A150" s="18"/>
      <c r="B150"/>
      <c r="C150"/>
      <c r="D150"/>
      <c r="E150"/>
      <c r="F150"/>
      <c r="G150" s="18"/>
      <c r="H150" s="18"/>
      <c r="I150" s="18"/>
      <c r="J150" s="18"/>
      <c r="K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</row>
    <row r="151" spans="1:28" x14ac:dyDescent="0.25">
      <c r="A151" s="18"/>
      <c r="B151"/>
      <c r="C151"/>
      <c r="D151"/>
      <c r="E151"/>
      <c r="F151"/>
      <c r="G151" s="18"/>
      <c r="H151" s="18"/>
      <c r="I151" s="18"/>
      <c r="J151" s="18"/>
      <c r="K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</row>
    <row r="152" spans="1:28" x14ac:dyDescent="0.25">
      <c r="A152" s="18"/>
      <c r="B152"/>
      <c r="C152"/>
      <c r="D152"/>
      <c r="E152"/>
      <c r="F152"/>
      <c r="G152" s="18"/>
      <c r="H152" s="18"/>
      <c r="I152" s="18"/>
      <c r="J152" s="18"/>
      <c r="K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</row>
    <row r="153" spans="1:28" x14ac:dyDescent="0.25">
      <c r="A153" s="18"/>
      <c r="B153"/>
      <c r="C153"/>
      <c r="D153"/>
      <c r="E153"/>
      <c r="F153"/>
      <c r="G153" s="18"/>
      <c r="H153" s="18"/>
      <c r="I153" s="18"/>
      <c r="J153" s="18"/>
      <c r="K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</row>
    <row r="154" spans="1:28" x14ac:dyDescent="0.25">
      <c r="A154" s="18"/>
      <c r="B154"/>
      <c r="C154"/>
      <c r="D154"/>
      <c r="E154"/>
      <c r="F154"/>
      <c r="G154" s="18"/>
      <c r="H154" s="18"/>
      <c r="I154" s="18"/>
      <c r="J154" s="18"/>
      <c r="K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</row>
    <row r="155" spans="1:28" x14ac:dyDescent="0.25">
      <c r="A155" s="18"/>
      <c r="B155"/>
      <c r="C155"/>
      <c r="D155"/>
      <c r="E155"/>
      <c r="F155"/>
      <c r="G155" s="18"/>
      <c r="H155" s="18"/>
      <c r="I155" s="18"/>
      <c r="J155" s="18"/>
      <c r="K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</row>
    <row r="156" spans="1:28" x14ac:dyDescent="0.25">
      <c r="A156" s="18"/>
      <c r="B156"/>
      <c r="C156"/>
      <c r="D156"/>
      <c r="E156"/>
      <c r="F156"/>
      <c r="G156" s="18"/>
      <c r="H156" s="18"/>
      <c r="I156" s="18"/>
      <c r="J156" s="18"/>
      <c r="K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</row>
    <row r="157" spans="1:28" x14ac:dyDescent="0.25">
      <c r="A157" s="18"/>
      <c r="B157"/>
      <c r="C157"/>
      <c r="D157"/>
      <c r="E157"/>
      <c r="F157"/>
      <c r="G157" s="18"/>
      <c r="H157" s="18"/>
      <c r="I157" s="18"/>
      <c r="J157" s="18"/>
      <c r="K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</row>
    <row r="158" spans="1:28" x14ac:dyDescent="0.25">
      <c r="A158" s="18"/>
      <c r="B158"/>
      <c r="C158"/>
      <c r="D158"/>
      <c r="E158"/>
      <c r="F158"/>
      <c r="G158" s="18"/>
      <c r="H158" s="18"/>
      <c r="I158" s="18"/>
      <c r="J158" s="18"/>
      <c r="K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</row>
    <row r="159" spans="1:28" x14ac:dyDescent="0.25">
      <c r="A159" s="18"/>
      <c r="B159"/>
      <c r="C159"/>
      <c r="D159"/>
      <c r="E159"/>
      <c r="F159"/>
      <c r="G159" s="18"/>
      <c r="H159" s="18"/>
      <c r="I159" s="18"/>
      <c r="J159" s="18"/>
      <c r="K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</row>
    <row r="160" spans="1:28" x14ac:dyDescent="0.25">
      <c r="A160" s="18"/>
      <c r="B160"/>
      <c r="C160"/>
      <c r="D160"/>
      <c r="E160"/>
      <c r="F160"/>
      <c r="G160" s="18"/>
      <c r="H160" s="18"/>
      <c r="I160" s="18"/>
      <c r="J160" s="18"/>
      <c r="K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</row>
    <row r="161" spans="1:28" x14ac:dyDescent="0.25">
      <c r="A161" s="18"/>
      <c r="B161"/>
      <c r="C161"/>
      <c r="D161"/>
      <c r="E161"/>
      <c r="F161"/>
      <c r="G161" s="18"/>
      <c r="H161" s="18"/>
      <c r="I161" s="18"/>
      <c r="J161" s="18"/>
      <c r="K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</row>
    <row r="162" spans="1:28" x14ac:dyDescent="0.25">
      <c r="A162" s="18"/>
      <c r="B162"/>
      <c r="C162"/>
      <c r="D162"/>
      <c r="E162"/>
      <c r="F162"/>
      <c r="G162" s="18"/>
      <c r="H162" s="18"/>
      <c r="I162" s="18"/>
      <c r="J162" s="18"/>
      <c r="K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</row>
    <row r="163" spans="1:28" x14ac:dyDescent="0.25">
      <c r="A163" s="18"/>
      <c r="B163"/>
      <c r="C163"/>
      <c r="D163"/>
      <c r="E163"/>
      <c r="F163"/>
      <c r="G163" s="18"/>
      <c r="H163" s="18"/>
      <c r="I163" s="18"/>
      <c r="J163" s="18"/>
      <c r="K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</row>
    <row r="164" spans="1:28" x14ac:dyDescent="0.25">
      <c r="A164" s="18"/>
      <c r="B164"/>
      <c r="C164"/>
      <c r="D164"/>
      <c r="E164"/>
      <c r="F164"/>
      <c r="G164" s="18"/>
      <c r="H164" s="18"/>
      <c r="I164" s="18"/>
      <c r="J164" s="18"/>
      <c r="K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</row>
    <row r="165" spans="1:28" x14ac:dyDescent="0.25">
      <c r="A165" s="18"/>
      <c r="B165"/>
      <c r="C165"/>
      <c r="D165"/>
      <c r="E165"/>
      <c r="F165"/>
      <c r="G165" s="18"/>
      <c r="H165" s="18"/>
      <c r="I165" s="18"/>
      <c r="J165" s="18"/>
      <c r="K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</row>
    <row r="166" spans="1:28" x14ac:dyDescent="0.25">
      <c r="A166" s="18"/>
      <c r="B166"/>
      <c r="C166"/>
      <c r="D166"/>
      <c r="E166"/>
      <c r="F166"/>
      <c r="G166" s="18"/>
      <c r="H166" s="18"/>
      <c r="I166" s="18"/>
      <c r="J166" s="18"/>
      <c r="K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</row>
    <row r="167" spans="1:28" x14ac:dyDescent="0.25">
      <c r="A167" s="18"/>
      <c r="B167"/>
      <c r="C167"/>
      <c r="D167"/>
      <c r="E167"/>
      <c r="F167"/>
      <c r="G167" s="18"/>
      <c r="H167" s="18"/>
      <c r="I167" s="18"/>
      <c r="J167" s="18"/>
      <c r="K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</row>
    <row r="168" spans="1:28" x14ac:dyDescent="0.25">
      <c r="A168" s="18"/>
      <c r="B168"/>
      <c r="C168"/>
      <c r="D168"/>
      <c r="E168"/>
      <c r="F168"/>
      <c r="G168" s="18"/>
      <c r="H168" s="18"/>
      <c r="I168" s="18"/>
      <c r="J168" s="18"/>
      <c r="K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</row>
    <row r="169" spans="1:28" x14ac:dyDescent="0.25">
      <c r="A169" s="18"/>
      <c r="B169"/>
      <c r="C169"/>
      <c r="D169"/>
      <c r="E169"/>
      <c r="F169"/>
      <c r="G169" s="18"/>
      <c r="H169" s="18"/>
      <c r="I169" s="18"/>
      <c r="J169" s="18"/>
      <c r="K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</row>
    <row r="170" spans="1:28" x14ac:dyDescent="0.25">
      <c r="A170" s="18"/>
      <c r="B170"/>
      <c r="C170"/>
      <c r="D170"/>
      <c r="E170"/>
      <c r="F170"/>
      <c r="G170" s="18"/>
      <c r="H170" s="18"/>
      <c r="I170" s="18"/>
      <c r="J170" s="18"/>
      <c r="K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</row>
    <row r="171" spans="1:28" x14ac:dyDescent="0.25">
      <c r="A171" s="18"/>
      <c r="B171"/>
      <c r="C171"/>
      <c r="D171"/>
      <c r="E171"/>
      <c r="F171"/>
      <c r="G171" s="18"/>
      <c r="H171" s="18"/>
      <c r="I171" s="18"/>
      <c r="J171" s="18"/>
      <c r="K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</row>
    <row r="172" spans="1:28" x14ac:dyDescent="0.25">
      <c r="A172" s="18"/>
      <c r="B172"/>
      <c r="C172"/>
      <c r="D172"/>
      <c r="E172"/>
      <c r="F172"/>
      <c r="G172" s="18"/>
      <c r="H172" s="18"/>
      <c r="I172" s="18"/>
      <c r="J172" s="18"/>
      <c r="K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</row>
    <row r="173" spans="1:28" x14ac:dyDescent="0.25">
      <c r="A173" s="18"/>
      <c r="B173"/>
      <c r="C173"/>
      <c r="D173"/>
      <c r="E173"/>
      <c r="F173"/>
      <c r="G173" s="18"/>
      <c r="H173" s="18"/>
      <c r="I173" s="18"/>
      <c r="J173" s="18"/>
      <c r="K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</row>
    <row r="174" spans="1:28" x14ac:dyDescent="0.25">
      <c r="A174" s="18"/>
      <c r="B174"/>
      <c r="C174"/>
      <c r="D174"/>
      <c r="E174"/>
      <c r="F174"/>
      <c r="G174" s="18"/>
      <c r="H174" s="18"/>
      <c r="I174" s="18"/>
      <c r="J174" s="18"/>
      <c r="K174" s="18"/>
    </row>
    <row r="175" spans="1:28" x14ac:dyDescent="0.25">
      <c r="A175" s="18"/>
      <c r="B175"/>
      <c r="C175"/>
      <c r="D175"/>
      <c r="E175"/>
      <c r="F175"/>
      <c r="G175" s="18"/>
      <c r="H175" s="18"/>
      <c r="I175" s="18"/>
      <c r="J175" s="18"/>
      <c r="K175" s="18"/>
    </row>
    <row r="176" spans="1:28" x14ac:dyDescent="0.25">
      <c r="A176" s="18"/>
      <c r="B176"/>
      <c r="C176"/>
      <c r="D176"/>
      <c r="E176"/>
      <c r="F176"/>
      <c r="G176" s="18"/>
      <c r="H176" s="18"/>
      <c r="I176" s="18"/>
      <c r="J176" s="18"/>
      <c r="K176" s="18"/>
    </row>
    <row r="177" spans="1:11" x14ac:dyDescent="0.25">
      <c r="A177" s="18"/>
      <c r="B177"/>
      <c r="C177"/>
      <c r="D177"/>
      <c r="E177"/>
      <c r="F177"/>
      <c r="G177" s="18"/>
      <c r="H177" s="18"/>
      <c r="I177" s="18"/>
      <c r="J177" s="18"/>
      <c r="K177" s="18"/>
    </row>
    <row r="178" spans="1:11" x14ac:dyDescent="0.25">
      <c r="A178" s="18"/>
      <c r="B178"/>
      <c r="C178"/>
      <c r="D178"/>
      <c r="E178"/>
      <c r="F178"/>
      <c r="G178" s="18"/>
      <c r="H178" s="18"/>
      <c r="I178" s="18"/>
      <c r="J178" s="18"/>
      <c r="K178" s="18"/>
    </row>
    <row r="179" spans="1:11" x14ac:dyDescent="0.25">
      <c r="A179" s="18"/>
      <c r="B179"/>
      <c r="C179"/>
      <c r="D179"/>
      <c r="E179"/>
      <c r="F179"/>
      <c r="G179" s="18"/>
      <c r="H179" s="18"/>
      <c r="I179" s="18"/>
      <c r="J179" s="18"/>
      <c r="K179" s="18"/>
    </row>
    <row r="180" spans="1:11" x14ac:dyDescent="0.25">
      <c r="A180" s="18"/>
      <c r="B180"/>
      <c r="C180"/>
      <c r="D180"/>
      <c r="E180"/>
      <c r="F180"/>
      <c r="G180" s="18"/>
      <c r="H180" s="18"/>
      <c r="I180" s="18"/>
      <c r="J180" s="18"/>
      <c r="K180" s="18"/>
    </row>
    <row r="181" spans="1:11" x14ac:dyDescent="0.25">
      <c r="A181" s="18"/>
      <c r="B181"/>
      <c r="C181"/>
      <c r="D181"/>
      <c r="E181"/>
      <c r="F181"/>
      <c r="G181" s="18"/>
      <c r="H181" s="18"/>
      <c r="I181" s="18"/>
      <c r="J181" s="18"/>
      <c r="K181" s="18"/>
    </row>
    <row r="182" spans="1:11" x14ac:dyDescent="0.25">
      <c r="A182" s="18"/>
      <c r="B182"/>
      <c r="C182"/>
      <c r="D182"/>
      <c r="E182"/>
      <c r="F182"/>
      <c r="G182" s="18"/>
      <c r="H182" s="18"/>
      <c r="I182" s="18"/>
      <c r="J182" s="18"/>
      <c r="K182" s="18"/>
    </row>
    <row r="183" spans="1:11" x14ac:dyDescent="0.25">
      <c r="A183" s="18"/>
      <c r="B183"/>
      <c r="C183"/>
      <c r="D183"/>
      <c r="E183"/>
      <c r="F183"/>
      <c r="G183" s="18"/>
      <c r="H183" s="18"/>
      <c r="I183" s="18"/>
      <c r="J183" s="18"/>
      <c r="K183" s="18"/>
    </row>
    <row r="184" spans="1:11" x14ac:dyDescent="0.25">
      <c r="A184" s="18"/>
      <c r="B184"/>
      <c r="C184"/>
      <c r="D184"/>
      <c r="E184"/>
      <c r="F184"/>
      <c r="G184" s="18"/>
      <c r="H184" s="18"/>
      <c r="I184" s="18"/>
      <c r="J184" s="18"/>
      <c r="K184" s="18"/>
    </row>
    <row r="185" spans="1:11" x14ac:dyDescent="0.25">
      <c r="A185" s="18"/>
      <c r="B185"/>
      <c r="C185"/>
      <c r="D185"/>
      <c r="E185"/>
      <c r="F185"/>
      <c r="G185" s="18"/>
      <c r="H185" s="18"/>
      <c r="I185" s="18"/>
      <c r="J185" s="18"/>
      <c r="K185" s="18"/>
    </row>
    <row r="186" spans="1:11" x14ac:dyDescent="0.25">
      <c r="A186" s="18"/>
      <c r="B186"/>
      <c r="C186"/>
      <c r="D186"/>
      <c r="E186"/>
      <c r="F186"/>
      <c r="G186" s="18"/>
      <c r="H186" s="18"/>
      <c r="I186" s="18"/>
      <c r="J186" s="18"/>
      <c r="K186" s="18"/>
    </row>
    <row r="187" spans="1:11" x14ac:dyDescent="0.25">
      <c r="A187" s="18"/>
      <c r="B187"/>
      <c r="C187"/>
      <c r="D187"/>
      <c r="E187"/>
      <c r="F187"/>
      <c r="G187" s="18"/>
      <c r="H187" s="18"/>
      <c r="I187" s="18"/>
      <c r="J187" s="18"/>
      <c r="K187" s="18"/>
    </row>
    <row r="188" spans="1:11" x14ac:dyDescent="0.25">
      <c r="A188" s="18"/>
      <c r="B188"/>
      <c r="C188"/>
      <c r="D188"/>
      <c r="E188"/>
      <c r="F188"/>
      <c r="G188" s="18"/>
      <c r="H188" s="18"/>
      <c r="I188" s="18"/>
      <c r="J188" s="18"/>
      <c r="K188" s="18"/>
    </row>
    <row r="189" spans="1:11" x14ac:dyDescent="0.25">
      <c r="A189" s="18"/>
      <c r="B189"/>
      <c r="C189"/>
      <c r="D189"/>
      <c r="E189"/>
      <c r="F189"/>
      <c r="G189" s="18"/>
      <c r="H189" s="18"/>
      <c r="I189" s="18"/>
      <c r="J189" s="18"/>
      <c r="K189" s="18"/>
    </row>
    <row r="190" spans="1:11" x14ac:dyDescent="0.25">
      <c r="A190" s="18"/>
      <c r="B190"/>
      <c r="C190"/>
      <c r="D190"/>
      <c r="E190"/>
      <c r="F190"/>
      <c r="G190" s="18"/>
      <c r="H190" s="18"/>
      <c r="I190" s="18"/>
      <c r="J190" s="18"/>
      <c r="K190" s="18"/>
    </row>
    <row r="191" spans="1:11" x14ac:dyDescent="0.25">
      <c r="A191" s="18"/>
      <c r="B191"/>
      <c r="C191"/>
      <c r="D191"/>
      <c r="E191"/>
      <c r="F191"/>
      <c r="G191" s="18"/>
      <c r="H191" s="18"/>
      <c r="I191" s="18"/>
      <c r="J191" s="18"/>
      <c r="K191" s="18"/>
    </row>
    <row r="192" spans="1:11" x14ac:dyDescent="0.25">
      <c r="A192" s="18"/>
      <c r="B192"/>
      <c r="C192"/>
      <c r="D192"/>
      <c r="E192"/>
      <c r="F192"/>
      <c r="G192" s="18"/>
      <c r="H192" s="18"/>
      <c r="I192" s="18"/>
      <c r="J192" s="18"/>
      <c r="K192" s="18"/>
    </row>
    <row r="193" spans="1:11" x14ac:dyDescent="0.25">
      <c r="A193" s="18"/>
      <c r="B193"/>
      <c r="C193"/>
      <c r="D193"/>
      <c r="E193"/>
      <c r="F193"/>
      <c r="G193" s="18"/>
      <c r="H193" s="18"/>
      <c r="I193" s="18"/>
      <c r="J193" s="18"/>
      <c r="K193" s="18"/>
    </row>
    <row r="194" spans="1:11" x14ac:dyDescent="0.25">
      <c r="A194" s="18"/>
      <c r="B194"/>
      <c r="C194"/>
      <c r="D194"/>
      <c r="E194"/>
      <c r="F194"/>
      <c r="G194" s="18"/>
      <c r="H194" s="18"/>
      <c r="I194" s="18"/>
      <c r="J194" s="18"/>
      <c r="K194" s="18"/>
    </row>
    <row r="195" spans="1:11" x14ac:dyDescent="0.25">
      <c r="A195" s="18"/>
      <c r="B195"/>
      <c r="C195"/>
      <c r="D195"/>
      <c r="E195"/>
      <c r="F195"/>
      <c r="G195" s="18"/>
      <c r="H195" s="18"/>
      <c r="I195" s="18"/>
      <c r="J195" s="18"/>
      <c r="K195" s="18"/>
    </row>
    <row r="196" spans="1:11" x14ac:dyDescent="0.25">
      <c r="A196" s="18"/>
      <c r="B196"/>
      <c r="C196"/>
      <c r="D196"/>
      <c r="E196"/>
      <c r="F196"/>
      <c r="G196" s="18"/>
      <c r="H196" s="18"/>
      <c r="I196" s="18"/>
      <c r="J196" s="18"/>
      <c r="K196" s="18"/>
    </row>
    <row r="197" spans="1:11" x14ac:dyDescent="0.25">
      <c r="A197" s="18"/>
      <c r="B197"/>
      <c r="C197"/>
      <c r="D197"/>
      <c r="E197" s="18"/>
      <c r="F197" s="18"/>
      <c r="G197" s="18"/>
      <c r="H197" s="18"/>
      <c r="I197" s="18"/>
      <c r="J197" s="18"/>
      <c r="K197" s="18"/>
    </row>
    <row r="198" spans="1:11" x14ac:dyDescent="0.25">
      <c r="A198" s="18"/>
      <c r="B198"/>
      <c r="C198"/>
      <c r="D198"/>
      <c r="E198" s="18"/>
      <c r="F198" s="18"/>
      <c r="G198" s="18"/>
      <c r="H198" s="18"/>
      <c r="I198" s="18"/>
      <c r="J198" s="18"/>
      <c r="K198" s="18"/>
    </row>
    <row r="199" spans="1:1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</row>
    <row r="200" spans="1:1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</row>
    <row r="201" spans="1:1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</row>
    <row r="202" spans="1:11" x14ac:dyDescent="0.25">
      <c r="A202" s="18"/>
      <c r="B202" s="18"/>
      <c r="C202" s="18"/>
      <c r="D202" s="18"/>
      <c r="E202" s="18"/>
      <c r="F202" s="18"/>
    </row>
    <row r="203" spans="1:11" x14ac:dyDescent="0.25">
      <c r="A203" s="18"/>
      <c r="B203" s="18"/>
      <c r="C203" s="18"/>
      <c r="D203" s="18"/>
      <c r="E203" s="18"/>
      <c r="F203" s="18"/>
    </row>
    <row r="204" spans="1:11" x14ac:dyDescent="0.25">
      <c r="A204" s="18"/>
      <c r="B204" s="18"/>
      <c r="C204" s="18"/>
      <c r="D204" s="18"/>
      <c r="E204" s="18"/>
      <c r="F204" s="18"/>
    </row>
    <row r="205" spans="1:11" x14ac:dyDescent="0.25">
      <c r="B205" s="18"/>
      <c r="C205" s="18"/>
      <c r="D205" s="18"/>
    </row>
    <row r="206" spans="1:11" x14ac:dyDescent="0.25">
      <c r="B206" s="18"/>
      <c r="C206" s="18"/>
      <c r="D206" s="18"/>
    </row>
  </sheetData>
  <conditionalFormatting sqref="C43:D45">
    <cfRule type="cellIs" dxfId="191" priority="4" operator="notEqual">
      <formula>0</formula>
    </cfRule>
  </conditionalFormatting>
  <conditionalFormatting sqref="C53:D56">
    <cfRule type="cellIs" dxfId="190" priority="3" operator="notEqual">
      <formula>0</formula>
    </cfRule>
  </conditionalFormatting>
  <conditionalFormatting sqref="D47">
    <cfRule type="cellIs" dxfId="189" priority="2" operator="notEqual">
      <formula>0</formula>
    </cfRule>
  </conditionalFormatting>
  <conditionalFormatting sqref="C50:D52">
    <cfRule type="cellIs" dxfId="188" priority="1" operator="notEqual">
      <formula>0</formula>
    </cfRule>
  </conditionalFormatting>
  <pageMargins left="0.2" right="0.2" top="0.75" bottom="0.75" header="0.3" footer="0.3"/>
  <pageSetup scale="53" orientation="portrait" horizontalDpi="4294967293" verticalDpi="90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98"/>
  <sheetViews>
    <sheetView zoomScale="80" zoomScaleNormal="80" workbookViewId="0">
      <pane xSplit="2" ySplit="12" topLeftCell="C49" activePane="bottomRight" state="frozen"/>
      <selection sqref="A1:M83"/>
      <selection pane="topRight" sqref="A1:M83"/>
      <selection pane="bottomLeft" sqref="A1:M83"/>
      <selection pane="bottomRight" activeCell="Z38" sqref="Z38"/>
    </sheetView>
  </sheetViews>
  <sheetFormatPr defaultColWidth="9.28515625" defaultRowHeight="12.75" outlineLevelRow="1" outlineLevelCol="1" x14ac:dyDescent="0.2"/>
  <cols>
    <col min="1" max="1" width="4.7109375" style="102" bestFit="1" customWidth="1"/>
    <col min="2" max="2" width="46.42578125" style="102" customWidth="1"/>
    <col min="3" max="3" width="18.42578125" style="102" customWidth="1"/>
    <col min="4" max="4" width="15" style="102" customWidth="1"/>
    <col min="5" max="5" width="17.5703125" style="102" customWidth="1"/>
    <col min="6" max="6" width="15.42578125" style="102" customWidth="1"/>
    <col min="7" max="7" width="16.42578125" style="102" customWidth="1"/>
    <col min="8" max="8" width="15.28515625" style="102" customWidth="1"/>
    <col min="9" max="9" width="16.28515625" style="102" customWidth="1"/>
    <col min="10" max="10" width="16.5703125" style="102" customWidth="1"/>
    <col min="11" max="11" width="16.42578125" style="102" customWidth="1"/>
    <col min="12" max="12" width="15.28515625" style="102" customWidth="1"/>
    <col min="13" max="13" width="17" style="102" customWidth="1"/>
    <col min="14" max="15" width="17" style="102" hidden="1" customWidth="1" outlineLevel="1"/>
    <col min="16" max="16" width="16.28515625" style="102" hidden="1" customWidth="1" outlineLevel="1"/>
    <col min="17" max="17" width="17" style="102" hidden="1" customWidth="1" outlineLevel="1"/>
    <col min="18" max="18" width="9.28515625" style="102" collapsed="1"/>
    <col min="19" max="19" width="14.5703125" style="20" bestFit="1" customWidth="1"/>
    <col min="20" max="20" width="15" style="20" bestFit="1" customWidth="1"/>
    <col min="21" max="21" width="14.28515625" style="20" bestFit="1" customWidth="1"/>
    <col min="22" max="22" width="15.28515625" style="20" bestFit="1" customWidth="1"/>
    <col min="23" max="23" width="14.28515625" style="102" bestFit="1" customWidth="1"/>
    <col min="24" max="24" width="11.5703125" style="102" bestFit="1" customWidth="1"/>
    <col min="25" max="27" width="14.28515625" style="102" bestFit="1" customWidth="1"/>
    <col min="28" max="28" width="13.85546875" style="102" bestFit="1" customWidth="1"/>
    <col min="29" max="29" width="14.28515625" style="102" bestFit="1" customWidth="1"/>
    <col min="30" max="30" width="9.28515625" style="102"/>
    <col min="31" max="31" width="11.5703125" style="102" bestFit="1" customWidth="1"/>
    <col min="32" max="32" width="12.28515625" style="102" bestFit="1" customWidth="1"/>
    <col min="33" max="33" width="11.5703125" style="102" bestFit="1" customWidth="1"/>
    <col min="34" max="34" width="9.7109375" style="102" bestFit="1" customWidth="1"/>
    <col min="35" max="35" width="11.5703125" style="102" bestFit="1" customWidth="1"/>
    <col min="36" max="36" width="9.42578125" style="102" bestFit="1" customWidth="1"/>
    <col min="37" max="39" width="11.5703125" style="102" bestFit="1" customWidth="1"/>
    <col min="40" max="40" width="11.28515625" style="102" bestFit="1" customWidth="1"/>
    <col min="41" max="41" width="11.5703125" style="102" bestFit="1" customWidth="1"/>
    <col min="42" max="16384" width="9.28515625" style="102"/>
  </cols>
  <sheetData>
    <row r="1" spans="1:22" ht="14.25" x14ac:dyDescent="0.2">
      <c r="A1" s="101" t="s">
        <v>48</v>
      </c>
      <c r="L1" s="935"/>
      <c r="M1" s="935"/>
    </row>
    <row r="2" spans="1:22" x14ac:dyDescent="0.2">
      <c r="A2" s="101" t="s">
        <v>861</v>
      </c>
      <c r="L2" s="287"/>
      <c r="M2" s="287"/>
    </row>
    <row r="3" spans="1:22" x14ac:dyDescent="0.2">
      <c r="A3" s="101" t="s">
        <v>50</v>
      </c>
    </row>
    <row r="4" spans="1:22" x14ac:dyDescent="0.2">
      <c r="A4" s="101" t="s">
        <v>51</v>
      </c>
    </row>
    <row r="5" spans="1:22" x14ac:dyDescent="0.2">
      <c r="A5" s="101" t="s">
        <v>52</v>
      </c>
      <c r="K5" s="103"/>
    </row>
    <row r="6" spans="1:22" x14ac:dyDescent="0.2">
      <c r="A6" s="101"/>
      <c r="C6" s="104"/>
      <c r="D6" s="104"/>
      <c r="E6" s="104"/>
      <c r="F6" s="104"/>
      <c r="G6" s="104"/>
      <c r="H6" s="104"/>
      <c r="I6" s="104"/>
      <c r="J6" s="104"/>
      <c r="K6" s="105"/>
      <c r="L6" s="104"/>
      <c r="M6" s="104"/>
      <c r="N6" s="104"/>
      <c r="O6" s="104"/>
      <c r="P6" s="104"/>
      <c r="Q6" s="104"/>
    </row>
    <row r="7" spans="1:22" x14ac:dyDescent="0.2">
      <c r="A7" s="101"/>
      <c r="C7" s="104" t="s">
        <v>53</v>
      </c>
      <c r="D7" s="104" t="s">
        <v>54</v>
      </c>
      <c r="E7" s="104" t="s">
        <v>54</v>
      </c>
      <c r="F7" s="104" t="s">
        <v>55</v>
      </c>
      <c r="G7" s="104" t="s">
        <v>55</v>
      </c>
      <c r="H7" s="104" t="s">
        <v>56</v>
      </c>
      <c r="I7" s="104" t="s">
        <v>56</v>
      </c>
      <c r="J7" s="104" t="s">
        <v>57</v>
      </c>
      <c r="K7" s="104" t="s">
        <v>58</v>
      </c>
      <c r="L7" s="104" t="s">
        <v>59</v>
      </c>
      <c r="M7" s="104" t="s">
        <v>60</v>
      </c>
      <c r="N7" s="104" t="s">
        <v>860</v>
      </c>
      <c r="O7" s="104" t="s">
        <v>859</v>
      </c>
      <c r="P7" s="104" t="s">
        <v>858</v>
      </c>
      <c r="Q7" s="104" t="s">
        <v>857</v>
      </c>
    </row>
    <row r="8" spans="1:22" x14ac:dyDescent="0.2">
      <c r="A8" s="106"/>
      <c r="B8" s="107"/>
      <c r="C8" s="108"/>
      <c r="D8" s="109"/>
      <c r="E8" s="109"/>
      <c r="F8" s="109"/>
      <c r="G8" s="110"/>
      <c r="H8" s="108"/>
      <c r="I8" s="109"/>
      <c r="J8" s="109"/>
      <c r="K8" s="109"/>
      <c r="L8" s="109"/>
      <c r="M8" s="110"/>
      <c r="N8" s="109"/>
      <c r="O8" s="110"/>
      <c r="P8" s="109"/>
      <c r="Q8" s="110"/>
    </row>
    <row r="9" spans="1:22" x14ac:dyDescent="0.2">
      <c r="A9" s="115"/>
      <c r="B9" s="116"/>
      <c r="C9" s="117"/>
      <c r="D9" s="118"/>
      <c r="E9" s="119"/>
      <c r="F9" s="120"/>
      <c r="G9" s="121" t="s">
        <v>61</v>
      </c>
      <c r="H9" s="122"/>
      <c r="I9" s="123" t="s">
        <v>62</v>
      </c>
      <c r="J9" s="122"/>
      <c r="K9" s="123" t="s">
        <v>62</v>
      </c>
      <c r="L9" s="122"/>
      <c r="M9" s="124" t="s">
        <v>62</v>
      </c>
      <c r="N9" s="125">
        <v>2027</v>
      </c>
      <c r="O9" s="123" t="s">
        <v>62</v>
      </c>
      <c r="P9" s="122">
        <v>2028</v>
      </c>
      <c r="Q9" s="123" t="s">
        <v>62</v>
      </c>
      <c r="S9" s="100"/>
      <c r="T9" s="100"/>
      <c r="U9" s="100"/>
      <c r="V9" s="100"/>
    </row>
    <row r="10" spans="1:22" x14ac:dyDescent="0.2">
      <c r="A10" s="130"/>
      <c r="B10" s="131"/>
      <c r="C10" s="132" t="s">
        <v>63</v>
      </c>
      <c r="D10" s="133"/>
      <c r="E10" s="134" t="s">
        <v>64</v>
      </c>
      <c r="F10" s="135" t="s">
        <v>65</v>
      </c>
      <c r="G10" s="136" t="s">
        <v>62</v>
      </c>
      <c r="H10" s="137">
        <v>2024</v>
      </c>
      <c r="I10" s="134" t="s">
        <v>66</v>
      </c>
      <c r="J10" s="137">
        <v>2025</v>
      </c>
      <c r="K10" s="134" t="s">
        <v>66</v>
      </c>
      <c r="L10" s="137">
        <v>2026</v>
      </c>
      <c r="M10" s="138" t="s">
        <v>66</v>
      </c>
      <c r="N10" s="139" t="s">
        <v>11</v>
      </c>
      <c r="O10" s="134" t="s">
        <v>66</v>
      </c>
      <c r="P10" s="137" t="s">
        <v>11</v>
      </c>
      <c r="Q10" s="134" t="s">
        <v>66</v>
      </c>
      <c r="S10" s="100"/>
      <c r="T10" s="100"/>
      <c r="U10" s="100"/>
      <c r="V10" s="100"/>
    </row>
    <row r="11" spans="1:22" x14ac:dyDescent="0.2">
      <c r="A11" s="130"/>
      <c r="B11" s="131"/>
      <c r="C11" s="132" t="s">
        <v>67</v>
      </c>
      <c r="D11" s="135" t="s">
        <v>68</v>
      </c>
      <c r="E11" s="134" t="s">
        <v>69</v>
      </c>
      <c r="F11" s="135" t="s">
        <v>70</v>
      </c>
      <c r="G11" s="136" t="s">
        <v>69</v>
      </c>
      <c r="H11" s="137" t="s">
        <v>71</v>
      </c>
      <c r="I11" s="134" t="s">
        <v>72</v>
      </c>
      <c r="J11" s="137" t="s">
        <v>9</v>
      </c>
      <c r="K11" s="134" t="s">
        <v>73</v>
      </c>
      <c r="L11" s="137" t="s">
        <v>10</v>
      </c>
      <c r="M11" s="138" t="s">
        <v>73</v>
      </c>
      <c r="N11" s="139" t="s">
        <v>183</v>
      </c>
      <c r="O11" s="134" t="s">
        <v>73</v>
      </c>
      <c r="P11" s="137" t="s">
        <v>183</v>
      </c>
      <c r="Q11" s="134" t="s">
        <v>73</v>
      </c>
      <c r="S11" s="100"/>
      <c r="T11" s="100"/>
      <c r="U11" s="100"/>
      <c r="V11" s="100"/>
    </row>
    <row r="12" spans="1:22" x14ac:dyDescent="0.2">
      <c r="A12" s="144" t="s">
        <v>4</v>
      </c>
      <c r="B12" s="145" t="s">
        <v>8</v>
      </c>
      <c r="C12" s="146" t="s">
        <v>74</v>
      </c>
      <c r="D12" s="147" t="s">
        <v>75</v>
      </c>
      <c r="E12" s="148" t="s">
        <v>76</v>
      </c>
      <c r="F12" s="147" t="s">
        <v>75</v>
      </c>
      <c r="G12" s="149" t="s">
        <v>76</v>
      </c>
      <c r="H12" s="150" t="s">
        <v>75</v>
      </c>
      <c r="I12" s="148" t="s">
        <v>9</v>
      </c>
      <c r="J12" s="150" t="s">
        <v>75</v>
      </c>
      <c r="K12" s="148" t="s">
        <v>9</v>
      </c>
      <c r="L12" s="150" t="s">
        <v>75</v>
      </c>
      <c r="M12" s="151" t="s">
        <v>10</v>
      </c>
      <c r="N12" s="152" t="s">
        <v>75</v>
      </c>
      <c r="O12" s="148" t="s">
        <v>11</v>
      </c>
      <c r="P12" s="150" t="s">
        <v>75</v>
      </c>
      <c r="Q12" s="148" t="s">
        <v>11</v>
      </c>
      <c r="S12" s="100"/>
      <c r="T12" s="100"/>
      <c r="U12" s="100"/>
      <c r="V12" s="100"/>
    </row>
    <row r="13" spans="1:22" x14ac:dyDescent="0.2">
      <c r="A13" s="157"/>
      <c r="B13" s="158"/>
      <c r="C13" s="159" t="s">
        <v>783</v>
      </c>
      <c r="D13" s="160" t="s">
        <v>463</v>
      </c>
      <c r="E13" s="161" t="s">
        <v>464</v>
      </c>
      <c r="F13" s="160" t="s">
        <v>160</v>
      </c>
      <c r="G13" s="162" t="s">
        <v>465</v>
      </c>
      <c r="H13" s="163" t="s">
        <v>466</v>
      </c>
      <c r="I13" s="161" t="s">
        <v>467</v>
      </c>
      <c r="J13" s="163" t="s">
        <v>79</v>
      </c>
      <c r="K13" s="161" t="s">
        <v>80</v>
      </c>
      <c r="L13" s="163" t="s">
        <v>77</v>
      </c>
      <c r="M13" s="164" t="s">
        <v>78</v>
      </c>
      <c r="N13" s="1367" t="s">
        <v>789</v>
      </c>
      <c r="O13" s="161" t="s">
        <v>1047</v>
      </c>
      <c r="P13" s="163" t="s">
        <v>77</v>
      </c>
      <c r="Q13" s="161" t="e">
        <v>#REF!</v>
      </c>
      <c r="S13" s="937"/>
      <c r="T13" s="937"/>
      <c r="U13" s="937"/>
      <c r="V13" s="937"/>
    </row>
    <row r="14" spans="1:22" x14ac:dyDescent="0.2">
      <c r="A14" s="165">
        <f>ROW()</f>
        <v>14</v>
      </c>
      <c r="B14" s="116" t="s">
        <v>81</v>
      </c>
      <c r="C14" s="166"/>
      <c r="D14" s="167"/>
      <c r="E14" s="168"/>
      <c r="F14" s="167"/>
      <c r="G14" s="169"/>
      <c r="H14" s="170"/>
      <c r="I14" s="168"/>
      <c r="J14" s="170"/>
      <c r="K14" s="168"/>
      <c r="L14" s="170"/>
      <c r="M14" s="171"/>
      <c r="N14" s="172"/>
      <c r="O14" s="168"/>
      <c r="P14" s="170"/>
      <c r="Q14" s="168"/>
    </row>
    <row r="15" spans="1:22" x14ac:dyDescent="0.2">
      <c r="A15" s="165">
        <f>ROW()</f>
        <v>15</v>
      </c>
      <c r="B15" s="116" t="s">
        <v>82</v>
      </c>
      <c r="C15" s="173">
        <f>'SEF-34 pg 2-36'!D16</f>
        <v>1320264855.1100001</v>
      </c>
      <c r="D15" s="176">
        <f>'SEF-34 pg 2-36'!BA16</f>
        <v>-685488935.07224321</v>
      </c>
      <c r="E15" s="178">
        <f>SUM(C15:D15)</f>
        <v>634775920.03775692</v>
      </c>
      <c r="F15" s="176">
        <f>'SEF-34 pg 2-36'!BA77</f>
        <v>-80989743.146737456</v>
      </c>
      <c r="G15" s="1366">
        <f>SUM(E15:F15)</f>
        <v>553786176.89101946</v>
      </c>
      <c r="H15" s="179">
        <f>'SEF-34 pg 2-36'!BA138</f>
        <v>-10379439.36891593</v>
      </c>
      <c r="I15" s="178">
        <f>SUM(G15:H15)</f>
        <v>543406737.52210355</v>
      </c>
      <c r="J15" s="179">
        <f>+'SEF-34 pg 2-36'!BA199</f>
        <v>-8527588.8853307366</v>
      </c>
      <c r="K15" s="178">
        <f>SUM(I15:J15)</f>
        <v>534879148.63677281</v>
      </c>
      <c r="L15" s="179">
        <f>+'SEF-34 pg 2-36'!BA260</f>
        <v>-2749024.8067777134</v>
      </c>
      <c r="M15" s="180">
        <f>SUM(K15:L15)</f>
        <v>532130123.8299951</v>
      </c>
      <c r="N15" s="1365">
        <f>+'SEF-34 pg 2-36'!BA321</f>
        <v>0</v>
      </c>
      <c r="O15" s="178"/>
      <c r="P15" s="179">
        <f>+'SEF-34 pg 2-36'!BA382</f>
        <v>0</v>
      </c>
      <c r="Q15" s="178">
        <f>SUM(O15:P15)</f>
        <v>0</v>
      </c>
      <c r="S15" s="573"/>
      <c r="T15" s="573"/>
      <c r="U15" s="573"/>
      <c r="V15" s="573"/>
    </row>
    <row r="16" spans="1:22" x14ac:dyDescent="0.2">
      <c r="A16" s="165">
        <f>ROW()</f>
        <v>16</v>
      </c>
      <c r="B16" s="116" t="s">
        <v>83</v>
      </c>
      <c r="C16" s="181">
        <f>'SEF-34 pg 2-36'!D17</f>
        <v>0</v>
      </c>
      <c r="D16" s="182">
        <f>'SEF-34 pg 2-36'!BA17</f>
        <v>0</v>
      </c>
      <c r="E16" s="183">
        <f>SUM(C16:D16)</f>
        <v>0</v>
      </c>
      <c r="F16" s="182">
        <f>'SEF-34 pg 2-36'!BA78</f>
        <v>0</v>
      </c>
      <c r="G16" s="184">
        <f>SUM(E16:F16)</f>
        <v>0</v>
      </c>
      <c r="H16" s="185">
        <f>'SEF-34 pg 2-36'!BA139</f>
        <v>0</v>
      </c>
      <c r="I16" s="183">
        <f>SUM(G16:H16)</f>
        <v>0</v>
      </c>
      <c r="J16" s="185">
        <f>+'SEF-34 pg 2-36'!BA200</f>
        <v>0</v>
      </c>
      <c r="K16" s="183">
        <f>SUM(I16:J16)</f>
        <v>0</v>
      </c>
      <c r="L16" s="185">
        <f>+'SEF-34 pg 2-36'!BA261</f>
        <v>0</v>
      </c>
      <c r="M16" s="186">
        <f>SUM(K16:L16)</f>
        <v>0</v>
      </c>
      <c r="N16" s="1360"/>
      <c r="O16" s="183"/>
      <c r="P16" s="185"/>
      <c r="Q16" s="183">
        <f>SUM(O16:P16)</f>
        <v>0</v>
      </c>
      <c r="S16" s="42"/>
      <c r="T16" s="42"/>
      <c r="U16" s="42"/>
      <c r="V16" s="42"/>
    </row>
    <row r="17" spans="1:23" x14ac:dyDescent="0.2">
      <c r="A17" s="165">
        <f>ROW()</f>
        <v>17</v>
      </c>
      <c r="B17" s="116" t="s">
        <v>84</v>
      </c>
      <c r="C17" s="181">
        <f>'SEF-34 pg 2-36'!D18</f>
        <v>0</v>
      </c>
      <c r="D17" s="182">
        <f>'SEF-34 pg 2-36'!BA18</f>
        <v>0</v>
      </c>
      <c r="E17" s="183">
        <f>SUM(C17:D17)</f>
        <v>0</v>
      </c>
      <c r="F17" s="182">
        <f>'SEF-34 pg 2-36'!BA79</f>
        <v>0</v>
      </c>
      <c r="G17" s="184">
        <f>SUM(E17:F17)</f>
        <v>0</v>
      </c>
      <c r="H17" s="185">
        <f>'SEF-34 pg 2-36'!BA140</f>
        <v>0</v>
      </c>
      <c r="I17" s="183">
        <f>SUM(G17:H17)</f>
        <v>0</v>
      </c>
      <c r="J17" s="185">
        <f>+'SEF-34 pg 2-36'!BA201</f>
        <v>0</v>
      </c>
      <c r="K17" s="183">
        <f>SUM(I17:J17)</f>
        <v>0</v>
      </c>
      <c r="L17" s="185">
        <f>+'SEF-34 pg 2-36'!BA262</f>
        <v>0</v>
      </c>
      <c r="M17" s="186">
        <f>SUM(K17:L17)</f>
        <v>0</v>
      </c>
      <c r="N17" s="1360"/>
      <c r="O17" s="183"/>
      <c r="P17" s="185"/>
      <c r="Q17" s="183">
        <f>SUM(O17:P17)</f>
        <v>0</v>
      </c>
      <c r="S17" s="42"/>
      <c r="T17" s="42"/>
      <c r="U17" s="42"/>
      <c r="V17" s="42"/>
    </row>
    <row r="18" spans="1:23" x14ac:dyDescent="0.2">
      <c r="A18" s="165">
        <f>ROW()</f>
        <v>18</v>
      </c>
      <c r="B18" s="116" t="s">
        <v>85</v>
      </c>
      <c r="C18" s="181">
        <f>'SEF-34 pg 2-36'!D19</f>
        <v>14367467.789999999</v>
      </c>
      <c r="D18" s="182">
        <f>'SEF-34 pg 2-36'!BA19</f>
        <v>7325702.21</v>
      </c>
      <c r="E18" s="183">
        <f>SUM(C18:D18)</f>
        <v>21693170</v>
      </c>
      <c r="F18" s="182">
        <f>'SEF-34 pg 2-36'!BA80</f>
        <v>-22254837.03829759</v>
      </c>
      <c r="G18" s="184">
        <f>SUM(E18:F18)</f>
        <v>-561667.03829758987</v>
      </c>
      <c r="H18" s="185">
        <f>'SEF-34 pg 2-36'!BA141</f>
        <v>-43122.744148794794</v>
      </c>
      <c r="I18" s="183">
        <f>SUM(G18:H18)</f>
        <v>-604789.78244638466</v>
      </c>
      <c r="J18" s="185">
        <f>+'SEF-34 pg 2-36'!BA202</f>
        <v>0</v>
      </c>
      <c r="K18" s="183">
        <f>SUM(I18:J18)</f>
        <v>-604789.78244638466</v>
      </c>
      <c r="L18" s="185">
        <f>+'SEF-34 pg 2-36'!BA263</f>
        <v>2630462.4217455317</v>
      </c>
      <c r="M18" s="186">
        <f>SUM(K18:L18)</f>
        <v>2025672.6392991471</v>
      </c>
      <c r="N18" s="1360"/>
      <c r="O18" s="183"/>
      <c r="P18" s="185"/>
      <c r="Q18" s="183">
        <f>SUM(O18:P18)</f>
        <v>0</v>
      </c>
      <c r="S18" s="42"/>
      <c r="T18" s="42"/>
      <c r="U18" s="42"/>
      <c r="V18" s="42"/>
    </row>
    <row r="19" spans="1:23" x14ac:dyDescent="0.2">
      <c r="A19" s="165">
        <f>ROW()</f>
        <v>19</v>
      </c>
      <c r="B19" s="190" t="s">
        <v>86</v>
      </c>
      <c r="C19" s="191">
        <f t="shared" ref="C19:Q19" si="0">SUM(C15:C18)</f>
        <v>1334632322.9000001</v>
      </c>
      <c r="D19" s="194">
        <f t="shared" si="0"/>
        <v>-678163232.86224318</v>
      </c>
      <c r="E19" s="196">
        <f t="shared" si="0"/>
        <v>656469090.03775692</v>
      </c>
      <c r="F19" s="194">
        <f t="shared" si="0"/>
        <v>-103244580.18503505</v>
      </c>
      <c r="G19" s="1364">
        <f t="shared" si="0"/>
        <v>553224509.85272193</v>
      </c>
      <c r="H19" s="1361">
        <f t="shared" si="0"/>
        <v>-10422562.113064725</v>
      </c>
      <c r="I19" s="196">
        <f t="shared" si="0"/>
        <v>542801947.73965716</v>
      </c>
      <c r="J19" s="1361">
        <f t="shared" si="0"/>
        <v>-8527588.8853307366</v>
      </c>
      <c r="K19" s="196">
        <f t="shared" si="0"/>
        <v>534274358.85432643</v>
      </c>
      <c r="L19" s="1361">
        <f t="shared" si="0"/>
        <v>-118562.38503218163</v>
      </c>
      <c r="M19" s="1363">
        <f t="shared" si="0"/>
        <v>534155796.46929425</v>
      </c>
      <c r="N19" s="1362">
        <f t="shared" si="0"/>
        <v>0</v>
      </c>
      <c r="O19" s="196">
        <f t="shared" si="0"/>
        <v>0</v>
      </c>
      <c r="P19" s="1361">
        <f t="shared" si="0"/>
        <v>0</v>
      </c>
      <c r="Q19" s="196">
        <f t="shared" si="0"/>
        <v>0</v>
      </c>
      <c r="S19" s="21"/>
      <c r="T19" s="21"/>
      <c r="U19" s="21"/>
      <c r="V19" s="21"/>
    </row>
    <row r="20" spans="1:23" x14ac:dyDescent="0.2">
      <c r="A20" s="165">
        <f>ROW()</f>
        <v>20</v>
      </c>
      <c r="B20" s="190"/>
      <c r="C20" s="166"/>
      <c r="D20" s="167"/>
      <c r="E20" s="168"/>
      <c r="F20" s="167"/>
      <c r="G20" s="169"/>
      <c r="H20" s="170"/>
      <c r="I20" s="168"/>
      <c r="J20" s="170"/>
      <c r="K20" s="168"/>
      <c r="L20" s="170"/>
      <c r="M20" s="171"/>
      <c r="N20" s="172"/>
      <c r="O20" s="168"/>
      <c r="P20" s="170"/>
      <c r="Q20" s="168"/>
    </row>
    <row r="21" spans="1:23" x14ac:dyDescent="0.2">
      <c r="A21" s="165">
        <f>ROW()</f>
        <v>21</v>
      </c>
      <c r="B21" s="190" t="s">
        <v>87</v>
      </c>
      <c r="C21" s="166"/>
      <c r="D21" s="167"/>
      <c r="E21" s="168"/>
      <c r="F21" s="167"/>
      <c r="G21" s="169"/>
      <c r="H21" s="170"/>
      <c r="I21" s="168"/>
      <c r="J21" s="170"/>
      <c r="K21" s="168"/>
      <c r="L21" s="170"/>
      <c r="M21" s="171"/>
      <c r="N21" s="172"/>
      <c r="O21" s="168"/>
      <c r="P21" s="170"/>
      <c r="Q21" s="168"/>
    </row>
    <row r="22" spans="1:23" x14ac:dyDescent="0.2">
      <c r="A22" s="165">
        <f>ROW()</f>
        <v>22</v>
      </c>
      <c r="B22" s="190"/>
      <c r="C22" s="166"/>
      <c r="D22" s="167"/>
      <c r="E22" s="168"/>
      <c r="F22" s="167"/>
      <c r="G22" s="169"/>
      <c r="H22" s="170"/>
      <c r="I22" s="168"/>
      <c r="J22" s="170"/>
      <c r="K22" s="168"/>
      <c r="L22" s="170"/>
      <c r="M22" s="171"/>
      <c r="N22" s="172"/>
      <c r="O22" s="168"/>
      <c r="P22" s="170"/>
      <c r="Q22" s="168"/>
    </row>
    <row r="23" spans="1:23" x14ac:dyDescent="0.2">
      <c r="A23" s="165">
        <f>ROW()</f>
        <v>23</v>
      </c>
      <c r="B23" s="190" t="s">
        <v>88</v>
      </c>
      <c r="C23" s="166"/>
      <c r="D23" s="167"/>
      <c r="E23" s="168"/>
      <c r="F23" s="167"/>
      <c r="G23" s="169"/>
      <c r="H23" s="170"/>
      <c r="I23" s="168"/>
      <c r="J23" s="170"/>
      <c r="K23" s="168"/>
      <c r="L23" s="170"/>
      <c r="M23" s="171"/>
      <c r="N23" s="172"/>
      <c r="O23" s="168"/>
      <c r="P23" s="170"/>
      <c r="Q23" s="168"/>
    </row>
    <row r="24" spans="1:23" x14ac:dyDescent="0.2">
      <c r="A24" s="165">
        <f>ROW()</f>
        <v>24</v>
      </c>
      <c r="B24" s="190" t="s">
        <v>89</v>
      </c>
      <c r="C24" s="181">
        <f>'SEF-34 pg 2-36'!D25</f>
        <v>0</v>
      </c>
      <c r="D24" s="182">
        <f>'SEF-34 pg 2-36'!BA25</f>
        <v>0</v>
      </c>
      <c r="E24" s="183">
        <f>SUM(C24:D24)</f>
        <v>0</v>
      </c>
      <c r="F24" s="182">
        <f>'SEF-34 pg 2-36'!BA86</f>
        <v>0</v>
      </c>
      <c r="G24" s="184">
        <f>SUM(E24:F24)</f>
        <v>0</v>
      </c>
      <c r="H24" s="185">
        <f>'SEF-34 pg 2-36'!BA147</f>
        <v>0</v>
      </c>
      <c r="I24" s="183">
        <f>SUM(G24:H24)</f>
        <v>0</v>
      </c>
      <c r="J24" s="185">
        <f>+'SEF-34 pg 2-36'!BA208</f>
        <v>0</v>
      </c>
      <c r="K24" s="183">
        <f>SUM(I24:J24)</f>
        <v>0</v>
      </c>
      <c r="L24" s="185">
        <f>+'SEF-34 pg 2-36'!BA269</f>
        <v>0</v>
      </c>
      <c r="M24" s="186">
        <f>SUM(K24:L24)</f>
        <v>0</v>
      </c>
      <c r="N24" s="1360">
        <f>+'SEF-34 pg 2-36'!BA330</f>
        <v>0</v>
      </c>
      <c r="O24" s="183"/>
      <c r="P24" s="185">
        <f>+'SEF-34 pg 2-36'!BA391</f>
        <v>0</v>
      </c>
      <c r="Q24" s="183">
        <f>SUM(O24:P24)</f>
        <v>0</v>
      </c>
      <c r="S24" s="42"/>
      <c r="T24" s="42"/>
      <c r="U24" s="42"/>
      <c r="V24" s="42"/>
    </row>
    <row r="25" spans="1:23" x14ac:dyDescent="0.2">
      <c r="A25" s="165">
        <f>ROW()</f>
        <v>25</v>
      </c>
      <c r="B25" s="190" t="s">
        <v>90</v>
      </c>
      <c r="C25" s="181">
        <f>'SEF-34 pg 2-36'!D26</f>
        <v>710474541.38000011</v>
      </c>
      <c r="D25" s="182">
        <f>'SEF-34 pg 2-36'!BA26</f>
        <v>-710474541.38</v>
      </c>
      <c r="E25" s="183">
        <f>SUM(C25:D25)</f>
        <v>0</v>
      </c>
      <c r="F25" s="182">
        <f>'SEF-34 pg 2-36'!BA87</f>
        <v>0</v>
      </c>
      <c r="G25" s="184">
        <f>SUM(E25:F25)</f>
        <v>0</v>
      </c>
      <c r="H25" s="185">
        <f>'SEF-34 pg 2-36'!BA148</f>
        <v>0</v>
      </c>
      <c r="I25" s="183">
        <f>SUM(G25:H25)</f>
        <v>0</v>
      </c>
      <c r="J25" s="185">
        <f>+'SEF-34 pg 2-36'!BA209</f>
        <v>0</v>
      </c>
      <c r="K25" s="183">
        <f>SUM(I25:J25)</f>
        <v>0</v>
      </c>
      <c r="L25" s="185">
        <f>+'SEF-34 pg 2-36'!BA270</f>
        <v>0</v>
      </c>
      <c r="M25" s="186">
        <f>SUM(K25:L25)</f>
        <v>0</v>
      </c>
      <c r="N25" s="1360">
        <f>+'SEF-34 pg 2-36'!BA331</f>
        <v>0</v>
      </c>
      <c r="O25" s="183"/>
      <c r="P25" s="185">
        <f>+'SEF-34 pg 2-36'!BA392</f>
        <v>0</v>
      </c>
      <c r="Q25" s="183">
        <f>SUM(O25:P25)</f>
        <v>0</v>
      </c>
      <c r="S25" s="42"/>
      <c r="T25" s="42"/>
      <c r="U25" s="42"/>
      <c r="V25" s="42"/>
    </row>
    <row r="26" spans="1:23" x14ac:dyDescent="0.2">
      <c r="A26" s="165">
        <f>ROW()</f>
        <v>26</v>
      </c>
      <c r="B26" s="190" t="s">
        <v>91</v>
      </c>
      <c r="C26" s="181">
        <f>'SEF-34 pg 2-36'!D27</f>
        <v>0</v>
      </c>
      <c r="D26" s="182">
        <f>'SEF-34 pg 2-36'!BA27</f>
        <v>0</v>
      </c>
      <c r="E26" s="183">
        <f>SUM(C26:D26)</f>
        <v>0</v>
      </c>
      <c r="F26" s="182">
        <f>'SEF-34 pg 2-36'!BA88</f>
        <v>0</v>
      </c>
      <c r="G26" s="184">
        <f>SUM(E26:F26)</f>
        <v>0</v>
      </c>
      <c r="H26" s="185">
        <f>'SEF-34 pg 2-36'!BA149</f>
        <v>0</v>
      </c>
      <c r="I26" s="183">
        <f>SUM(G26:H26)</f>
        <v>0</v>
      </c>
      <c r="J26" s="185">
        <f>+'SEF-34 pg 2-36'!BA210</f>
        <v>0</v>
      </c>
      <c r="K26" s="183">
        <f>SUM(I26:J26)</f>
        <v>0</v>
      </c>
      <c r="L26" s="185">
        <f>+'SEF-34 pg 2-36'!BA271</f>
        <v>0</v>
      </c>
      <c r="M26" s="186">
        <f>SUM(K26:L26)</f>
        <v>0</v>
      </c>
      <c r="N26" s="1360">
        <f>+'SEF-34 pg 2-36'!BA332</f>
        <v>0</v>
      </c>
      <c r="O26" s="183"/>
      <c r="P26" s="185">
        <f>+'SEF-34 pg 2-36'!BA393</f>
        <v>0</v>
      </c>
      <c r="Q26" s="183">
        <f>SUM(O26:P26)</f>
        <v>0</v>
      </c>
      <c r="S26" s="42"/>
      <c r="T26" s="42"/>
      <c r="U26" s="42"/>
      <c r="V26" s="42"/>
    </row>
    <row r="27" spans="1:23" x14ac:dyDescent="0.2">
      <c r="A27" s="165">
        <f>ROW()</f>
        <v>27</v>
      </c>
      <c r="B27" s="190" t="s">
        <v>92</v>
      </c>
      <c r="C27" s="181">
        <f>'SEF-34 pg 2-36'!D28</f>
        <v>0</v>
      </c>
      <c r="D27" s="182">
        <f>'SEF-34 pg 2-36'!BA28</f>
        <v>0</v>
      </c>
      <c r="E27" s="183">
        <f>SUM(C27:D27)</f>
        <v>0</v>
      </c>
      <c r="F27" s="182">
        <f>'SEF-34 pg 2-36'!BA89</f>
        <v>0</v>
      </c>
      <c r="G27" s="184">
        <f>SUM(E27:F27)</f>
        <v>0</v>
      </c>
      <c r="H27" s="185">
        <f>'SEF-34 pg 2-36'!BA150</f>
        <v>0</v>
      </c>
      <c r="I27" s="183">
        <f>SUM(G27:H27)</f>
        <v>0</v>
      </c>
      <c r="J27" s="185">
        <f>+'SEF-34 pg 2-36'!BA211</f>
        <v>0</v>
      </c>
      <c r="K27" s="183">
        <f>SUM(I27:J27)</f>
        <v>0</v>
      </c>
      <c r="L27" s="185">
        <f>+'SEF-34 pg 2-36'!BA272</f>
        <v>0</v>
      </c>
      <c r="M27" s="186">
        <f>SUM(K27:L27)</f>
        <v>0</v>
      </c>
      <c r="N27" s="1360">
        <f>+'SEF-34 pg 2-36'!BA333</f>
        <v>0</v>
      </c>
      <c r="O27" s="183">
        <f>SUM(M27:N27)</f>
        <v>0</v>
      </c>
      <c r="P27" s="185">
        <f>+'SEF-34 pg 2-36'!BA394</f>
        <v>0</v>
      </c>
      <c r="Q27" s="183">
        <f>SUM(O27:P27)</f>
        <v>0</v>
      </c>
      <c r="S27" s="42"/>
      <c r="T27" s="42"/>
      <c r="U27" s="42"/>
      <c r="V27" s="42"/>
    </row>
    <row r="28" spans="1:23" x14ac:dyDescent="0.2">
      <c r="A28" s="165">
        <f>ROW()</f>
        <v>28</v>
      </c>
      <c r="B28" s="190" t="s">
        <v>93</v>
      </c>
      <c r="C28" s="198">
        <f t="shared" ref="C28:Q28" si="1">SUM(C24:C27)</f>
        <v>710474541.38000011</v>
      </c>
      <c r="D28" s="199">
        <f t="shared" si="1"/>
        <v>-710474541.38</v>
      </c>
      <c r="E28" s="200">
        <f t="shared" si="1"/>
        <v>0</v>
      </c>
      <c r="F28" s="199">
        <f t="shared" si="1"/>
        <v>0</v>
      </c>
      <c r="G28" s="201">
        <f t="shared" si="1"/>
        <v>0</v>
      </c>
      <c r="H28" s="202">
        <f t="shared" si="1"/>
        <v>0</v>
      </c>
      <c r="I28" s="203">
        <f t="shared" si="1"/>
        <v>0</v>
      </c>
      <c r="J28" s="202">
        <f t="shared" si="1"/>
        <v>0</v>
      </c>
      <c r="K28" s="203">
        <f t="shared" si="1"/>
        <v>0</v>
      </c>
      <c r="L28" s="202">
        <f t="shared" si="1"/>
        <v>0</v>
      </c>
      <c r="M28" s="1359">
        <f t="shared" si="1"/>
        <v>0</v>
      </c>
      <c r="N28" s="1358">
        <f t="shared" si="1"/>
        <v>0</v>
      </c>
      <c r="O28" s="203">
        <f t="shared" si="1"/>
        <v>0</v>
      </c>
      <c r="P28" s="202">
        <f t="shared" si="1"/>
        <v>0</v>
      </c>
      <c r="Q28" s="203">
        <f t="shared" si="1"/>
        <v>0</v>
      </c>
      <c r="S28" s="700"/>
      <c r="T28" s="700"/>
      <c r="U28" s="700"/>
      <c r="V28" s="700"/>
    </row>
    <row r="29" spans="1:23" x14ac:dyDescent="0.2">
      <c r="A29" s="165">
        <f>ROW()</f>
        <v>29</v>
      </c>
      <c r="B29" s="190"/>
      <c r="C29" s="181"/>
      <c r="D29" s="207"/>
      <c r="E29" s="208"/>
      <c r="F29" s="207"/>
      <c r="G29" s="209"/>
      <c r="H29" s="210"/>
      <c r="I29" s="211"/>
      <c r="J29" s="210"/>
      <c r="K29" s="211"/>
      <c r="L29" s="210"/>
      <c r="M29" s="212"/>
      <c r="N29" s="1356"/>
      <c r="O29" s="211"/>
      <c r="P29" s="210"/>
      <c r="Q29" s="211"/>
      <c r="S29" s="700"/>
      <c r="T29" s="700"/>
      <c r="U29" s="700"/>
      <c r="V29" s="700"/>
    </row>
    <row r="30" spans="1:23" x14ac:dyDescent="0.2">
      <c r="A30" s="165">
        <f>ROW()</f>
        <v>30</v>
      </c>
      <c r="B30" s="190" t="s">
        <v>94</v>
      </c>
      <c r="C30" s="181">
        <f>'SEF-34 pg 2-36'!D31</f>
        <v>7668314.0300000003</v>
      </c>
      <c r="D30" s="207">
        <f>'SEF-34 pg 2-36'!BA31</f>
        <v>183050.38971960088</v>
      </c>
      <c r="E30" s="208">
        <f t="shared" ref="E30:E43" si="2">SUM(C30:D30)</f>
        <v>7851364.4197196011</v>
      </c>
      <c r="F30" s="207">
        <f>'SEF-34 pg 2-36'!BA92</f>
        <v>17167.652464941577</v>
      </c>
      <c r="G30" s="209">
        <f t="shared" ref="G30:G43" si="3">SUM(E30:F30)</f>
        <v>7868532.0721845422</v>
      </c>
      <c r="H30" s="210">
        <f>'SEF-34 pg 2-36'!BA153</f>
        <v>7528.1196549577071</v>
      </c>
      <c r="I30" s="211">
        <f t="shared" ref="I30:I43" si="4">SUM(G30:H30)</f>
        <v>7876060.1918395003</v>
      </c>
      <c r="J30" s="210">
        <f>+'SEF-34 pg 2-36'!BA214</f>
        <v>360750.28219837951</v>
      </c>
      <c r="K30" s="211">
        <f t="shared" ref="K30:K43" si="5">SUM(I30:J30)</f>
        <v>8236810.4740378801</v>
      </c>
      <c r="L30" s="210">
        <f>+'SEF-34 pg 2-36'!BA275</f>
        <v>721098.30593409913</v>
      </c>
      <c r="M30" s="212">
        <f t="shared" ref="M30:M43" si="6">SUM(K30:L30)</f>
        <v>8957908.7799719796</v>
      </c>
      <c r="N30" s="1356">
        <f>+'SEF-34 pg 2-36'!BA336</f>
        <v>0</v>
      </c>
      <c r="O30" s="211"/>
      <c r="P30" s="210"/>
      <c r="Q30" s="211">
        <f t="shared" ref="Q30:Q43" si="7">SUM(O30:P30)</f>
        <v>0</v>
      </c>
      <c r="S30" s="700"/>
      <c r="T30" s="700"/>
      <c r="U30" s="700"/>
      <c r="V30" s="700"/>
      <c r="W30" s="1357"/>
    </row>
    <row r="31" spans="1:23" x14ac:dyDescent="0.2">
      <c r="A31" s="165">
        <f>ROW()</f>
        <v>31</v>
      </c>
      <c r="B31" s="190" t="s">
        <v>95</v>
      </c>
      <c r="C31" s="181">
        <f>'SEF-34 pg 2-36'!D32</f>
        <v>0</v>
      </c>
      <c r="D31" s="207">
        <f>'SEF-34 pg 2-36'!BA32</f>
        <v>0</v>
      </c>
      <c r="E31" s="208">
        <f t="shared" si="2"/>
        <v>0</v>
      </c>
      <c r="F31" s="207">
        <f>'SEF-34 pg 2-36'!BA93</f>
        <v>0</v>
      </c>
      <c r="G31" s="209">
        <f t="shared" si="3"/>
        <v>0</v>
      </c>
      <c r="H31" s="210">
        <f>'SEF-34 pg 2-36'!BA154</f>
        <v>0</v>
      </c>
      <c r="I31" s="211">
        <f t="shared" si="4"/>
        <v>0</v>
      </c>
      <c r="J31" s="210">
        <f>+'SEF-34 pg 2-36'!BA215</f>
        <v>0</v>
      </c>
      <c r="K31" s="211">
        <f t="shared" si="5"/>
        <v>0</v>
      </c>
      <c r="L31" s="210">
        <f>+'SEF-34 pg 2-36'!BA276</f>
        <v>0</v>
      </c>
      <c r="M31" s="212">
        <f t="shared" si="6"/>
        <v>0</v>
      </c>
      <c r="N31" s="1356">
        <f>+'SEF-34 pg 2-36'!BA337</f>
        <v>0</v>
      </c>
      <c r="O31" s="211"/>
      <c r="P31" s="210"/>
      <c r="Q31" s="211">
        <f t="shared" si="7"/>
        <v>0</v>
      </c>
      <c r="S31" s="700"/>
      <c r="T31" s="700"/>
      <c r="U31" s="700"/>
      <c r="V31" s="700"/>
      <c r="W31" s="1357"/>
    </row>
    <row r="32" spans="1:23" x14ac:dyDescent="0.2">
      <c r="A32" s="165">
        <f>ROW()</f>
        <v>32</v>
      </c>
      <c r="B32" s="190" t="s">
        <v>96</v>
      </c>
      <c r="C32" s="181">
        <f>'SEF-34 pg 2-36'!D33</f>
        <v>64058520.619999997</v>
      </c>
      <c r="D32" s="207">
        <f>'SEF-34 pg 2-36'!BA33</f>
        <v>285408.30550475046</v>
      </c>
      <c r="E32" s="208">
        <f t="shared" si="2"/>
        <v>64343928.925504744</v>
      </c>
      <c r="F32" s="207">
        <f>'SEF-34 pg 2-36'!BA94</f>
        <v>102514.21329824883</v>
      </c>
      <c r="G32" s="209">
        <f t="shared" si="3"/>
        <v>64446443.13880299</v>
      </c>
      <c r="H32" s="210">
        <f>'SEF-34 pg 2-36'!BA155</f>
        <v>44973.15213659755</v>
      </c>
      <c r="I32" s="211">
        <f t="shared" si="4"/>
        <v>64491416.290939584</v>
      </c>
      <c r="J32" s="210">
        <f>+'SEF-34 pg 2-36'!BA216</f>
        <v>26422711.833657205</v>
      </c>
      <c r="K32" s="211">
        <f t="shared" si="5"/>
        <v>90914128.124596789</v>
      </c>
      <c r="L32" s="210">
        <f>+'SEF-34 pg 2-36'!BA277</f>
        <v>-833816.76114847767</v>
      </c>
      <c r="M32" s="212">
        <f t="shared" si="6"/>
        <v>90080311.363448307</v>
      </c>
      <c r="N32" s="1356">
        <f>+'SEF-34 pg 2-36'!BA338</f>
        <v>0</v>
      </c>
      <c r="O32" s="211"/>
      <c r="P32" s="210"/>
      <c r="Q32" s="211">
        <f t="shared" si="7"/>
        <v>0</v>
      </c>
      <c r="S32" s="700"/>
      <c r="T32" s="700"/>
      <c r="U32" s="700"/>
      <c r="V32" s="700"/>
      <c r="W32" s="1357"/>
    </row>
    <row r="33" spans="1:23" x14ac:dyDescent="0.2">
      <c r="A33" s="165">
        <f>ROW()</f>
        <v>33</v>
      </c>
      <c r="B33" s="190" t="s">
        <v>97</v>
      </c>
      <c r="C33" s="181">
        <f>'SEF-34 pg 2-36'!D34</f>
        <v>25951482.239999998</v>
      </c>
      <c r="D33" s="207">
        <f>'SEF-34 pg 2-36'!BA34</f>
        <v>-2188995.0120126451</v>
      </c>
      <c r="E33" s="208">
        <f t="shared" si="2"/>
        <v>23762487.227987353</v>
      </c>
      <c r="F33" s="207">
        <f>'SEF-34 pg 2-36'!BA95</f>
        <v>-271692.99036815774</v>
      </c>
      <c r="G33" s="209">
        <f t="shared" si="3"/>
        <v>23490794.237619195</v>
      </c>
      <c r="H33" s="210">
        <f>'SEF-34 pg 2-36'!BA156</f>
        <v>-19955.337272046479</v>
      </c>
      <c r="I33" s="211">
        <f t="shared" si="4"/>
        <v>23470838.900347147</v>
      </c>
      <c r="J33" s="210">
        <f>+'SEF-34 pg 2-36'!BA217</f>
        <v>-7189592.2555640647</v>
      </c>
      <c r="K33" s="211">
        <f t="shared" si="5"/>
        <v>16281246.644783083</v>
      </c>
      <c r="L33" s="210">
        <f>+'SEF-34 pg 2-36'!BA278</f>
        <v>-1391353.8194776482</v>
      </c>
      <c r="M33" s="212">
        <f t="shared" si="6"/>
        <v>14889892.825305436</v>
      </c>
      <c r="N33" s="1356">
        <f>+'SEF-34 pg 2-36'!BA339</f>
        <v>0</v>
      </c>
      <c r="O33" s="211"/>
      <c r="P33" s="210"/>
      <c r="Q33" s="211">
        <f t="shared" si="7"/>
        <v>0</v>
      </c>
      <c r="S33" s="700"/>
      <c r="T33" s="700"/>
      <c r="U33" s="700"/>
      <c r="V33" s="700"/>
      <c r="W33" s="1357"/>
    </row>
    <row r="34" spans="1:23" x14ac:dyDescent="0.2">
      <c r="A34" s="165">
        <f>ROW()</f>
        <v>34</v>
      </c>
      <c r="B34" s="190" t="s">
        <v>98</v>
      </c>
      <c r="C34" s="181">
        <f>'SEF-34 pg 2-36'!D35</f>
        <v>4633246.5</v>
      </c>
      <c r="D34" s="207">
        <f>'SEF-34 pg 2-36'!BA35</f>
        <v>-2237114.8050593566</v>
      </c>
      <c r="E34" s="208">
        <f t="shared" si="2"/>
        <v>2396131.6949406434</v>
      </c>
      <c r="F34" s="207">
        <f>'SEF-34 pg 2-36'!BA96</f>
        <v>3947.409354984231</v>
      </c>
      <c r="G34" s="209">
        <f t="shared" si="3"/>
        <v>2400079.1042956277</v>
      </c>
      <c r="H34" s="210">
        <f>'SEF-34 pg 2-36'!BA157</f>
        <v>1733.1554567787998</v>
      </c>
      <c r="I34" s="211">
        <f t="shared" si="4"/>
        <v>2401812.2597524063</v>
      </c>
      <c r="J34" s="210">
        <f>+'SEF-34 pg 2-36'!BA218</f>
        <v>-526769.73494716221</v>
      </c>
      <c r="K34" s="211">
        <f t="shared" si="5"/>
        <v>1875042.5248052441</v>
      </c>
      <c r="L34" s="210">
        <f>+'SEF-34 pg 2-36'!BA279</f>
        <v>-61280.800806536296</v>
      </c>
      <c r="M34" s="212">
        <f t="shared" si="6"/>
        <v>1813761.7239987077</v>
      </c>
      <c r="N34" s="1356">
        <f>+'SEF-34 pg 2-36'!BA340</f>
        <v>0</v>
      </c>
      <c r="O34" s="211"/>
      <c r="P34" s="210"/>
      <c r="Q34" s="211">
        <f t="shared" si="7"/>
        <v>0</v>
      </c>
      <c r="S34" s="700"/>
      <c r="T34" s="700"/>
      <c r="U34" s="700"/>
      <c r="V34" s="700"/>
      <c r="W34" s="1357"/>
    </row>
    <row r="35" spans="1:23" x14ac:dyDescent="0.2">
      <c r="A35" s="165">
        <f>ROW()</f>
        <v>35</v>
      </c>
      <c r="B35" s="190" t="s">
        <v>99</v>
      </c>
      <c r="C35" s="181">
        <f>'SEF-34 pg 2-36'!D36</f>
        <v>22395680.359999999</v>
      </c>
      <c r="D35" s="207">
        <f>'SEF-34 pg 2-36'!BA36</f>
        <v>-22395680.359999999</v>
      </c>
      <c r="E35" s="208">
        <f t="shared" si="2"/>
        <v>0</v>
      </c>
      <c r="F35" s="207">
        <f>'SEF-34 pg 2-36'!BA97</f>
        <v>0</v>
      </c>
      <c r="G35" s="209">
        <f t="shared" si="3"/>
        <v>0</v>
      </c>
      <c r="H35" s="210">
        <f>'SEF-34 pg 2-36'!BA158</f>
        <v>0</v>
      </c>
      <c r="I35" s="211">
        <f t="shared" si="4"/>
        <v>0</v>
      </c>
      <c r="J35" s="210">
        <f>+'SEF-34 pg 2-36'!BA219</f>
        <v>0</v>
      </c>
      <c r="K35" s="211">
        <f t="shared" si="5"/>
        <v>0</v>
      </c>
      <c r="L35" s="210">
        <f>+'SEF-34 pg 2-36'!BA280</f>
        <v>0</v>
      </c>
      <c r="M35" s="212">
        <f t="shared" si="6"/>
        <v>0</v>
      </c>
      <c r="N35" s="1356">
        <f>+'SEF-34 pg 2-36'!BA341</f>
        <v>0</v>
      </c>
      <c r="O35" s="211"/>
      <c r="P35" s="210"/>
      <c r="Q35" s="211">
        <f t="shared" si="7"/>
        <v>0</v>
      </c>
      <c r="S35" s="700"/>
      <c r="T35" s="700"/>
      <c r="U35" s="700"/>
      <c r="V35" s="700"/>
      <c r="W35" s="1357"/>
    </row>
    <row r="36" spans="1:23" ht="13.5" x14ac:dyDescent="0.25">
      <c r="A36" s="165">
        <f>ROW()</f>
        <v>36</v>
      </c>
      <c r="B36" s="190" t="s">
        <v>100</v>
      </c>
      <c r="C36" s="181">
        <f>'SEF-34 pg 2-36'!D37</f>
        <v>73412663.579999998</v>
      </c>
      <c r="D36" s="174">
        <f>'SEF-34 pg 2-36'!BA37</f>
        <v>1265404.4784457146</v>
      </c>
      <c r="E36" s="213">
        <f t="shared" si="2"/>
        <v>74678068.058445707</v>
      </c>
      <c r="F36" s="174">
        <f>'SEF-34 pg 2-36'!BA98</f>
        <v>-183108.0695137658</v>
      </c>
      <c r="G36" s="214">
        <f t="shared" si="3"/>
        <v>74494959.988931939</v>
      </c>
      <c r="H36" s="215">
        <f>'SEF-34 pg 2-36'!BA159</f>
        <v>-21779.148413105984</v>
      </c>
      <c r="I36" s="216">
        <f t="shared" si="4"/>
        <v>74473180.840518832</v>
      </c>
      <c r="J36" s="215">
        <f>+'SEF-34 pg 2-36'!BA220</f>
        <v>-6861777.3367260387</v>
      </c>
      <c r="K36" s="216">
        <f t="shared" si="5"/>
        <v>67611403.503792793</v>
      </c>
      <c r="L36" s="215">
        <f>+'SEF-34 pg 2-36'!BA281</f>
        <v>7612404.1311392924</v>
      </c>
      <c r="M36" s="217">
        <f t="shared" si="6"/>
        <v>75223807.634932086</v>
      </c>
      <c r="N36" s="1356">
        <f>+'SEF-34 pg 2-36'!BA342</f>
        <v>0</v>
      </c>
      <c r="O36" s="211"/>
      <c r="P36" s="210"/>
      <c r="Q36" s="211">
        <f t="shared" si="7"/>
        <v>0</v>
      </c>
      <c r="S36" s="700"/>
      <c r="T36" s="700"/>
      <c r="U36" s="700"/>
      <c r="V36" s="700"/>
      <c r="W36" s="1357"/>
    </row>
    <row r="37" spans="1:23" x14ac:dyDescent="0.2">
      <c r="A37" s="165">
        <f>ROW()</f>
        <v>37</v>
      </c>
      <c r="B37" s="190" t="s">
        <v>101</v>
      </c>
      <c r="C37" s="181">
        <f>'SEF-34 pg 2-36'!D38</f>
        <v>164838105.41999999</v>
      </c>
      <c r="D37" s="207">
        <f>'SEF-34 pg 2-36'!BA38</f>
        <v>11992989.533705343</v>
      </c>
      <c r="E37" s="208">
        <f t="shared" si="2"/>
        <v>176831094.95370534</v>
      </c>
      <c r="F37" s="207">
        <f>'SEF-34 pg 2-36'!BA99</f>
        <v>-8032723.2244086899</v>
      </c>
      <c r="G37" s="209">
        <f t="shared" si="3"/>
        <v>168798371.72929665</v>
      </c>
      <c r="H37" s="210">
        <f>'SEF-34 pg 2-36'!BA160</f>
        <v>7967622.7431826554</v>
      </c>
      <c r="I37" s="211">
        <f t="shared" si="4"/>
        <v>176765994.47247931</v>
      </c>
      <c r="J37" s="210">
        <f>+'SEF-34 pg 2-36'!BA221</f>
        <v>84828805.57257545</v>
      </c>
      <c r="K37" s="211">
        <f t="shared" si="5"/>
        <v>261594800.04505476</v>
      </c>
      <c r="L37" s="210">
        <f>+'SEF-34 pg 2-36'!BA282</f>
        <v>5289431.9065199792</v>
      </c>
      <c r="M37" s="212">
        <f t="shared" si="6"/>
        <v>266884231.95157474</v>
      </c>
      <c r="N37" s="1356">
        <f>+'SEF-34 pg 2-36'!BA343</f>
        <v>0</v>
      </c>
      <c r="O37" s="211"/>
      <c r="P37" s="210"/>
      <c r="Q37" s="211">
        <f t="shared" si="7"/>
        <v>0</v>
      </c>
      <c r="S37" s="700"/>
      <c r="T37" s="700"/>
      <c r="U37" s="700"/>
      <c r="V37" s="700"/>
    </row>
    <row r="38" spans="1:23" x14ac:dyDescent="0.2">
      <c r="A38" s="165">
        <f>ROW()</f>
        <v>38</v>
      </c>
      <c r="B38" s="190" t="s">
        <v>102</v>
      </c>
      <c r="C38" s="181">
        <f>'SEF-34 pg 2-36'!D39</f>
        <v>29349151.43</v>
      </c>
      <c r="D38" s="207">
        <f>'SEF-34 pg 2-36'!BA39</f>
        <v>-4193326.8191255038</v>
      </c>
      <c r="E38" s="208">
        <f t="shared" si="2"/>
        <v>25155824.610874496</v>
      </c>
      <c r="F38" s="207">
        <f>'SEF-34 pg 2-36'!BA100</f>
        <v>136402.08183275192</v>
      </c>
      <c r="G38" s="209">
        <f t="shared" si="3"/>
        <v>25292226.692707248</v>
      </c>
      <c r="H38" s="210">
        <f>'SEF-34 pg 2-36'!BA161</f>
        <v>4868408.5978826145</v>
      </c>
      <c r="I38" s="211">
        <f t="shared" si="4"/>
        <v>30160635.290589862</v>
      </c>
      <c r="J38" s="210">
        <f>+'SEF-34 pg 2-36'!BA222</f>
        <v>6218682.880860067</v>
      </c>
      <c r="K38" s="211">
        <f t="shared" si="5"/>
        <v>36379318.171449929</v>
      </c>
      <c r="L38" s="210">
        <f>+'SEF-34 pg 2-36'!BA283</f>
        <v>5657348.5288200313</v>
      </c>
      <c r="M38" s="212">
        <f t="shared" si="6"/>
        <v>42036666.70026996</v>
      </c>
      <c r="N38" s="1356">
        <f>+'SEF-34 pg 2-36'!BA344</f>
        <v>0</v>
      </c>
      <c r="O38" s="211"/>
      <c r="P38" s="210"/>
      <c r="Q38" s="211">
        <f t="shared" si="7"/>
        <v>0</v>
      </c>
      <c r="S38" s="700"/>
      <c r="T38" s="700"/>
      <c r="U38" s="700"/>
      <c r="V38" s="700"/>
    </row>
    <row r="39" spans="1:23" x14ac:dyDescent="0.2">
      <c r="A39" s="165">
        <f>ROW()</f>
        <v>39</v>
      </c>
      <c r="B39" s="190" t="s">
        <v>103</v>
      </c>
      <c r="C39" s="181">
        <f>'SEF-34 pg 2-36'!D40</f>
        <v>0</v>
      </c>
      <c r="D39" s="207">
        <f>'SEF-34 pg 2-36'!BA40</f>
        <v>0</v>
      </c>
      <c r="E39" s="208">
        <f t="shared" si="2"/>
        <v>0</v>
      </c>
      <c r="F39" s="207">
        <f>'SEF-34 pg 2-36'!BA101</f>
        <v>0</v>
      </c>
      <c r="G39" s="209">
        <f t="shared" si="3"/>
        <v>0</v>
      </c>
      <c r="H39" s="210">
        <f>'SEF-34 pg 2-36'!BA162</f>
        <v>0</v>
      </c>
      <c r="I39" s="211">
        <f t="shared" si="4"/>
        <v>0</v>
      </c>
      <c r="J39" s="210">
        <f>+'SEF-34 pg 2-36'!BA223</f>
        <v>0</v>
      </c>
      <c r="K39" s="211">
        <f t="shared" si="5"/>
        <v>0</v>
      </c>
      <c r="L39" s="210">
        <f>+'SEF-34 pg 2-36'!BA284</f>
        <v>0</v>
      </c>
      <c r="M39" s="212">
        <f t="shared" si="6"/>
        <v>0</v>
      </c>
      <c r="N39" s="1356">
        <f>+'SEF-34 pg 2-36'!BA345</f>
        <v>0</v>
      </c>
      <c r="O39" s="211"/>
      <c r="P39" s="210"/>
      <c r="Q39" s="211">
        <f t="shared" si="7"/>
        <v>0</v>
      </c>
      <c r="S39" s="700"/>
      <c r="T39" s="700"/>
      <c r="U39" s="700"/>
      <c r="V39" s="700"/>
    </row>
    <row r="40" spans="1:23" x14ac:dyDescent="0.2">
      <c r="A40" s="165">
        <f>ROW()</f>
        <v>40</v>
      </c>
      <c r="B40" s="190" t="s">
        <v>104</v>
      </c>
      <c r="C40" s="181">
        <f>'SEF-34 pg 2-36'!D41</f>
        <v>-124060557.32999998</v>
      </c>
      <c r="D40" s="207">
        <f>'SEF-34 pg 2-36'!BA41</f>
        <v>134106852.17371558</v>
      </c>
      <c r="E40" s="208">
        <f t="shared" si="2"/>
        <v>10046294.843715593</v>
      </c>
      <c r="F40" s="207">
        <f>'SEF-34 pg 2-36'!BA102</f>
        <v>7961876.0027319025</v>
      </c>
      <c r="G40" s="209">
        <f t="shared" si="3"/>
        <v>18008170.846447498</v>
      </c>
      <c r="H40" s="210">
        <f>'SEF-34 pg 2-36'!BA163</f>
        <v>-2557299.6608350798</v>
      </c>
      <c r="I40" s="211">
        <f t="shared" si="4"/>
        <v>15450871.185612418</v>
      </c>
      <c r="J40" s="210">
        <f>+'SEF-34 pg 2-36'!BA224</f>
        <v>6912527.0130081698</v>
      </c>
      <c r="K40" s="211">
        <f t="shared" si="5"/>
        <v>22363398.198620588</v>
      </c>
      <c r="L40" s="210">
        <f>+'SEF-34 pg 2-36'!BA285</f>
        <v>-6170046.5110577252</v>
      </c>
      <c r="M40" s="212">
        <f t="shared" si="6"/>
        <v>16193351.687562862</v>
      </c>
      <c r="N40" s="1356">
        <f>+'SEF-34 pg 2-36'!BA346</f>
        <v>0</v>
      </c>
      <c r="O40" s="211"/>
      <c r="P40" s="210"/>
      <c r="Q40" s="211">
        <f t="shared" si="7"/>
        <v>0</v>
      </c>
      <c r="S40" s="700"/>
      <c r="T40" s="700"/>
      <c r="U40" s="700"/>
      <c r="V40" s="700"/>
    </row>
    <row r="41" spans="1:23" x14ac:dyDescent="0.2">
      <c r="A41" s="165">
        <f>ROW()</f>
        <v>41</v>
      </c>
      <c r="B41" s="190" t="s">
        <v>105</v>
      </c>
      <c r="C41" s="181">
        <f>'SEF-34 pg 2-36'!D42</f>
        <v>136186547.91999999</v>
      </c>
      <c r="D41" s="207">
        <f>'SEF-34 pg 2-36'!BA42</f>
        <v>-106019242.55257708</v>
      </c>
      <c r="E41" s="208">
        <f t="shared" si="2"/>
        <v>30167305.367422909</v>
      </c>
      <c r="F41" s="207">
        <f>'SEF-34 pg 2-36'!BA103</f>
        <v>-3895252.845588156</v>
      </c>
      <c r="G41" s="209">
        <f t="shared" si="3"/>
        <v>26272052.521834753</v>
      </c>
      <c r="H41" s="210">
        <f>'SEF-34 pg 2-36'!BA164</f>
        <v>-390365.76653960417</v>
      </c>
      <c r="I41" s="211">
        <f t="shared" si="4"/>
        <v>25881686.75529515</v>
      </c>
      <c r="J41" s="210">
        <f>+'SEF-34 pg 2-36'!BA225</f>
        <v>-2233392.7309641172</v>
      </c>
      <c r="K41" s="211">
        <f t="shared" si="5"/>
        <v>23648294.024331033</v>
      </c>
      <c r="L41" s="210">
        <f>+'SEF-34 pg 2-36'!BA286</f>
        <v>2084866.8599833935</v>
      </c>
      <c r="M41" s="212">
        <f t="shared" si="6"/>
        <v>25733160.884314425</v>
      </c>
      <c r="N41" s="1356">
        <f>+'SEF-34 pg 2-36'!BA347</f>
        <v>0</v>
      </c>
      <c r="O41" s="211"/>
      <c r="P41" s="210"/>
      <c r="Q41" s="211">
        <f t="shared" si="7"/>
        <v>0</v>
      </c>
      <c r="S41" s="700"/>
      <c r="T41" s="700"/>
      <c r="U41" s="700"/>
      <c r="V41" s="700"/>
    </row>
    <row r="42" spans="1:23" ht="13.5" x14ac:dyDescent="0.25">
      <c r="A42" s="165">
        <f>ROW()</f>
        <v>42</v>
      </c>
      <c r="B42" s="190" t="s">
        <v>106</v>
      </c>
      <c r="C42" s="181">
        <f>'SEF-34 pg 2-36'!D43</f>
        <v>45229648.609999999</v>
      </c>
      <c r="D42" s="174">
        <f>'SEF-34 pg 2-36'!BA43</f>
        <v>-9584534.6098112557</v>
      </c>
      <c r="E42" s="213">
        <f t="shared" si="2"/>
        <v>35645114.000188746</v>
      </c>
      <c r="F42" s="174">
        <f>'SEF-34 pg 2-36'!BA104</f>
        <v>-20210964.520661749</v>
      </c>
      <c r="G42" s="214">
        <f t="shared" si="3"/>
        <v>15434149.479526997</v>
      </c>
      <c r="H42" s="215">
        <f>'SEF-34 pg 2-36'!BA165</f>
        <v>-4811056.3743770923</v>
      </c>
      <c r="I42" s="216">
        <f t="shared" si="4"/>
        <v>10623093.105149904</v>
      </c>
      <c r="J42" s="215">
        <f>+'SEF-34 pg 2-36'!BA226</f>
        <v>-24507925.703311443</v>
      </c>
      <c r="K42" s="216">
        <f t="shared" si="5"/>
        <v>-13884832.598161539</v>
      </c>
      <c r="L42" s="215">
        <f>+'SEF-34 pg 2-36'!BA287</f>
        <v>-2476284.6786908996</v>
      </c>
      <c r="M42" s="217">
        <f t="shared" si="6"/>
        <v>-16361117.276852438</v>
      </c>
      <c r="N42" s="1356">
        <f>+'SEF-34 pg 2-36'!BA348</f>
        <v>0</v>
      </c>
      <c r="O42" s="211"/>
      <c r="P42" s="210"/>
      <c r="Q42" s="211">
        <f t="shared" si="7"/>
        <v>0</v>
      </c>
      <c r="S42" s="700"/>
      <c r="T42" s="700"/>
      <c r="U42" s="700"/>
      <c r="V42" s="700"/>
    </row>
    <row r="43" spans="1:23" x14ac:dyDescent="0.2">
      <c r="A43" s="165">
        <f>ROW()</f>
        <v>43</v>
      </c>
      <c r="B43" s="190" t="s">
        <v>107</v>
      </c>
      <c r="C43" s="181">
        <f>'SEF-34 pg 2-36'!D44</f>
        <v>-7579228.4499999881</v>
      </c>
      <c r="D43" s="207">
        <f>'SEF-34 pg 2-36'!BA44</f>
        <v>425511.86349998927</v>
      </c>
      <c r="E43" s="208">
        <f t="shared" si="2"/>
        <v>-7153716.5864999983</v>
      </c>
      <c r="F43" s="207">
        <f>'SEF-34 pg 2-36'!BA105</f>
        <v>-133104.75165847223</v>
      </c>
      <c r="G43" s="209">
        <f t="shared" si="3"/>
        <v>-7286821.3381584706</v>
      </c>
      <c r="H43" s="210">
        <f>'SEF-34 pg 2-36'!BA166</f>
        <v>348814.75209316192</v>
      </c>
      <c r="I43" s="211">
        <f t="shared" si="4"/>
        <v>-6938006.5860653091</v>
      </c>
      <c r="J43" s="210">
        <f>+'SEF-34 pg 2-36'!BA227</f>
        <v>-3984285.403344369</v>
      </c>
      <c r="K43" s="211">
        <f t="shared" si="5"/>
        <v>-10922291.989409678</v>
      </c>
      <c r="L43" s="210">
        <f>+'SEF-34 pg 2-36'!BA288</f>
        <v>-184598.59659993602</v>
      </c>
      <c r="M43" s="212">
        <f t="shared" si="6"/>
        <v>-11106890.586009614</v>
      </c>
      <c r="N43" s="1356">
        <f>+'SEF-34 pg 2-36'!BA349</f>
        <v>0</v>
      </c>
      <c r="O43" s="211"/>
      <c r="P43" s="210">
        <f>+'SEF-34 pg 2-36'!BA410</f>
        <v>0</v>
      </c>
      <c r="Q43" s="211">
        <f t="shared" si="7"/>
        <v>0</v>
      </c>
      <c r="S43" s="700"/>
      <c r="T43" s="700"/>
      <c r="U43" s="700"/>
      <c r="V43" s="700"/>
    </row>
    <row r="44" spans="1:23" ht="13.5" x14ac:dyDescent="0.25">
      <c r="A44" s="165">
        <f>ROW()</f>
        <v>44</v>
      </c>
      <c r="B44" s="190" t="s">
        <v>108</v>
      </c>
      <c r="C44" s="218">
        <f t="shared" ref="C44:I44" si="8">SUM(C30:C43)</f>
        <v>442083574.93000001</v>
      </c>
      <c r="D44" s="219">
        <f t="shared" si="8"/>
        <v>1640322.5860051322</v>
      </c>
      <c r="E44" s="220">
        <f t="shared" si="8"/>
        <v>443723897.51600516</v>
      </c>
      <c r="F44" s="219">
        <f t="shared" si="8"/>
        <v>-24504939.042516161</v>
      </c>
      <c r="G44" s="221">
        <f t="shared" si="8"/>
        <v>419218958.47348893</v>
      </c>
      <c r="H44" s="222">
        <f t="shared" si="8"/>
        <v>5438624.2329698373</v>
      </c>
      <c r="I44" s="220">
        <f t="shared" si="8"/>
        <v>424657582.70645893</v>
      </c>
      <c r="J44" s="1355">
        <f>(J19-J28)*0.21</f>
        <v>-1790793.6659194545</v>
      </c>
      <c r="K44" s="220">
        <f t="shared" ref="K44:Q44" si="9">SUM(K30:K43)</f>
        <v>504097317.12390089</v>
      </c>
      <c r="L44" s="222">
        <f t="shared" si="9"/>
        <v>10247768.564615574</v>
      </c>
      <c r="M44" s="223">
        <f t="shared" si="9"/>
        <v>514345085.68851644</v>
      </c>
      <c r="N44" s="1354">
        <f t="shared" si="9"/>
        <v>0</v>
      </c>
      <c r="O44" s="1352">
        <f t="shared" si="9"/>
        <v>0</v>
      </c>
      <c r="P44" s="1353">
        <f t="shared" si="9"/>
        <v>0</v>
      </c>
      <c r="Q44" s="1352">
        <f t="shared" si="9"/>
        <v>0</v>
      </c>
      <c r="S44" s="984"/>
      <c r="T44" s="984"/>
      <c r="U44" s="984"/>
      <c r="V44" s="984"/>
    </row>
    <row r="45" spans="1:23" ht="13.5" x14ac:dyDescent="0.25">
      <c r="A45" s="165">
        <f>ROW()</f>
        <v>45</v>
      </c>
      <c r="B45" s="190" t="s">
        <v>109</v>
      </c>
      <c r="C45" s="218">
        <f t="shared" ref="C45:Q45" si="10">SUM(C28:C43)</f>
        <v>1152558116.3100002</v>
      </c>
      <c r="D45" s="219">
        <f t="shared" si="10"/>
        <v>-708834218.79399478</v>
      </c>
      <c r="E45" s="220">
        <f t="shared" si="10"/>
        <v>443723897.51600516</v>
      </c>
      <c r="F45" s="219">
        <f t="shared" si="10"/>
        <v>-24504939.042516161</v>
      </c>
      <c r="G45" s="221">
        <f t="shared" si="10"/>
        <v>419218958.47348893</v>
      </c>
      <c r="H45" s="222">
        <f t="shared" si="10"/>
        <v>5438624.2329698373</v>
      </c>
      <c r="I45" s="220">
        <f t="shared" si="10"/>
        <v>424657582.70645893</v>
      </c>
      <c r="J45" s="222">
        <f t="shared" si="10"/>
        <v>79439734.417442083</v>
      </c>
      <c r="K45" s="220">
        <f t="shared" si="10"/>
        <v>504097317.12390089</v>
      </c>
      <c r="L45" s="222">
        <f t="shared" si="10"/>
        <v>10247768.564615574</v>
      </c>
      <c r="M45" s="223">
        <f t="shared" si="10"/>
        <v>514345085.68851644</v>
      </c>
      <c r="N45" s="1354">
        <f t="shared" si="10"/>
        <v>0</v>
      </c>
      <c r="O45" s="1352">
        <f t="shared" si="10"/>
        <v>0</v>
      </c>
      <c r="P45" s="1353">
        <f t="shared" si="10"/>
        <v>0</v>
      </c>
      <c r="Q45" s="1352">
        <f t="shared" si="10"/>
        <v>0</v>
      </c>
      <c r="S45" s="984"/>
      <c r="T45" s="984"/>
      <c r="U45" s="984"/>
      <c r="V45" s="984"/>
    </row>
    <row r="46" spans="1:23" x14ac:dyDescent="0.2">
      <c r="A46" s="165">
        <f>ROW()</f>
        <v>46</v>
      </c>
      <c r="B46" s="116"/>
      <c r="C46" s="117"/>
      <c r="D46" s="257"/>
      <c r="E46" s="119"/>
      <c r="F46" s="257"/>
      <c r="G46" s="1350"/>
      <c r="H46" s="230"/>
      <c r="I46" s="1350"/>
      <c r="J46" s="230"/>
      <c r="K46" s="1350"/>
      <c r="L46" s="230"/>
      <c r="M46" s="1351"/>
      <c r="N46" s="229"/>
      <c r="O46" s="1350"/>
      <c r="P46" s="230"/>
      <c r="Q46" s="1350"/>
      <c r="T46" s="78"/>
      <c r="V46" s="78"/>
    </row>
    <row r="47" spans="1:23" ht="14.25" thickBot="1" x14ac:dyDescent="0.3">
      <c r="A47" s="165">
        <f>ROW()</f>
        <v>47</v>
      </c>
      <c r="B47" s="231" t="s">
        <v>110</v>
      </c>
      <c r="C47" s="232">
        <f t="shared" ref="C47:Q47" si="11">C19-C45</f>
        <v>182074206.58999991</v>
      </c>
      <c r="D47" s="233">
        <f t="shared" si="11"/>
        <v>30670985.931751609</v>
      </c>
      <c r="E47" s="234">
        <f t="shared" si="11"/>
        <v>212745192.52175176</v>
      </c>
      <c r="F47" s="233">
        <f t="shared" si="11"/>
        <v>-78739641.142518893</v>
      </c>
      <c r="G47" s="235">
        <f t="shared" si="11"/>
        <v>134005551.379233</v>
      </c>
      <c r="H47" s="236">
        <f t="shared" si="11"/>
        <v>-15861186.346034562</v>
      </c>
      <c r="I47" s="234">
        <f t="shared" si="11"/>
        <v>118144365.03319824</v>
      </c>
      <c r="J47" s="236">
        <f t="shared" si="11"/>
        <v>-87967323.30277282</v>
      </c>
      <c r="K47" s="237">
        <f t="shared" si="11"/>
        <v>30177041.730425537</v>
      </c>
      <c r="L47" s="281">
        <f t="shared" si="11"/>
        <v>-10366330.949647754</v>
      </c>
      <c r="M47" s="237">
        <f t="shared" si="11"/>
        <v>19810710.780777812</v>
      </c>
      <c r="N47" s="1332">
        <f t="shared" si="11"/>
        <v>0</v>
      </c>
      <c r="O47" s="238">
        <f t="shared" si="11"/>
        <v>0</v>
      </c>
      <c r="P47" s="239">
        <f t="shared" si="11"/>
        <v>0</v>
      </c>
      <c r="Q47" s="238">
        <f t="shared" si="11"/>
        <v>0</v>
      </c>
      <c r="S47" s="1193"/>
      <c r="T47" s="1193"/>
      <c r="U47" s="1193"/>
      <c r="V47" s="1193"/>
    </row>
    <row r="48" spans="1:23" ht="13.5" thickTop="1" x14ac:dyDescent="0.2">
      <c r="A48" s="165">
        <f>ROW()</f>
        <v>48</v>
      </c>
      <c r="B48" s="116"/>
      <c r="C48" s="166"/>
      <c r="D48" s="167"/>
      <c r="E48" s="168"/>
      <c r="F48" s="167"/>
      <c r="G48" s="169"/>
      <c r="H48" s="170"/>
      <c r="I48" s="168"/>
      <c r="J48" s="170"/>
      <c r="K48" s="171"/>
      <c r="L48" s="172"/>
      <c r="M48" s="171"/>
      <c r="N48" s="172"/>
      <c r="O48" s="168"/>
      <c r="P48" s="167"/>
      <c r="Q48" s="168"/>
    </row>
    <row r="49" spans="1:22" x14ac:dyDescent="0.2">
      <c r="A49" s="165">
        <f>ROW()</f>
        <v>49</v>
      </c>
      <c r="B49" s="116" t="s">
        <v>111</v>
      </c>
      <c r="C49" s="241">
        <f>ROUND(C47/C58,4)</f>
        <v>6.1699999999999998E-2</v>
      </c>
      <c r="D49" s="1349"/>
      <c r="E49" s="1347">
        <f>ROUND(E47/E58,4)</f>
        <v>7.3099999999999998E-2</v>
      </c>
      <c r="F49" s="242"/>
      <c r="G49" s="1348">
        <f>ROUND(G47/G58,4)</f>
        <v>4.7800000000000002E-2</v>
      </c>
      <c r="H49" s="245"/>
      <c r="I49" s="1347">
        <f>ROUND(I47/I58,4)</f>
        <v>4.07E-2</v>
      </c>
      <c r="J49" s="245"/>
      <c r="K49" s="1346">
        <f>ROUND(K47/K58,4)</f>
        <v>1.0500000000000001E-2</v>
      </c>
      <c r="L49" s="247"/>
      <c r="M49" s="1346">
        <f>ROUND(M47/M58,4)</f>
        <v>6.8999999999999999E-3</v>
      </c>
      <c r="N49" s="247"/>
      <c r="O49" s="1345"/>
      <c r="P49" s="242"/>
      <c r="Q49" s="1345"/>
      <c r="S49" s="34"/>
      <c r="T49" s="1344"/>
      <c r="U49" s="34"/>
      <c r="V49" s="1344"/>
    </row>
    <row r="50" spans="1:22" x14ac:dyDescent="0.2">
      <c r="A50" s="165">
        <f>ROW()</f>
        <v>50</v>
      </c>
      <c r="B50" s="116"/>
      <c r="C50" s="166"/>
      <c r="D50" s="1343"/>
      <c r="E50" s="168"/>
      <c r="F50" s="167"/>
      <c r="G50" s="169"/>
      <c r="H50" s="170"/>
      <c r="I50" s="168"/>
      <c r="J50" s="170"/>
      <c r="K50" s="171"/>
      <c r="L50" s="172"/>
      <c r="M50" s="171"/>
      <c r="N50" s="172"/>
      <c r="O50" s="168"/>
      <c r="P50" s="167"/>
      <c r="Q50" s="168"/>
    </row>
    <row r="51" spans="1:22" x14ac:dyDescent="0.2">
      <c r="A51" s="165">
        <f>ROW()</f>
        <v>51</v>
      </c>
      <c r="B51" s="190" t="s">
        <v>112</v>
      </c>
      <c r="C51" s="173">
        <f>'SEF-34 pg 2-36'!D54</f>
        <v>5489997433.7842302</v>
      </c>
      <c r="D51" s="1342">
        <f>'SEF-34 pg 2-36'!BA54</f>
        <v>-15609514.337408643</v>
      </c>
      <c r="E51" s="249">
        <f t="shared" ref="E51:E56" si="12">SUM(C51:D51)</f>
        <v>5474387919.4468212</v>
      </c>
      <c r="F51" s="248">
        <f>'SEF-34 pg 2-36'!BA115</f>
        <v>-46105522.513216615</v>
      </c>
      <c r="G51" s="250">
        <f t="shared" ref="G51:G56" si="13">SUM(E51:F51)</f>
        <v>5428282396.9336042</v>
      </c>
      <c r="H51" s="251">
        <f>'SEF-34 pg 2-36'!BA176</f>
        <v>275416256.01664162</v>
      </c>
      <c r="I51" s="249">
        <f t="shared" ref="I51:I56" si="14">SUM(G51:H51)</f>
        <v>5703698652.9502459</v>
      </c>
      <c r="J51" s="251">
        <f>+'SEF-34 pg 2-36'!BA237</f>
        <v>96310071.658515275</v>
      </c>
      <c r="K51" s="252">
        <f t="shared" ref="K51:K56" si="15">SUM(I51:J51)</f>
        <v>5800008724.6087608</v>
      </c>
      <c r="L51" s="253">
        <f>+'SEF-34 pg 2-36'!BA298</f>
        <v>139401464.98797309</v>
      </c>
      <c r="M51" s="252">
        <f t="shared" ref="M51:M56" si="16">SUM(K51:L51)</f>
        <v>5939410189.596734</v>
      </c>
      <c r="N51" s="253">
        <f>+'SEF-34 pg 2-36'!BA359</f>
        <v>0</v>
      </c>
      <c r="O51" s="249"/>
      <c r="P51" s="248"/>
      <c r="Q51" s="249">
        <f t="shared" ref="Q51:Q56" si="17">SUM(O51:P51)</f>
        <v>0</v>
      </c>
      <c r="S51" s="21"/>
      <c r="T51" s="21"/>
      <c r="U51" s="21"/>
      <c r="V51" s="21"/>
    </row>
    <row r="52" spans="1:22" x14ac:dyDescent="0.2">
      <c r="A52" s="165">
        <f>ROW()</f>
        <v>52</v>
      </c>
      <c r="B52" s="190" t="s">
        <v>113</v>
      </c>
      <c r="C52" s="181">
        <f>'SEF-34 pg 2-36'!D55</f>
        <v>-2082138429.1273692</v>
      </c>
      <c r="D52" s="207">
        <f>'SEF-34 pg 2-36'!BA55</f>
        <v>-32018787.125473086</v>
      </c>
      <c r="E52" s="208">
        <f t="shared" si="12"/>
        <v>-2114157216.2528422</v>
      </c>
      <c r="F52" s="207">
        <f>'SEF-34 pg 2-36'!BA116</f>
        <v>-81199586.268574759</v>
      </c>
      <c r="G52" s="209">
        <f t="shared" si="13"/>
        <v>-2195356802.5214171</v>
      </c>
      <c r="H52" s="254">
        <f>'SEF-34 pg 2-36'!BA177</f>
        <v>-183477274.11866277</v>
      </c>
      <c r="I52" s="208">
        <f t="shared" si="14"/>
        <v>-2378834076.64008</v>
      </c>
      <c r="J52" s="251">
        <f>+'SEF-34 pg 2-36'!BA238</f>
        <v>-141888812.60854107</v>
      </c>
      <c r="K52" s="255">
        <f t="shared" si="15"/>
        <v>-2520722889.248621</v>
      </c>
      <c r="L52" s="253">
        <f>+'SEF-34 pg 2-36'!BA299</f>
        <v>-173208521.23579931</v>
      </c>
      <c r="M52" s="255">
        <f t="shared" si="16"/>
        <v>-2693931410.4844203</v>
      </c>
      <c r="N52" s="253">
        <f>+'SEF-34 pg 2-36'!BA360</f>
        <v>0</v>
      </c>
      <c r="O52" s="208"/>
      <c r="P52" s="248"/>
      <c r="Q52" s="208">
        <f t="shared" si="17"/>
        <v>0</v>
      </c>
      <c r="S52" s="21"/>
      <c r="T52" s="984"/>
      <c r="U52" s="21"/>
      <c r="V52" s="984"/>
    </row>
    <row r="53" spans="1:22" x14ac:dyDescent="0.2">
      <c r="A53" s="165">
        <f>ROW()</f>
        <v>53</v>
      </c>
      <c r="B53" s="190" t="s">
        <v>114</v>
      </c>
      <c r="C53" s="181">
        <f>'SEF-34 pg 2-36'!D56</f>
        <v>18088017.405854166</v>
      </c>
      <c r="D53" s="207">
        <f>'SEF-34 pg 2-36'!BA56</f>
        <v>-1424002.515854165</v>
      </c>
      <c r="E53" s="208">
        <f t="shared" si="12"/>
        <v>16664014.890000001</v>
      </c>
      <c r="F53" s="207">
        <f>'SEF-34 pg 2-36'!BA117</f>
        <v>10827682.07823791</v>
      </c>
      <c r="G53" s="209">
        <f t="shared" si="13"/>
        <v>27491696.96823791</v>
      </c>
      <c r="H53" s="254">
        <f>'SEF-34 pg 2-36'!BA178</f>
        <v>-10489888.836809613</v>
      </c>
      <c r="I53" s="208">
        <f t="shared" si="14"/>
        <v>17001808.131428298</v>
      </c>
      <c r="J53" s="251">
        <f>+'SEF-34 pg 2-36'!BA239</f>
        <v>-6301235.2377254888</v>
      </c>
      <c r="K53" s="255">
        <f t="shared" si="15"/>
        <v>10700572.893702809</v>
      </c>
      <c r="L53" s="253">
        <f>+'SEF-34 pg 2-36'!BA300</f>
        <v>-6604602.5850778967</v>
      </c>
      <c r="M53" s="255">
        <f t="shared" si="16"/>
        <v>4095970.3086249121</v>
      </c>
      <c r="N53" s="253">
        <f>+'SEF-34 pg 2-36'!BA361</f>
        <v>0</v>
      </c>
      <c r="O53" s="208"/>
      <c r="P53" s="248"/>
      <c r="Q53" s="208">
        <f t="shared" si="17"/>
        <v>0</v>
      </c>
      <c r="S53" s="21"/>
      <c r="T53" s="984"/>
      <c r="U53" s="21"/>
      <c r="V53" s="984"/>
    </row>
    <row r="54" spans="1:22" x14ac:dyDescent="0.2">
      <c r="A54" s="165">
        <f>ROW()</f>
        <v>54</v>
      </c>
      <c r="B54" s="190" t="s">
        <v>115</v>
      </c>
      <c r="C54" s="181">
        <f>'SEF-34 pg 2-36'!D57</f>
        <v>-602543825.29567158</v>
      </c>
      <c r="D54" s="207">
        <f>'SEF-34 pg 2-36'!BA57</f>
        <v>18294673.269811057</v>
      </c>
      <c r="E54" s="208">
        <f t="shared" si="12"/>
        <v>-584249152.02586055</v>
      </c>
      <c r="F54" s="207">
        <f>'SEF-34 pg 2-36'!BA118</f>
        <v>8453768.1023466121</v>
      </c>
      <c r="G54" s="209">
        <f t="shared" si="13"/>
        <v>-575795383.92351389</v>
      </c>
      <c r="H54" s="254">
        <f>'SEF-34 pg 2-36'!BA179</f>
        <v>16891754.490923855</v>
      </c>
      <c r="I54" s="208">
        <f t="shared" si="14"/>
        <v>-558903629.43259001</v>
      </c>
      <c r="J54" s="251">
        <f>+'SEF-34 pg 2-36'!BA240</f>
        <v>17593744.415825292</v>
      </c>
      <c r="K54" s="255">
        <f t="shared" si="15"/>
        <v>-541309885.01676476</v>
      </c>
      <c r="L54" s="253">
        <f>+'SEF-34 pg 2-36'!BA301</f>
        <v>37035962.085043602</v>
      </c>
      <c r="M54" s="255">
        <f t="shared" si="16"/>
        <v>-504273922.93172115</v>
      </c>
      <c r="N54" s="253">
        <f>+'SEF-34 pg 2-36'!BA362</f>
        <v>0</v>
      </c>
      <c r="O54" s="208"/>
      <c r="P54" s="248">
        <f>+'SEF-34 pg 2-36'!BA423</f>
        <v>0</v>
      </c>
      <c r="Q54" s="208">
        <f t="shared" si="17"/>
        <v>0</v>
      </c>
      <c r="S54" s="21"/>
      <c r="T54" s="984"/>
      <c r="U54" s="21"/>
      <c r="V54" s="984"/>
    </row>
    <row r="55" spans="1:22" x14ac:dyDescent="0.2">
      <c r="A55" s="165">
        <f>ROW()</f>
        <v>55</v>
      </c>
      <c r="B55" s="190" t="s">
        <v>116</v>
      </c>
      <c r="C55" s="181">
        <f>'SEF-34 pg 2-36'!D58</f>
        <v>127273380.60826026</v>
      </c>
      <c r="D55" s="207">
        <f>'SEF-34 pg 2-36'!BA58</f>
        <v>-8245213.3162603527</v>
      </c>
      <c r="E55" s="208">
        <f t="shared" si="12"/>
        <v>119028167.29199991</v>
      </c>
      <c r="F55" s="207">
        <f>'SEF-34 pg 2-36'!BA119</f>
        <v>0</v>
      </c>
      <c r="G55" s="209">
        <f t="shared" si="13"/>
        <v>119028167.29199991</v>
      </c>
      <c r="H55" s="254">
        <f>'SEF-34 pg 2-36'!BA180</f>
        <v>0</v>
      </c>
      <c r="I55" s="208">
        <f t="shared" si="14"/>
        <v>119028167.29199991</v>
      </c>
      <c r="J55" s="251">
        <f>+'SEF-34 pg 2-36'!BA241</f>
        <v>0</v>
      </c>
      <c r="K55" s="255">
        <f t="shared" si="15"/>
        <v>119028167.29199991</v>
      </c>
      <c r="L55" s="253">
        <f>+'SEF-34 pg 2-36'!BA302</f>
        <v>0</v>
      </c>
      <c r="M55" s="255">
        <f t="shared" si="16"/>
        <v>119028167.29199991</v>
      </c>
      <c r="N55" s="253">
        <f>+'SEF-34 pg 2-36'!BA363</f>
        <v>0</v>
      </c>
      <c r="O55" s="208"/>
      <c r="P55" s="248">
        <f>+'SEF-34 pg 2-36'!BA424</f>
        <v>0</v>
      </c>
      <c r="Q55" s="208">
        <f t="shared" si="17"/>
        <v>0</v>
      </c>
      <c r="S55" s="21"/>
      <c r="T55" s="984"/>
      <c r="U55" s="21"/>
      <c r="V55" s="984"/>
    </row>
    <row r="56" spans="1:22" x14ac:dyDescent="0.2">
      <c r="A56" s="165">
        <f>ROW()</f>
        <v>56</v>
      </c>
      <c r="B56" s="190" t="s">
        <v>117</v>
      </c>
      <c r="C56" s="181">
        <f>'SEF-34 pg 2-36'!D59</f>
        <v>-1782190.3299845832</v>
      </c>
      <c r="D56" s="207">
        <f>'SEF-34 pg 2-36'!BA59</f>
        <v>581492.75057958323</v>
      </c>
      <c r="E56" s="208">
        <f t="shared" si="12"/>
        <v>-1200697.579405</v>
      </c>
      <c r="F56" s="207">
        <f>'SEF-34 pg 2-36'!BA120</f>
        <v>0</v>
      </c>
      <c r="G56" s="209">
        <f t="shared" si="13"/>
        <v>-1200697.579405</v>
      </c>
      <c r="H56" s="254">
        <f>'SEF-34 pg 2-36'!BA181</f>
        <v>0</v>
      </c>
      <c r="I56" s="208">
        <f t="shared" si="14"/>
        <v>-1200697.579405</v>
      </c>
      <c r="J56" s="251">
        <f>+'SEF-34 pg 2-36'!BA242</f>
        <v>0</v>
      </c>
      <c r="K56" s="255">
        <f t="shared" si="15"/>
        <v>-1200697.579405</v>
      </c>
      <c r="L56" s="253">
        <f>+'SEF-34 pg 2-36'!BA303</f>
        <v>0</v>
      </c>
      <c r="M56" s="255">
        <f t="shared" si="16"/>
        <v>-1200697.579405</v>
      </c>
      <c r="N56" s="253">
        <f>+'SEF-34 pg 2-36'!BA364</f>
        <v>0</v>
      </c>
      <c r="O56" s="208"/>
      <c r="P56" s="248">
        <f>+'SEF-34 pg 2-36'!BA425</f>
        <v>0</v>
      </c>
      <c r="Q56" s="208">
        <f t="shared" si="17"/>
        <v>0</v>
      </c>
      <c r="S56" s="21"/>
      <c r="T56" s="984"/>
      <c r="U56" s="21"/>
      <c r="V56" s="984"/>
    </row>
    <row r="57" spans="1:22" x14ac:dyDescent="0.2">
      <c r="A57" s="165">
        <f>ROW()</f>
        <v>57</v>
      </c>
      <c r="B57" s="190"/>
      <c r="C57" s="117"/>
      <c r="D57" s="257"/>
      <c r="E57" s="119"/>
      <c r="F57" s="257"/>
      <c r="G57" s="258"/>
      <c r="H57" s="230"/>
      <c r="I57" s="119"/>
      <c r="J57" s="230"/>
      <c r="K57" s="259"/>
      <c r="L57" s="229"/>
      <c r="M57" s="259"/>
      <c r="N57" s="229"/>
      <c r="O57" s="119"/>
      <c r="P57" s="257"/>
      <c r="Q57" s="119"/>
    </row>
    <row r="58" spans="1:22" ht="13.5" thickBot="1" x14ac:dyDescent="0.25">
      <c r="A58" s="165">
        <f>ROW()</f>
        <v>58</v>
      </c>
      <c r="B58" s="231" t="s">
        <v>118</v>
      </c>
      <c r="C58" s="232">
        <f t="shared" ref="C58:Q58" si="18">SUM(C51:C57)</f>
        <v>2948894387.0453196</v>
      </c>
      <c r="D58" s="260">
        <f t="shared" si="18"/>
        <v>-38421351.274605609</v>
      </c>
      <c r="E58" s="238">
        <f t="shared" si="18"/>
        <v>2910473035.7707138</v>
      </c>
      <c r="F58" s="260">
        <f t="shared" si="18"/>
        <v>-108023658.60120685</v>
      </c>
      <c r="G58" s="261">
        <f t="shared" si="18"/>
        <v>2802449377.1695061</v>
      </c>
      <c r="H58" s="239">
        <f t="shared" si="18"/>
        <v>98340847.552093089</v>
      </c>
      <c r="I58" s="238">
        <f t="shared" si="18"/>
        <v>2900790224.7215991</v>
      </c>
      <c r="J58" s="239">
        <f t="shared" si="18"/>
        <v>-34286231.771925993</v>
      </c>
      <c r="K58" s="262">
        <f t="shared" si="18"/>
        <v>2866503992.9496732</v>
      </c>
      <c r="L58" s="1332">
        <f t="shared" si="18"/>
        <v>-3375696.7478605136</v>
      </c>
      <c r="M58" s="262">
        <f t="shared" si="18"/>
        <v>2863128296.2018123</v>
      </c>
      <c r="N58" s="1332">
        <f t="shared" si="18"/>
        <v>0</v>
      </c>
      <c r="O58" s="238">
        <f t="shared" si="18"/>
        <v>0</v>
      </c>
      <c r="P58" s="239">
        <f t="shared" si="18"/>
        <v>0</v>
      </c>
      <c r="Q58" s="238">
        <f t="shared" si="18"/>
        <v>0</v>
      </c>
      <c r="S58" s="1193"/>
      <c r="T58" s="1193"/>
      <c r="U58" s="1193"/>
      <c r="V58" s="1193"/>
    </row>
    <row r="59" spans="1:22" ht="13.5" thickTop="1" x14ac:dyDescent="0.2">
      <c r="A59" s="165">
        <f>ROW()</f>
        <v>59</v>
      </c>
      <c r="B59" s="116"/>
      <c r="C59" s="166"/>
      <c r="D59" s="167"/>
      <c r="E59" s="168"/>
      <c r="F59" s="167"/>
      <c r="G59" s="169"/>
      <c r="H59" s="170"/>
      <c r="I59" s="168"/>
      <c r="J59" s="170"/>
      <c r="K59" s="171"/>
      <c r="L59" s="172"/>
      <c r="M59" s="171"/>
      <c r="N59" s="172"/>
      <c r="O59" s="168"/>
      <c r="P59" s="167"/>
      <c r="Q59" s="168"/>
    </row>
    <row r="60" spans="1:22" x14ac:dyDescent="0.2">
      <c r="A60" s="165">
        <f>ROW()</f>
        <v>60</v>
      </c>
      <c r="B60" s="116" t="s">
        <v>119</v>
      </c>
      <c r="C60" s="263">
        <f>'SEF-33 pg 1-2'!K24</f>
        <v>7.6499999999999999E-2</v>
      </c>
      <c r="D60" s="242">
        <f t="shared" ref="D60:J60" si="19">C60</f>
        <v>7.6499999999999999E-2</v>
      </c>
      <c r="E60" s="264">
        <f t="shared" si="19"/>
        <v>7.6499999999999999E-2</v>
      </c>
      <c r="F60" s="242">
        <f t="shared" si="19"/>
        <v>7.6499999999999999E-2</v>
      </c>
      <c r="G60" s="265">
        <f t="shared" si="19"/>
        <v>7.6499999999999999E-2</v>
      </c>
      <c r="H60" s="245">
        <f t="shared" si="19"/>
        <v>7.6499999999999999E-2</v>
      </c>
      <c r="I60" s="264">
        <f t="shared" si="19"/>
        <v>7.6499999999999999E-2</v>
      </c>
      <c r="J60" s="245">
        <f t="shared" si="19"/>
        <v>7.6499999999999999E-2</v>
      </c>
      <c r="K60" s="266">
        <f>'SEF-33 pg 1-2'!$K$24</f>
        <v>7.6499999999999999E-2</v>
      </c>
      <c r="L60" s="247">
        <f>+'SEF-33 pg 1-2'!D13</f>
        <v>7.9899999999999999E-2</v>
      </c>
      <c r="M60" s="266">
        <f>L60</f>
        <v>7.9899999999999999E-2</v>
      </c>
      <c r="N60" s="1341"/>
      <c r="O60" s="264">
        <f>N60</f>
        <v>0</v>
      </c>
      <c r="P60" s="264"/>
      <c r="Q60" s="264">
        <f>P60</f>
        <v>0</v>
      </c>
      <c r="S60" s="34"/>
      <c r="T60" s="34"/>
      <c r="U60" s="34"/>
      <c r="V60" s="34"/>
    </row>
    <row r="61" spans="1:22" x14ac:dyDescent="0.2">
      <c r="A61" s="165">
        <f>ROW()</f>
        <v>61</v>
      </c>
      <c r="B61" s="116"/>
      <c r="C61" s="263"/>
      <c r="D61" s="242"/>
      <c r="E61" s="264"/>
      <c r="F61" s="242"/>
      <c r="G61" s="265"/>
      <c r="H61" s="245"/>
      <c r="I61" s="264"/>
      <c r="J61" s="245"/>
      <c r="K61" s="266"/>
      <c r="L61" s="247"/>
      <c r="M61" s="266"/>
      <c r="N61" s="247"/>
      <c r="O61" s="264"/>
      <c r="P61" s="242"/>
      <c r="Q61" s="264"/>
      <c r="S61" s="34"/>
      <c r="T61" s="34"/>
      <c r="U61" s="34"/>
      <c r="V61" s="34"/>
    </row>
    <row r="62" spans="1:22" ht="13.5" x14ac:dyDescent="0.25">
      <c r="A62" s="165">
        <f>ROW()</f>
        <v>62</v>
      </c>
      <c r="B62" s="116" t="s">
        <v>120</v>
      </c>
      <c r="C62" s="267">
        <f t="shared" ref="C62:Q62" si="20">+C47-(C58*C60)</f>
        <v>-43516214.018967032</v>
      </c>
      <c r="D62" s="268">
        <f t="shared" si="20"/>
        <v>33610219.304258935</v>
      </c>
      <c r="E62" s="188">
        <f t="shared" si="20"/>
        <v>-9905994.7147078514</v>
      </c>
      <c r="F62" s="268">
        <f t="shared" si="20"/>
        <v>-70475831.259526566</v>
      </c>
      <c r="G62" s="269">
        <f t="shared" si="20"/>
        <v>-80381825.974234194</v>
      </c>
      <c r="H62" s="270">
        <f t="shared" si="20"/>
        <v>-23384261.183769684</v>
      </c>
      <c r="I62" s="188">
        <f t="shared" si="20"/>
        <v>-103766087.15800408</v>
      </c>
      <c r="J62" s="270">
        <f t="shared" si="20"/>
        <v>-85344426.572220474</v>
      </c>
      <c r="K62" s="189">
        <f t="shared" si="20"/>
        <v>-189110513.73022446</v>
      </c>
      <c r="L62" s="1340">
        <f t="shared" si="20"/>
        <v>-10096612.779493699</v>
      </c>
      <c r="M62" s="189">
        <f t="shared" si="20"/>
        <v>-208953240.08574697</v>
      </c>
      <c r="N62" s="1339">
        <f t="shared" si="20"/>
        <v>0</v>
      </c>
      <c r="O62" s="183">
        <f t="shared" si="20"/>
        <v>0</v>
      </c>
      <c r="P62" s="1338">
        <f t="shared" si="20"/>
        <v>0</v>
      </c>
      <c r="Q62" s="183">
        <f t="shared" si="20"/>
        <v>0</v>
      </c>
      <c r="S62" s="42"/>
      <c r="T62" s="42"/>
      <c r="U62" s="42"/>
      <c r="V62" s="42"/>
    </row>
    <row r="63" spans="1:22" ht="13.5" x14ac:dyDescent="0.25">
      <c r="A63" s="165">
        <f>ROW()</f>
        <v>63</v>
      </c>
      <c r="B63" s="116" t="s">
        <v>3</v>
      </c>
      <c r="C63" s="271">
        <f>'SEF-35'!E20</f>
        <v>0.75342299999999995</v>
      </c>
      <c r="D63" s="272">
        <f t="shared" ref="D63:J63" si="21">C63</f>
        <v>0.75342299999999995</v>
      </c>
      <c r="E63" s="273">
        <f t="shared" si="21"/>
        <v>0.75342299999999995</v>
      </c>
      <c r="F63" s="272">
        <f t="shared" si="21"/>
        <v>0.75342299999999995</v>
      </c>
      <c r="G63" s="274">
        <f t="shared" si="21"/>
        <v>0.75342299999999995</v>
      </c>
      <c r="H63" s="275">
        <f t="shared" si="21"/>
        <v>0.75342299999999995</v>
      </c>
      <c r="I63" s="273">
        <f t="shared" si="21"/>
        <v>0.75342299999999995</v>
      </c>
      <c r="J63" s="275">
        <f t="shared" si="21"/>
        <v>0.75342299999999995</v>
      </c>
      <c r="K63" s="276">
        <f>'SEF-35'!E20</f>
        <v>0.75342299999999995</v>
      </c>
      <c r="L63" s="1337">
        <f>K63</f>
        <v>0.75342299999999995</v>
      </c>
      <c r="M63" s="276">
        <f>L63</f>
        <v>0.75342299999999995</v>
      </c>
      <c r="N63" s="1336"/>
      <c r="O63" s="1334">
        <f>N63</f>
        <v>0</v>
      </c>
      <c r="P63" s="1335">
        <f>O63</f>
        <v>0</v>
      </c>
      <c r="Q63" s="1334">
        <f>P63</f>
        <v>0</v>
      </c>
      <c r="S63" s="1333"/>
      <c r="T63" s="1333"/>
      <c r="U63" s="1333"/>
      <c r="V63" s="1333"/>
    </row>
    <row r="64" spans="1:22" x14ac:dyDescent="0.2">
      <c r="A64" s="165">
        <f>ROW()</f>
        <v>64</v>
      </c>
      <c r="B64" s="116"/>
      <c r="C64" s="117"/>
      <c r="D64" s="257"/>
      <c r="E64" s="119"/>
      <c r="F64" s="257"/>
      <c r="G64" s="258"/>
      <c r="H64" s="230"/>
      <c r="I64" s="119"/>
      <c r="J64" s="230"/>
      <c r="K64" s="259"/>
      <c r="L64" s="229"/>
      <c r="M64" s="259"/>
      <c r="N64" s="229"/>
      <c r="O64" s="119"/>
      <c r="P64" s="257"/>
      <c r="Q64" s="119"/>
    </row>
    <row r="65" spans="1:22" ht="14.25" thickBot="1" x14ac:dyDescent="0.3">
      <c r="A65" s="165">
        <f>ROW()</f>
        <v>65</v>
      </c>
      <c r="B65" s="277" t="s">
        <v>29</v>
      </c>
      <c r="C65" s="278">
        <f t="shared" ref="C65:M65" si="22">-C62/C63</f>
        <v>57758011.12916255</v>
      </c>
      <c r="D65" s="233">
        <f t="shared" si="22"/>
        <v>-44610025.582254507</v>
      </c>
      <c r="E65" s="234">
        <f t="shared" si="22"/>
        <v>13147985.546907715</v>
      </c>
      <c r="F65" s="233">
        <f t="shared" si="22"/>
        <v>93540854.552524373</v>
      </c>
      <c r="G65" s="279">
        <f t="shared" si="22"/>
        <v>106688840.0994318</v>
      </c>
      <c r="H65" s="236">
        <f t="shared" si="22"/>
        <v>31037360.398832642</v>
      </c>
      <c r="I65" s="282">
        <f t="shared" si="22"/>
        <v>137726200.4982647</v>
      </c>
      <c r="J65" s="236">
        <f t="shared" si="22"/>
        <v>113275579.02031194</v>
      </c>
      <c r="K65" s="280">
        <f t="shared" si="22"/>
        <v>251001779.5185765</v>
      </c>
      <c r="L65" s="281">
        <f t="shared" si="22"/>
        <v>13400988.26222945</v>
      </c>
      <c r="M65" s="280">
        <f t="shared" si="22"/>
        <v>277338546.98588574</v>
      </c>
      <c r="N65" s="1332"/>
      <c r="O65" s="284"/>
      <c r="P65" s="239"/>
      <c r="Q65" s="284"/>
      <c r="S65" s="1193"/>
      <c r="T65" s="1193"/>
      <c r="U65" s="1193"/>
      <c r="V65" s="1193"/>
    </row>
    <row r="66" spans="1:22" ht="13.5" thickTop="1" x14ac:dyDescent="0.2">
      <c r="A66" s="165">
        <f>ROW()</f>
        <v>66</v>
      </c>
      <c r="B66" s="116"/>
      <c r="C66" s="166"/>
      <c r="D66" s="167"/>
      <c r="E66" s="168"/>
      <c r="F66" s="167"/>
      <c r="G66" s="171"/>
      <c r="H66" s="170"/>
      <c r="I66" s="171"/>
      <c r="J66" s="172"/>
      <c r="K66" s="171"/>
      <c r="L66" s="172"/>
      <c r="M66" s="171"/>
      <c r="N66" s="172"/>
      <c r="O66" s="168"/>
      <c r="P66" s="167"/>
      <c r="Q66" s="168"/>
    </row>
    <row r="67" spans="1:22" hidden="1" outlineLevel="1" x14ac:dyDescent="0.2">
      <c r="A67" s="165">
        <f>ROW()</f>
        <v>67</v>
      </c>
      <c r="B67" s="116"/>
      <c r="C67" s="166"/>
      <c r="D67" s="167"/>
      <c r="E67" s="168"/>
      <c r="F67" s="167"/>
      <c r="G67" s="186"/>
      <c r="H67" s="170"/>
      <c r="I67" s="186"/>
      <c r="J67" s="172"/>
      <c r="K67" s="186"/>
      <c r="L67" s="172"/>
      <c r="M67" s="186"/>
      <c r="N67" s="172"/>
      <c r="O67" s="183"/>
      <c r="P67" s="167"/>
      <c r="Q67" s="183"/>
      <c r="T67" s="42"/>
      <c r="V67" s="42"/>
    </row>
    <row r="68" spans="1:22" hidden="1" outlineLevel="1" x14ac:dyDescent="0.2">
      <c r="A68" s="165">
        <f>ROW()</f>
        <v>68</v>
      </c>
      <c r="B68" s="116"/>
      <c r="C68" s="166"/>
      <c r="D68" s="167"/>
      <c r="E68" s="168"/>
      <c r="F68" s="167"/>
      <c r="G68" s="171"/>
      <c r="H68" s="170"/>
      <c r="I68" s="171"/>
      <c r="J68" s="172"/>
      <c r="K68" s="171"/>
      <c r="L68" s="172"/>
      <c r="M68" s="171"/>
      <c r="N68" s="172"/>
      <c r="O68" s="168"/>
      <c r="P68" s="167"/>
      <c r="Q68" s="168"/>
    </row>
    <row r="69" spans="1:22" hidden="1" outlineLevel="1" x14ac:dyDescent="0.2">
      <c r="A69" s="165">
        <f>ROW()</f>
        <v>69</v>
      </c>
      <c r="B69" s="116"/>
      <c r="C69" s="166"/>
      <c r="D69" s="167"/>
      <c r="E69" s="168"/>
      <c r="F69" s="167"/>
      <c r="G69" s="283"/>
      <c r="H69" s="170"/>
      <c r="I69" s="283"/>
      <c r="J69" s="285"/>
      <c r="K69" s="283"/>
      <c r="L69" s="285"/>
      <c r="M69" s="283"/>
      <c r="N69" s="172"/>
      <c r="O69" s="284"/>
      <c r="P69" s="167"/>
      <c r="Q69" s="284"/>
      <c r="S69" s="1309"/>
      <c r="T69" s="1193"/>
      <c r="U69" s="1309"/>
      <c r="V69" s="1193"/>
    </row>
    <row r="70" spans="1:22" hidden="1" outlineLevel="1" x14ac:dyDescent="0.2">
      <c r="A70" s="165">
        <f>ROW()</f>
        <v>70</v>
      </c>
      <c r="B70" s="116"/>
      <c r="C70" s="166"/>
      <c r="D70" s="167"/>
      <c r="E70" s="168"/>
      <c r="F70" s="167"/>
      <c r="G70" s="283"/>
      <c r="H70" s="170"/>
      <c r="I70" s="283"/>
      <c r="J70" s="286"/>
      <c r="K70" s="283"/>
      <c r="L70" s="286"/>
      <c r="M70" s="283"/>
      <c r="N70" s="287"/>
      <c r="O70" s="284"/>
      <c r="P70" s="287"/>
      <c r="Q70" s="284"/>
      <c r="S70" s="1309"/>
      <c r="T70" s="1193"/>
      <c r="U70" s="1309"/>
      <c r="V70" s="1193"/>
    </row>
    <row r="71" spans="1:22" ht="13.5" collapsed="1" x14ac:dyDescent="0.25">
      <c r="A71" s="165">
        <f>ROW()</f>
        <v>71</v>
      </c>
      <c r="B71" s="116" t="s">
        <v>121</v>
      </c>
      <c r="C71" s="166"/>
      <c r="D71" s="167"/>
      <c r="E71" s="168"/>
      <c r="F71" s="167"/>
      <c r="G71" s="288"/>
      <c r="H71" s="170"/>
      <c r="I71" s="283"/>
      <c r="J71" s="289" t="s">
        <v>122</v>
      </c>
      <c r="K71" s="280">
        <f>K65</f>
        <v>251001779.5185765</v>
      </c>
      <c r="L71" s="289" t="s">
        <v>123</v>
      </c>
      <c r="M71" s="280">
        <f>M65-K65</f>
        <v>26336767.467309237</v>
      </c>
      <c r="N71" s="1318" t="s">
        <v>856</v>
      </c>
      <c r="O71" s="1329"/>
      <c r="P71" s="1318" t="s">
        <v>855</v>
      </c>
      <c r="Q71" s="1329"/>
      <c r="S71" s="1313"/>
      <c r="T71" s="1316"/>
      <c r="U71" s="1313"/>
      <c r="V71" s="1316"/>
    </row>
    <row r="72" spans="1:22" ht="13.5" hidden="1" outlineLevel="1" x14ac:dyDescent="0.25">
      <c r="A72" s="165">
        <f>ROW()</f>
        <v>72</v>
      </c>
      <c r="B72" s="116"/>
      <c r="C72" s="166"/>
      <c r="D72" s="167"/>
      <c r="E72" s="168"/>
      <c r="F72" s="167"/>
      <c r="G72" s="288"/>
      <c r="H72" s="170"/>
      <c r="I72" s="283"/>
      <c r="J72" s="289"/>
      <c r="K72" s="280"/>
      <c r="L72" s="291"/>
      <c r="M72" s="290"/>
      <c r="N72" s="1318"/>
      <c r="O72" s="1329"/>
      <c r="P72" s="1318"/>
      <c r="Q72" s="1329"/>
      <c r="S72" s="1313"/>
      <c r="T72" s="1316"/>
      <c r="U72" s="919"/>
      <c r="V72" s="1316"/>
    </row>
    <row r="73" spans="1:22" ht="13.5" hidden="1" outlineLevel="1" x14ac:dyDescent="0.25">
      <c r="A73" s="165">
        <f>ROW()</f>
        <v>73</v>
      </c>
      <c r="B73" s="116" t="s">
        <v>124</v>
      </c>
      <c r="C73" s="166"/>
      <c r="D73" s="167"/>
      <c r="E73" s="168"/>
      <c r="F73" s="167"/>
      <c r="G73" s="284"/>
      <c r="H73" s="170"/>
      <c r="I73" s="283"/>
      <c r="J73" s="289"/>
      <c r="K73" s="280"/>
      <c r="L73" s="291"/>
      <c r="M73" s="290"/>
      <c r="N73" s="1331"/>
      <c r="O73" s="1329"/>
      <c r="P73" s="1330"/>
      <c r="Q73" s="1329"/>
      <c r="S73" s="1313"/>
      <c r="T73" s="1316"/>
      <c r="U73" s="919"/>
      <c r="V73" s="1316"/>
    </row>
    <row r="74" spans="1:22" ht="13.5" hidden="1" outlineLevel="1" x14ac:dyDescent="0.25">
      <c r="A74" s="165">
        <f>ROW()</f>
        <v>74</v>
      </c>
      <c r="B74" s="116" t="s">
        <v>854</v>
      </c>
      <c r="C74" s="166"/>
      <c r="D74" s="167"/>
      <c r="E74" s="168"/>
      <c r="F74" s="167"/>
      <c r="G74" s="284"/>
      <c r="H74" s="170"/>
      <c r="I74" s="283"/>
      <c r="J74" s="289"/>
      <c r="K74" s="294"/>
      <c r="L74" s="292"/>
      <c r="M74" s="293"/>
      <c r="N74" s="1328"/>
      <c r="O74" s="1323">
        <f>O71-O75</f>
        <v>0</v>
      </c>
      <c r="P74" s="1327"/>
      <c r="Q74" s="1323">
        <f>Q71-Q75</f>
        <v>0</v>
      </c>
      <c r="S74" s="1313"/>
      <c r="T74" s="1052"/>
      <c r="U74" s="619"/>
      <c r="V74" s="1052"/>
    </row>
    <row r="75" spans="1:22" ht="13.5" hidden="1" outlineLevel="1" x14ac:dyDescent="0.25">
      <c r="A75" s="165">
        <f>ROW()</f>
        <v>75</v>
      </c>
      <c r="B75" s="116" t="s">
        <v>853</v>
      </c>
      <c r="C75" s="166"/>
      <c r="D75" s="167"/>
      <c r="E75" s="168"/>
      <c r="F75" s="167"/>
      <c r="G75" s="284"/>
      <c r="H75" s="170"/>
      <c r="I75" s="283"/>
      <c r="J75" s="289"/>
      <c r="K75" s="294"/>
      <c r="L75" s="295"/>
      <c r="M75" s="293"/>
      <c r="N75" s="1328"/>
      <c r="O75" s="1323"/>
      <c r="P75" s="1327"/>
      <c r="Q75" s="1323"/>
      <c r="S75" s="1313"/>
      <c r="T75" s="1052"/>
      <c r="U75" s="1326"/>
      <c r="V75" s="1052"/>
    </row>
    <row r="76" spans="1:22" ht="13.5" hidden="1" outlineLevel="1" x14ac:dyDescent="0.25">
      <c r="A76" s="165">
        <f>ROW()</f>
        <v>76</v>
      </c>
      <c r="B76" s="296" t="s">
        <v>127</v>
      </c>
      <c r="C76" s="166"/>
      <c r="D76" s="167"/>
      <c r="E76" s="168"/>
      <c r="F76" s="167"/>
      <c r="G76" s="284"/>
      <c r="H76" s="170"/>
      <c r="I76" s="283"/>
      <c r="J76" s="289"/>
      <c r="K76" s="297">
        <f>K71</f>
        <v>251001779.5185765</v>
      </c>
      <c r="L76" s="291"/>
      <c r="M76" s="1325">
        <f>M71</f>
        <v>26336767.467309237</v>
      </c>
      <c r="N76" s="1322"/>
      <c r="O76" s="1324">
        <f>O71</f>
        <v>0</v>
      </c>
      <c r="P76" s="1322"/>
      <c r="Q76" s="1324">
        <f>Q71</f>
        <v>0</v>
      </c>
      <c r="S76" s="1313"/>
      <c r="T76" s="1052"/>
      <c r="U76" s="919"/>
      <c r="V76" s="1052"/>
    </row>
    <row r="77" spans="1:22" ht="13.5" hidden="1" outlineLevel="1" x14ac:dyDescent="0.25">
      <c r="A77" s="165">
        <f>ROW()</f>
        <v>77</v>
      </c>
      <c r="B77" s="116"/>
      <c r="C77" s="166"/>
      <c r="D77" s="167"/>
      <c r="E77" s="168"/>
      <c r="F77" s="167"/>
      <c r="G77" s="298"/>
      <c r="H77" s="170"/>
      <c r="I77" s="283"/>
      <c r="J77" s="289"/>
      <c r="K77" s="294"/>
      <c r="L77" s="291"/>
      <c r="M77" s="293"/>
      <c r="N77" s="1322"/>
      <c r="O77" s="1323"/>
      <c r="P77" s="1322"/>
      <c r="Q77" s="1323"/>
      <c r="S77" s="1313"/>
      <c r="T77" s="1052"/>
      <c r="U77" s="919"/>
      <c r="V77" s="1052"/>
    </row>
    <row r="78" spans="1:22" ht="13.5" hidden="1" outlineLevel="1" x14ac:dyDescent="0.25">
      <c r="A78" s="165">
        <f>ROW()</f>
        <v>78</v>
      </c>
      <c r="B78" s="116"/>
      <c r="C78" s="166"/>
      <c r="D78" s="167"/>
      <c r="E78" s="168"/>
      <c r="F78" s="167"/>
      <c r="G78" s="298"/>
      <c r="H78" s="170"/>
      <c r="I78" s="283"/>
      <c r="J78" s="289"/>
      <c r="K78" s="294"/>
      <c r="L78" s="291"/>
      <c r="M78" s="293"/>
      <c r="N78" s="1322"/>
      <c r="O78" s="1320"/>
      <c r="P78" s="1322"/>
      <c r="Q78" s="1320"/>
      <c r="S78" s="1313"/>
      <c r="T78" s="1052"/>
      <c r="U78" s="919"/>
      <c r="V78" s="1052"/>
    </row>
    <row r="79" spans="1:22" ht="13.5" collapsed="1" x14ac:dyDescent="0.25">
      <c r="A79" s="165">
        <f>ROW()</f>
        <v>79</v>
      </c>
      <c r="B79" s="116" t="s">
        <v>128</v>
      </c>
      <c r="C79" s="166"/>
      <c r="D79" s="167"/>
      <c r="E79" s="168"/>
      <c r="F79" s="167"/>
      <c r="G79" s="298"/>
      <c r="H79" s="170"/>
      <c r="I79" s="283"/>
      <c r="J79" s="289"/>
      <c r="K79" s="294">
        <f>'SEF-33 pg 1-2'!C31</f>
        <v>-52544391.10847839</v>
      </c>
      <c r="L79" s="300"/>
      <c r="M79" s="293">
        <f>'SEF-33 pg 1-2'!D31-M78</f>
        <v>0</v>
      </c>
      <c r="N79" s="1321"/>
      <c r="O79" s="1320"/>
      <c r="P79" s="1321"/>
      <c r="Q79" s="1320">
        <f>'SEF-33 pg 1-2'!I34-Q78</f>
        <v>0</v>
      </c>
      <c r="S79" s="1313"/>
      <c r="T79" s="1052"/>
      <c r="U79" s="1312"/>
      <c r="V79" s="1052"/>
    </row>
    <row r="80" spans="1:22" ht="13.5" x14ac:dyDescent="0.25">
      <c r="A80" s="165">
        <f>ROW()</f>
        <v>80</v>
      </c>
      <c r="B80" s="116"/>
      <c r="C80" s="166"/>
      <c r="D80" s="167"/>
      <c r="E80" s="168"/>
      <c r="F80" s="167"/>
      <c r="G80" s="298"/>
      <c r="H80" s="170"/>
      <c r="I80" s="283"/>
      <c r="J80" s="289"/>
      <c r="K80" s="1319"/>
      <c r="L80" s="300"/>
      <c r="M80" s="299"/>
      <c r="N80" s="1318"/>
      <c r="O80" s="1317"/>
      <c r="P80" s="1318"/>
      <c r="Q80" s="1317"/>
      <c r="S80" s="1313"/>
      <c r="T80" s="1316"/>
      <c r="U80" s="1312"/>
      <c r="V80" s="1316"/>
    </row>
    <row r="81" spans="1:22" ht="14.25" thickBot="1" x14ac:dyDescent="0.3">
      <c r="A81" s="165">
        <f>ROW()</f>
        <v>81</v>
      </c>
      <c r="B81" s="116" t="s">
        <v>129</v>
      </c>
      <c r="C81" s="166"/>
      <c r="D81" s="167"/>
      <c r="E81" s="168"/>
      <c r="F81" s="167"/>
      <c r="G81" s="298"/>
      <c r="H81" s="170"/>
      <c r="I81" s="283"/>
      <c r="J81" s="289"/>
      <c r="K81" s="237">
        <f>K71+K79</f>
        <v>198457388.41009811</v>
      </c>
      <c r="L81" s="300"/>
      <c r="M81" s="237">
        <f>M71+M79</f>
        <v>26336767.467309237</v>
      </c>
      <c r="N81" s="1315"/>
      <c r="O81" s="1314">
        <f>SUM(O76:O80)</f>
        <v>0</v>
      </c>
      <c r="P81" s="1315"/>
      <c r="Q81" s="1314">
        <f>SUM(Q76:Q80)</f>
        <v>0</v>
      </c>
      <c r="S81" s="1313"/>
      <c r="T81" s="1193"/>
      <c r="U81" s="1312"/>
      <c r="V81" s="1193"/>
    </row>
    <row r="82" spans="1:22" ht="13.5" thickTop="1" x14ac:dyDescent="0.2">
      <c r="A82" s="1311">
        <f>ROW()</f>
        <v>82</v>
      </c>
      <c r="B82" s="1310"/>
      <c r="C82" s="303"/>
      <c r="D82" s="304"/>
      <c r="E82" s="305"/>
      <c r="F82" s="304"/>
      <c r="G82" s="306"/>
      <c r="H82" s="307"/>
      <c r="I82" s="308"/>
      <c r="J82" s="309"/>
      <c r="K82" s="310"/>
      <c r="L82" s="309"/>
      <c r="M82" s="310"/>
      <c r="N82" s="309"/>
      <c r="O82" s="310"/>
      <c r="P82" s="309"/>
      <c r="Q82" s="310"/>
      <c r="S82" s="1309"/>
      <c r="T82" s="21"/>
      <c r="U82" s="1309"/>
      <c r="V82" s="21"/>
    </row>
    <row r="83" spans="1:22" ht="13.5" x14ac:dyDescent="0.25">
      <c r="A83" s="65" t="s">
        <v>30</v>
      </c>
      <c r="B83" s="88"/>
    </row>
    <row r="84" spans="1:22" x14ac:dyDescent="0.2">
      <c r="B84" s="1308" t="s">
        <v>852</v>
      </c>
      <c r="C84" s="1307">
        <f>'SEF-34 pg 2-36'!D47-C47</f>
        <v>0</v>
      </c>
      <c r="D84" s="1308"/>
      <c r="E84" s="1307">
        <f>'SEF-34 pg 2-36'!BB47-E47</f>
        <v>0</v>
      </c>
      <c r="F84" s="1308"/>
      <c r="G84" s="1307">
        <f>'SEF-34 pg 2-36'!BB108-G47</f>
        <v>0</v>
      </c>
      <c r="H84" s="1308"/>
      <c r="I84" s="1307">
        <f>'SEF-34 pg 2-36'!BB169-I47</f>
        <v>0</v>
      </c>
      <c r="J84" s="1308"/>
      <c r="K84" s="1307">
        <f>'SEF-34 pg 2-36'!BB230-K47</f>
        <v>0</v>
      </c>
      <c r="L84" s="1308"/>
      <c r="M84" s="1307">
        <f>'SEF-34 pg 2-36'!BB291-M47</f>
        <v>0</v>
      </c>
      <c r="N84" s="1307"/>
      <c r="O84" s="1307">
        <f>'SEF-34 pg 2-36'!BB352-O47</f>
        <v>0</v>
      </c>
      <c r="P84" s="1308"/>
      <c r="Q84" s="1307"/>
    </row>
    <row r="85" spans="1:22" x14ac:dyDescent="0.2">
      <c r="B85" s="1308" t="s">
        <v>851</v>
      </c>
      <c r="C85" s="1307">
        <f>'SEF-34 pg 2-36'!D60-C58</f>
        <v>0</v>
      </c>
      <c r="D85" s="1308"/>
      <c r="E85" s="1307">
        <f>'SEF-34 pg 2-36'!BB60-E58</f>
        <v>0</v>
      </c>
      <c r="F85" s="1308"/>
      <c r="G85" s="1307">
        <f>'SEF-34 pg 2-36'!BB121-G58</f>
        <v>0</v>
      </c>
      <c r="H85" s="1308"/>
      <c r="I85" s="1307">
        <f>'SEF-34 pg 2-36'!BB182-I58</f>
        <v>0</v>
      </c>
      <c r="J85" s="1308"/>
      <c r="K85" s="1307">
        <f>'SEF-34 pg 2-36'!BB243-K58</f>
        <v>0</v>
      </c>
      <c r="L85" s="1308"/>
      <c r="M85" s="1307">
        <f>'SEF-34 pg 2-36'!BB304-M58</f>
        <v>0</v>
      </c>
      <c r="N85" s="1307"/>
      <c r="O85" s="1307">
        <f>'SEF-34 pg 2-36'!BB365-O58</f>
        <v>0</v>
      </c>
      <c r="P85" s="1308"/>
      <c r="Q85" s="1307">
        <f>'SEF-34 pg 2-36'!BB426-Q58</f>
        <v>0</v>
      </c>
    </row>
    <row r="86" spans="1:22" x14ac:dyDescent="0.2">
      <c r="B86" s="1308" t="s">
        <v>850</v>
      </c>
      <c r="C86" s="1307"/>
      <c r="D86" s="1308"/>
      <c r="E86" s="1307"/>
      <c r="F86" s="1308"/>
      <c r="G86" s="1307"/>
      <c r="H86" s="1308"/>
      <c r="I86" s="1307"/>
      <c r="J86" s="1308"/>
      <c r="K86" s="1307"/>
      <c r="L86" s="1308"/>
      <c r="M86" s="1307"/>
      <c r="N86" s="1307"/>
      <c r="O86" s="1307"/>
      <c r="P86" s="1308"/>
      <c r="Q86" s="1307"/>
    </row>
    <row r="89" spans="1:22" customFormat="1" ht="15" x14ac:dyDescent="0.25">
      <c r="B89" s="88"/>
      <c r="C89" s="102"/>
      <c r="D89" s="102"/>
      <c r="E89" s="102"/>
      <c r="F89" s="102"/>
      <c r="S89" s="99"/>
      <c r="T89" s="99"/>
      <c r="U89" s="99"/>
      <c r="V89" s="99"/>
    </row>
    <row r="90" spans="1:22" customFormat="1" ht="15" x14ac:dyDescent="0.25">
      <c r="C90" s="102"/>
      <c r="D90" s="102"/>
      <c r="E90" s="102"/>
      <c r="F90" s="102"/>
      <c r="S90" s="99"/>
      <c r="T90" s="99"/>
      <c r="U90" s="99"/>
      <c r="V90" s="99"/>
    </row>
    <row r="91" spans="1:22" customFormat="1" ht="15" x14ac:dyDescent="0.25">
      <c r="S91" s="99"/>
      <c r="T91" s="99"/>
      <c r="U91" s="99"/>
      <c r="V91" s="99"/>
    </row>
    <row r="92" spans="1:22" customFormat="1" ht="15" x14ac:dyDescent="0.25">
      <c r="S92" s="99"/>
      <c r="T92" s="99"/>
      <c r="U92" s="99"/>
      <c r="V92" s="99"/>
    </row>
    <row r="93" spans="1:22" customFormat="1" ht="15" x14ac:dyDescent="0.25">
      <c r="S93" s="99"/>
      <c r="T93" s="99"/>
      <c r="U93" s="99"/>
      <c r="V93" s="99"/>
    </row>
    <row r="94" spans="1:22" customFormat="1" ht="15" x14ac:dyDescent="0.25">
      <c r="S94" s="99"/>
      <c r="T94" s="99"/>
      <c r="U94" s="99"/>
      <c r="V94" s="99"/>
    </row>
    <row r="95" spans="1:22" customFormat="1" ht="15" x14ac:dyDescent="0.25">
      <c r="S95" s="99"/>
      <c r="T95" s="99"/>
      <c r="U95" s="99"/>
      <c r="V95" s="99"/>
    </row>
    <row r="96" spans="1:22" customFormat="1" ht="15" x14ac:dyDescent="0.25">
      <c r="S96" s="99"/>
      <c r="T96" s="99"/>
      <c r="U96" s="99"/>
      <c r="V96" s="99"/>
    </row>
    <row r="97" spans="19:22" customFormat="1" ht="15" x14ac:dyDescent="0.25">
      <c r="S97" s="99"/>
      <c r="T97" s="99"/>
      <c r="U97" s="99"/>
      <c r="V97" s="99"/>
    </row>
    <row r="98" spans="19:22" customFormat="1" ht="15" x14ac:dyDescent="0.25">
      <c r="S98" s="99"/>
      <c r="T98" s="99"/>
      <c r="U98" s="99"/>
      <c r="V98" s="99"/>
    </row>
    <row r="99" spans="19:22" customFormat="1" ht="15" x14ac:dyDescent="0.25">
      <c r="S99" s="99"/>
      <c r="T99" s="99"/>
      <c r="U99" s="99"/>
      <c r="V99" s="99"/>
    </row>
    <row r="100" spans="19:22" customFormat="1" ht="15" x14ac:dyDescent="0.25">
      <c r="S100" s="99"/>
      <c r="T100" s="99"/>
      <c r="U100" s="99"/>
      <c r="V100" s="99"/>
    </row>
    <row r="101" spans="19:22" customFormat="1" ht="15" x14ac:dyDescent="0.25">
      <c r="S101" s="99"/>
      <c r="T101" s="99"/>
      <c r="U101" s="99"/>
      <c r="V101" s="99"/>
    </row>
    <row r="102" spans="19:22" customFormat="1" ht="15" x14ac:dyDescent="0.25">
      <c r="S102" s="99"/>
      <c r="T102" s="99"/>
      <c r="U102" s="99"/>
      <c r="V102" s="99"/>
    </row>
    <row r="103" spans="19:22" customFormat="1" ht="15" x14ac:dyDescent="0.25">
      <c r="S103" s="99"/>
      <c r="T103" s="99"/>
      <c r="U103" s="99"/>
      <c r="V103" s="99"/>
    </row>
    <row r="104" spans="19:22" customFormat="1" ht="15" x14ac:dyDescent="0.25">
      <c r="S104" s="99"/>
      <c r="T104" s="99"/>
      <c r="U104" s="99"/>
      <c r="V104" s="99"/>
    </row>
    <row r="105" spans="19:22" customFormat="1" ht="15" x14ac:dyDescent="0.25">
      <c r="S105" s="99"/>
      <c r="T105" s="99"/>
      <c r="U105" s="99"/>
      <c r="V105" s="99"/>
    </row>
    <row r="106" spans="19:22" customFormat="1" ht="15" x14ac:dyDescent="0.25">
      <c r="S106" s="99"/>
      <c r="T106" s="99"/>
      <c r="U106" s="99"/>
      <c r="V106" s="99"/>
    </row>
    <row r="107" spans="19:22" customFormat="1" ht="15" x14ac:dyDescent="0.25">
      <c r="S107" s="99"/>
      <c r="T107" s="99"/>
      <c r="U107" s="99"/>
      <c r="V107" s="99"/>
    </row>
    <row r="108" spans="19:22" customFormat="1" ht="15" x14ac:dyDescent="0.25">
      <c r="S108" s="99"/>
      <c r="T108" s="99"/>
      <c r="U108" s="99"/>
      <c r="V108" s="99"/>
    </row>
    <row r="109" spans="19:22" customFormat="1" ht="15" x14ac:dyDescent="0.25">
      <c r="S109" s="99"/>
      <c r="T109" s="99"/>
      <c r="U109" s="99"/>
      <c r="V109" s="99"/>
    </row>
    <row r="110" spans="19:22" customFormat="1" ht="15" x14ac:dyDescent="0.25">
      <c r="S110" s="99"/>
      <c r="T110" s="99"/>
      <c r="U110" s="99"/>
      <c r="V110" s="99"/>
    </row>
    <row r="111" spans="19:22" customFormat="1" ht="15" x14ac:dyDescent="0.25">
      <c r="S111" s="99"/>
      <c r="T111" s="99"/>
      <c r="U111" s="99"/>
      <c r="V111" s="99"/>
    </row>
    <row r="112" spans="19:22" customFormat="1" ht="15" x14ac:dyDescent="0.25">
      <c r="S112" s="99"/>
      <c r="T112" s="99"/>
      <c r="U112" s="99"/>
      <c r="V112" s="99"/>
    </row>
    <row r="113" spans="19:22" customFormat="1" ht="15" x14ac:dyDescent="0.25">
      <c r="S113" s="99"/>
      <c r="T113" s="99"/>
      <c r="U113" s="99"/>
      <c r="V113" s="99"/>
    </row>
    <row r="114" spans="19:22" customFormat="1" ht="15" x14ac:dyDescent="0.25">
      <c r="S114" s="99"/>
      <c r="T114" s="99"/>
      <c r="U114" s="99"/>
      <c r="V114" s="99"/>
    </row>
    <row r="115" spans="19:22" customFormat="1" ht="15" x14ac:dyDescent="0.25">
      <c r="S115" s="99"/>
      <c r="T115" s="99"/>
      <c r="U115" s="99"/>
      <c r="V115" s="99"/>
    </row>
    <row r="116" spans="19:22" customFormat="1" ht="15" x14ac:dyDescent="0.25">
      <c r="S116" s="99"/>
      <c r="T116" s="99"/>
      <c r="U116" s="99"/>
      <c r="V116" s="99"/>
    </row>
    <row r="117" spans="19:22" customFormat="1" ht="15" x14ac:dyDescent="0.25">
      <c r="S117" s="99"/>
      <c r="T117" s="99"/>
      <c r="U117" s="99"/>
      <c r="V117" s="99"/>
    </row>
    <row r="118" spans="19:22" customFormat="1" ht="15" x14ac:dyDescent="0.25">
      <c r="S118" s="99"/>
      <c r="T118" s="99"/>
      <c r="U118" s="99"/>
      <c r="V118" s="99"/>
    </row>
    <row r="119" spans="19:22" customFormat="1" ht="15" x14ac:dyDescent="0.25">
      <c r="S119" s="99"/>
      <c r="T119" s="99"/>
      <c r="U119" s="99"/>
      <c r="V119" s="99"/>
    </row>
    <row r="120" spans="19:22" customFormat="1" ht="15" x14ac:dyDescent="0.25">
      <c r="S120" s="99"/>
      <c r="T120" s="99"/>
      <c r="U120" s="99"/>
      <c r="V120" s="99"/>
    </row>
    <row r="121" spans="19:22" customFormat="1" ht="15" x14ac:dyDescent="0.25">
      <c r="S121" s="99"/>
      <c r="T121" s="99"/>
      <c r="U121" s="99"/>
      <c r="V121" s="99"/>
    </row>
    <row r="122" spans="19:22" customFormat="1" ht="15" x14ac:dyDescent="0.25">
      <c r="S122" s="99"/>
      <c r="T122" s="99"/>
      <c r="U122" s="99"/>
      <c r="V122" s="99"/>
    </row>
    <row r="123" spans="19:22" customFormat="1" ht="15" x14ac:dyDescent="0.25">
      <c r="S123" s="99"/>
      <c r="T123" s="99"/>
      <c r="U123" s="99"/>
      <c r="V123" s="99"/>
    </row>
    <row r="124" spans="19:22" customFormat="1" ht="15" x14ac:dyDescent="0.25">
      <c r="S124" s="99"/>
      <c r="T124" s="99"/>
      <c r="U124" s="99"/>
      <c r="V124" s="99"/>
    </row>
    <row r="125" spans="19:22" customFormat="1" ht="15" x14ac:dyDescent="0.25">
      <c r="S125" s="99"/>
      <c r="T125" s="99"/>
      <c r="U125" s="99"/>
      <c r="V125" s="99"/>
    </row>
    <row r="126" spans="19:22" customFormat="1" ht="15" x14ac:dyDescent="0.25">
      <c r="S126" s="99"/>
      <c r="T126" s="99"/>
      <c r="U126" s="99"/>
      <c r="V126" s="99"/>
    </row>
    <row r="127" spans="19:22" customFormat="1" ht="15" x14ac:dyDescent="0.25">
      <c r="S127" s="99"/>
      <c r="T127" s="99"/>
      <c r="U127" s="99"/>
      <c r="V127" s="99"/>
    </row>
    <row r="128" spans="19:22" customFormat="1" ht="15" x14ac:dyDescent="0.25">
      <c r="S128" s="99"/>
      <c r="T128" s="99"/>
      <c r="U128" s="99"/>
      <c r="V128" s="99"/>
    </row>
    <row r="129" spans="19:22" customFormat="1" ht="15" x14ac:dyDescent="0.25">
      <c r="S129" s="99"/>
      <c r="T129" s="99"/>
      <c r="U129" s="99"/>
      <c r="V129" s="99"/>
    </row>
    <row r="130" spans="19:22" customFormat="1" ht="15" x14ac:dyDescent="0.25">
      <c r="S130" s="99"/>
      <c r="T130" s="99"/>
      <c r="U130" s="99"/>
      <c r="V130" s="99"/>
    </row>
    <row r="131" spans="19:22" customFormat="1" ht="15" x14ac:dyDescent="0.25">
      <c r="S131" s="99"/>
      <c r="T131" s="99"/>
      <c r="U131" s="99"/>
      <c r="V131" s="99"/>
    </row>
    <row r="132" spans="19:22" customFormat="1" ht="15" x14ac:dyDescent="0.25">
      <c r="S132" s="99"/>
      <c r="T132" s="99"/>
      <c r="U132" s="99"/>
      <c r="V132" s="99"/>
    </row>
    <row r="133" spans="19:22" customFormat="1" ht="15" x14ac:dyDescent="0.25">
      <c r="S133" s="99"/>
      <c r="T133" s="99"/>
      <c r="U133" s="99"/>
      <c r="V133" s="99"/>
    </row>
    <row r="134" spans="19:22" customFormat="1" ht="15" x14ac:dyDescent="0.25">
      <c r="S134" s="99"/>
      <c r="T134" s="99"/>
      <c r="U134" s="99"/>
      <c r="V134" s="99"/>
    </row>
    <row r="135" spans="19:22" customFormat="1" ht="15" x14ac:dyDescent="0.25">
      <c r="S135" s="99"/>
      <c r="T135" s="99"/>
      <c r="U135" s="99"/>
      <c r="V135" s="99"/>
    </row>
    <row r="136" spans="19:22" customFormat="1" ht="15" x14ac:dyDescent="0.25">
      <c r="S136" s="99"/>
      <c r="T136" s="99"/>
      <c r="U136" s="99"/>
      <c r="V136" s="99"/>
    </row>
    <row r="137" spans="19:22" customFormat="1" ht="15" x14ac:dyDescent="0.25">
      <c r="S137" s="99"/>
      <c r="T137" s="99"/>
      <c r="U137" s="99"/>
      <c r="V137" s="99"/>
    </row>
    <row r="138" spans="19:22" customFormat="1" ht="15" x14ac:dyDescent="0.25">
      <c r="S138" s="99"/>
      <c r="T138" s="99"/>
      <c r="U138" s="99"/>
      <c r="V138" s="99"/>
    </row>
    <row r="139" spans="19:22" customFormat="1" ht="15" x14ac:dyDescent="0.25">
      <c r="S139" s="99"/>
      <c r="T139" s="99"/>
      <c r="U139" s="99"/>
      <c r="V139" s="99"/>
    </row>
    <row r="140" spans="19:22" customFormat="1" ht="15" x14ac:dyDescent="0.25">
      <c r="S140" s="99"/>
      <c r="T140" s="99"/>
      <c r="U140" s="99"/>
      <c r="V140" s="99"/>
    </row>
    <row r="141" spans="19:22" customFormat="1" ht="15" x14ac:dyDescent="0.25">
      <c r="S141" s="99"/>
      <c r="T141" s="99"/>
      <c r="U141" s="99"/>
      <c r="V141" s="99"/>
    </row>
    <row r="142" spans="19:22" customFormat="1" ht="15" x14ac:dyDescent="0.25">
      <c r="S142" s="99"/>
      <c r="T142" s="99"/>
      <c r="U142" s="99"/>
      <c r="V142" s="99"/>
    </row>
    <row r="143" spans="19:22" customFormat="1" ht="15" x14ac:dyDescent="0.25">
      <c r="S143" s="99"/>
      <c r="T143" s="99"/>
      <c r="U143" s="99"/>
      <c r="V143" s="99"/>
    </row>
    <row r="144" spans="19:22" customFormat="1" ht="15" x14ac:dyDescent="0.25">
      <c r="S144" s="99"/>
      <c r="T144" s="99"/>
      <c r="U144" s="99"/>
      <c r="V144" s="99"/>
    </row>
    <row r="145" spans="19:22" customFormat="1" ht="15" x14ac:dyDescent="0.25">
      <c r="S145" s="99"/>
      <c r="T145" s="99"/>
      <c r="U145" s="99"/>
      <c r="V145" s="99"/>
    </row>
    <row r="146" spans="19:22" customFormat="1" ht="15" x14ac:dyDescent="0.25">
      <c r="S146" s="99"/>
      <c r="T146" s="99"/>
      <c r="U146" s="99"/>
      <c r="V146" s="99"/>
    </row>
    <row r="147" spans="19:22" customFormat="1" ht="15" x14ac:dyDescent="0.25">
      <c r="S147" s="99"/>
      <c r="T147" s="99"/>
      <c r="U147" s="99"/>
      <c r="V147" s="99"/>
    </row>
    <row r="148" spans="19:22" customFormat="1" ht="15" x14ac:dyDescent="0.25">
      <c r="S148" s="99"/>
      <c r="T148" s="99"/>
      <c r="U148" s="99"/>
      <c r="V148" s="99"/>
    </row>
    <row r="149" spans="19:22" customFormat="1" ht="15" x14ac:dyDescent="0.25">
      <c r="S149" s="99"/>
      <c r="T149" s="99"/>
      <c r="U149" s="99"/>
      <c r="V149" s="99"/>
    </row>
    <row r="150" spans="19:22" customFormat="1" ht="15" x14ac:dyDescent="0.25">
      <c r="S150" s="99"/>
      <c r="T150" s="99"/>
      <c r="U150" s="99"/>
      <c r="V150" s="99"/>
    </row>
    <row r="151" spans="19:22" customFormat="1" ht="15" x14ac:dyDescent="0.25">
      <c r="S151" s="99"/>
      <c r="T151" s="99"/>
      <c r="U151" s="99"/>
      <c r="V151" s="99"/>
    </row>
    <row r="152" spans="19:22" customFormat="1" ht="15" x14ac:dyDescent="0.25">
      <c r="S152" s="99"/>
      <c r="T152" s="99"/>
      <c r="U152" s="99"/>
      <c r="V152" s="99"/>
    </row>
    <row r="153" spans="19:22" customFormat="1" ht="15" x14ac:dyDescent="0.25">
      <c r="S153" s="99"/>
      <c r="T153" s="99"/>
      <c r="U153" s="99"/>
      <c r="V153" s="99"/>
    </row>
    <row r="154" spans="19:22" customFormat="1" ht="15" x14ac:dyDescent="0.25">
      <c r="S154" s="99"/>
      <c r="T154" s="99"/>
      <c r="U154" s="99"/>
      <c r="V154" s="99"/>
    </row>
    <row r="155" spans="19:22" customFormat="1" ht="15" x14ac:dyDescent="0.25">
      <c r="S155" s="99"/>
      <c r="T155" s="99"/>
      <c r="U155" s="99"/>
      <c r="V155" s="99"/>
    </row>
    <row r="156" spans="19:22" customFormat="1" ht="15" x14ac:dyDescent="0.25">
      <c r="S156" s="99"/>
      <c r="T156" s="99"/>
      <c r="U156" s="99"/>
      <c r="V156" s="99"/>
    </row>
    <row r="157" spans="19:22" customFormat="1" ht="15" x14ac:dyDescent="0.25">
      <c r="S157" s="99"/>
      <c r="T157" s="99"/>
      <c r="U157" s="99"/>
      <c r="V157" s="99"/>
    </row>
    <row r="158" spans="19:22" customFormat="1" ht="15" x14ac:dyDescent="0.25">
      <c r="S158" s="99"/>
      <c r="T158" s="99"/>
      <c r="U158" s="99"/>
      <c r="V158" s="99"/>
    </row>
    <row r="159" spans="19:22" customFormat="1" ht="15" x14ac:dyDescent="0.25">
      <c r="S159" s="99"/>
      <c r="T159" s="99"/>
      <c r="U159" s="99"/>
      <c r="V159" s="99"/>
    </row>
    <row r="160" spans="19:22" customFormat="1" ht="15" x14ac:dyDescent="0.25">
      <c r="S160" s="99"/>
      <c r="T160" s="99"/>
      <c r="U160" s="99"/>
      <c r="V160" s="99"/>
    </row>
    <row r="161" spans="19:22" customFormat="1" ht="15" x14ac:dyDescent="0.25">
      <c r="S161" s="99"/>
      <c r="T161" s="99"/>
      <c r="U161" s="99"/>
      <c r="V161" s="99"/>
    </row>
    <row r="162" spans="19:22" customFormat="1" ht="15" x14ac:dyDescent="0.25">
      <c r="S162" s="99"/>
      <c r="T162" s="99"/>
      <c r="U162" s="99"/>
      <c r="V162" s="99"/>
    </row>
    <row r="163" spans="19:22" customFormat="1" ht="15" x14ac:dyDescent="0.25">
      <c r="S163" s="99"/>
      <c r="T163" s="99"/>
      <c r="U163" s="99"/>
      <c r="V163" s="99"/>
    </row>
    <row r="164" spans="19:22" customFormat="1" ht="15" x14ac:dyDescent="0.25">
      <c r="S164" s="99"/>
      <c r="T164" s="99"/>
      <c r="U164" s="99"/>
      <c r="V164" s="99"/>
    </row>
    <row r="165" spans="19:22" customFormat="1" ht="15" x14ac:dyDescent="0.25">
      <c r="S165" s="99"/>
      <c r="T165" s="99"/>
      <c r="U165" s="99"/>
      <c r="V165" s="99"/>
    </row>
    <row r="166" spans="19:22" customFormat="1" ht="15" x14ac:dyDescent="0.25">
      <c r="S166" s="99"/>
      <c r="T166" s="99"/>
      <c r="U166" s="99"/>
      <c r="V166" s="99"/>
    </row>
    <row r="167" spans="19:22" customFormat="1" ht="15" x14ac:dyDescent="0.25">
      <c r="S167" s="99"/>
      <c r="T167" s="99"/>
      <c r="U167" s="99"/>
      <c r="V167" s="99"/>
    </row>
    <row r="168" spans="19:22" customFormat="1" ht="15" x14ac:dyDescent="0.25">
      <c r="S168" s="99"/>
      <c r="T168" s="99"/>
      <c r="U168" s="99"/>
      <c r="V168" s="99"/>
    </row>
    <row r="169" spans="19:22" customFormat="1" ht="15" x14ac:dyDescent="0.25">
      <c r="S169" s="99"/>
      <c r="T169" s="99"/>
      <c r="U169" s="99"/>
      <c r="V169" s="99"/>
    </row>
    <row r="170" spans="19:22" customFormat="1" ht="15" x14ac:dyDescent="0.25">
      <c r="S170" s="99"/>
      <c r="T170" s="99"/>
      <c r="U170" s="99"/>
      <c r="V170" s="99"/>
    </row>
    <row r="171" spans="19:22" customFormat="1" ht="15" x14ac:dyDescent="0.25">
      <c r="S171" s="99"/>
      <c r="T171" s="99"/>
      <c r="U171" s="99"/>
      <c r="V171" s="99"/>
    </row>
    <row r="172" spans="19:22" customFormat="1" ht="15" x14ac:dyDescent="0.25">
      <c r="S172" s="99"/>
      <c r="T172" s="99"/>
      <c r="U172" s="99"/>
      <c r="V172" s="99"/>
    </row>
    <row r="173" spans="19:22" customFormat="1" ht="15" x14ac:dyDescent="0.25">
      <c r="S173" s="99"/>
      <c r="T173" s="99"/>
      <c r="U173" s="99"/>
      <c r="V173" s="99"/>
    </row>
    <row r="174" spans="19:22" customFormat="1" ht="15" x14ac:dyDescent="0.25">
      <c r="S174" s="99"/>
      <c r="T174" s="99"/>
      <c r="U174" s="99"/>
      <c r="V174" s="99"/>
    </row>
    <row r="175" spans="19:22" customFormat="1" ht="15" x14ac:dyDescent="0.25">
      <c r="S175" s="99"/>
      <c r="T175" s="99"/>
      <c r="U175" s="99"/>
      <c r="V175" s="99"/>
    </row>
    <row r="176" spans="19:22" customFormat="1" ht="15" x14ac:dyDescent="0.25">
      <c r="S176" s="99"/>
      <c r="T176" s="99"/>
      <c r="U176" s="99"/>
      <c r="V176" s="99"/>
    </row>
    <row r="177" spans="19:22" customFormat="1" ht="15" x14ac:dyDescent="0.25">
      <c r="S177" s="99"/>
      <c r="T177" s="99"/>
      <c r="U177" s="99"/>
      <c r="V177" s="99"/>
    </row>
    <row r="178" spans="19:22" customFormat="1" ht="15" x14ac:dyDescent="0.25">
      <c r="S178" s="99"/>
      <c r="T178" s="99"/>
      <c r="U178" s="99"/>
      <c r="V178" s="99"/>
    </row>
    <row r="179" spans="19:22" customFormat="1" ht="15" x14ac:dyDescent="0.25">
      <c r="S179" s="99"/>
      <c r="T179" s="99"/>
      <c r="U179" s="99"/>
      <c r="V179" s="99"/>
    </row>
    <row r="180" spans="19:22" customFormat="1" ht="15" x14ac:dyDescent="0.25">
      <c r="S180" s="99"/>
      <c r="T180" s="99"/>
      <c r="U180" s="99"/>
      <c r="V180" s="99"/>
    </row>
    <row r="181" spans="19:22" customFormat="1" ht="15" x14ac:dyDescent="0.25">
      <c r="S181" s="99"/>
      <c r="T181" s="99"/>
      <c r="U181" s="99"/>
      <c r="V181" s="99"/>
    </row>
    <row r="182" spans="19:22" customFormat="1" ht="15" x14ac:dyDescent="0.25">
      <c r="S182" s="99"/>
      <c r="T182" s="99"/>
      <c r="U182" s="99"/>
      <c r="V182" s="99"/>
    </row>
    <row r="183" spans="19:22" customFormat="1" ht="15" x14ac:dyDescent="0.25">
      <c r="S183" s="99"/>
      <c r="T183" s="99"/>
      <c r="U183" s="99"/>
      <c r="V183" s="99"/>
    </row>
    <row r="184" spans="19:22" customFormat="1" ht="15" x14ac:dyDescent="0.25">
      <c r="S184" s="99"/>
      <c r="T184" s="99"/>
      <c r="U184" s="99"/>
      <c r="V184" s="99"/>
    </row>
    <row r="185" spans="19:22" customFormat="1" ht="15" x14ac:dyDescent="0.25">
      <c r="S185" s="99"/>
      <c r="T185" s="99"/>
      <c r="U185" s="99"/>
      <c r="V185" s="99"/>
    </row>
    <row r="186" spans="19:22" customFormat="1" ht="15" x14ac:dyDescent="0.25">
      <c r="S186" s="99"/>
      <c r="T186" s="99"/>
      <c r="U186" s="99"/>
      <c r="V186" s="99"/>
    </row>
    <row r="187" spans="19:22" customFormat="1" ht="15" x14ac:dyDescent="0.25">
      <c r="S187" s="99"/>
      <c r="T187" s="99"/>
      <c r="U187" s="99"/>
      <c r="V187" s="99"/>
    </row>
    <row r="188" spans="19:22" customFormat="1" ht="15" x14ac:dyDescent="0.25">
      <c r="S188" s="99"/>
      <c r="T188" s="99"/>
      <c r="U188" s="99"/>
      <c r="V188" s="99"/>
    </row>
    <row r="189" spans="19:22" customFormat="1" ht="15" x14ac:dyDescent="0.25">
      <c r="S189" s="99"/>
      <c r="T189" s="99"/>
      <c r="U189" s="99"/>
      <c r="V189" s="99"/>
    </row>
    <row r="190" spans="19:22" customFormat="1" ht="15" x14ac:dyDescent="0.25">
      <c r="S190" s="99"/>
      <c r="T190" s="99"/>
      <c r="U190" s="99"/>
      <c r="V190" s="99"/>
    </row>
    <row r="191" spans="19:22" customFormat="1" ht="15" x14ac:dyDescent="0.25">
      <c r="S191" s="99"/>
      <c r="T191" s="99"/>
      <c r="U191" s="99"/>
      <c r="V191" s="99"/>
    </row>
    <row r="192" spans="19:22" customFormat="1" ht="15" x14ac:dyDescent="0.25">
      <c r="S192" s="99"/>
      <c r="T192" s="99"/>
      <c r="U192" s="99"/>
      <c r="V192" s="99"/>
    </row>
    <row r="193" spans="19:22" customFormat="1" ht="15" x14ac:dyDescent="0.25">
      <c r="S193" s="99"/>
      <c r="T193" s="99"/>
      <c r="U193" s="99"/>
      <c r="V193" s="99"/>
    </row>
    <row r="194" spans="19:22" customFormat="1" ht="15" x14ac:dyDescent="0.25">
      <c r="S194" s="99"/>
      <c r="T194" s="99"/>
      <c r="U194" s="99"/>
      <c r="V194" s="99"/>
    </row>
    <row r="195" spans="19:22" customFormat="1" ht="15" x14ac:dyDescent="0.25">
      <c r="S195" s="99"/>
      <c r="T195" s="99"/>
      <c r="U195" s="99"/>
      <c r="V195" s="99"/>
    </row>
    <row r="196" spans="19:22" customFormat="1" ht="15" x14ac:dyDescent="0.25">
      <c r="S196" s="99"/>
      <c r="T196" s="99"/>
      <c r="U196" s="99"/>
      <c r="V196" s="99"/>
    </row>
    <row r="197" spans="19:22" customFormat="1" ht="15" x14ac:dyDescent="0.25">
      <c r="S197" s="99"/>
      <c r="T197" s="99"/>
      <c r="U197" s="99"/>
      <c r="V197" s="99"/>
    </row>
    <row r="198" spans="19:22" customFormat="1" ht="15" x14ac:dyDescent="0.25">
      <c r="S198" s="99"/>
      <c r="T198" s="99"/>
      <c r="U198" s="99"/>
      <c r="V198" s="99"/>
    </row>
    <row r="199" spans="19:22" customFormat="1" ht="15" x14ac:dyDescent="0.25">
      <c r="S199" s="99"/>
      <c r="T199" s="99"/>
      <c r="U199" s="99"/>
      <c r="V199" s="99"/>
    </row>
    <row r="200" spans="19:22" customFormat="1" ht="15" x14ac:dyDescent="0.25">
      <c r="S200" s="99"/>
      <c r="T200" s="99"/>
      <c r="U200" s="99"/>
      <c r="V200" s="99"/>
    </row>
    <row r="201" spans="19:22" customFormat="1" ht="15" x14ac:dyDescent="0.25">
      <c r="S201" s="99"/>
      <c r="T201" s="99"/>
      <c r="U201" s="99"/>
      <c r="V201" s="99"/>
    </row>
    <row r="202" spans="19:22" customFormat="1" ht="15" x14ac:dyDescent="0.25">
      <c r="S202" s="99"/>
      <c r="T202" s="99"/>
      <c r="U202" s="99"/>
      <c r="V202" s="99"/>
    </row>
    <row r="203" spans="19:22" customFormat="1" ht="15" x14ac:dyDescent="0.25">
      <c r="S203" s="99"/>
      <c r="T203" s="99"/>
      <c r="U203" s="99"/>
      <c r="V203" s="99"/>
    </row>
    <row r="204" spans="19:22" customFormat="1" ht="15" x14ac:dyDescent="0.25">
      <c r="S204" s="99"/>
      <c r="T204" s="99"/>
      <c r="U204" s="99"/>
      <c r="V204" s="99"/>
    </row>
    <row r="205" spans="19:22" customFormat="1" ht="15" x14ac:dyDescent="0.25">
      <c r="S205" s="99"/>
      <c r="T205" s="99"/>
      <c r="U205" s="99"/>
      <c r="V205" s="99"/>
    </row>
    <row r="206" spans="19:22" customFormat="1" ht="15" x14ac:dyDescent="0.25">
      <c r="S206" s="99"/>
      <c r="T206" s="99"/>
      <c r="U206" s="99"/>
      <c r="V206" s="99"/>
    </row>
    <row r="207" spans="19:22" customFormat="1" ht="15" x14ac:dyDescent="0.25">
      <c r="S207" s="99"/>
      <c r="T207" s="99"/>
      <c r="U207" s="99"/>
      <c r="V207" s="99"/>
    </row>
    <row r="208" spans="19:22" customFormat="1" ht="15" x14ac:dyDescent="0.25">
      <c r="S208" s="99"/>
      <c r="T208" s="99"/>
      <c r="U208" s="99"/>
      <c r="V208" s="99"/>
    </row>
    <row r="209" spans="19:22" customFormat="1" ht="15" x14ac:dyDescent="0.25">
      <c r="S209" s="99"/>
      <c r="T209" s="99"/>
      <c r="U209" s="99"/>
      <c r="V209" s="99"/>
    </row>
    <row r="210" spans="19:22" customFormat="1" ht="15" x14ac:dyDescent="0.25">
      <c r="S210" s="99"/>
      <c r="T210" s="99"/>
      <c r="U210" s="99"/>
      <c r="V210" s="99"/>
    </row>
    <row r="211" spans="19:22" customFormat="1" ht="15" x14ac:dyDescent="0.25">
      <c r="S211" s="99"/>
      <c r="T211" s="99"/>
      <c r="U211" s="99"/>
      <c r="V211" s="99"/>
    </row>
    <row r="212" spans="19:22" customFormat="1" ht="15" x14ac:dyDescent="0.25">
      <c r="S212" s="99"/>
      <c r="T212" s="99"/>
      <c r="U212" s="99"/>
      <c r="V212" s="99"/>
    </row>
    <row r="213" spans="19:22" customFormat="1" ht="15" x14ac:dyDescent="0.25">
      <c r="S213" s="99"/>
      <c r="T213" s="99"/>
      <c r="U213" s="99"/>
      <c r="V213" s="99"/>
    </row>
    <row r="214" spans="19:22" customFormat="1" ht="15" x14ac:dyDescent="0.25">
      <c r="S214" s="99"/>
      <c r="T214" s="99"/>
      <c r="U214" s="99"/>
      <c r="V214" s="99"/>
    </row>
    <row r="215" spans="19:22" customFormat="1" ht="15" x14ac:dyDescent="0.25">
      <c r="S215" s="99"/>
      <c r="T215" s="99"/>
      <c r="U215" s="99"/>
      <c r="V215" s="99"/>
    </row>
    <row r="216" spans="19:22" customFormat="1" ht="15" x14ac:dyDescent="0.25">
      <c r="S216" s="99"/>
      <c r="T216" s="99"/>
      <c r="U216" s="99"/>
      <c r="V216" s="99"/>
    </row>
    <row r="217" spans="19:22" customFormat="1" ht="15" x14ac:dyDescent="0.25">
      <c r="S217" s="99"/>
      <c r="T217" s="99"/>
      <c r="U217" s="99"/>
      <c r="V217" s="99"/>
    </row>
    <row r="218" spans="19:22" customFormat="1" ht="15" x14ac:dyDescent="0.25">
      <c r="S218" s="99"/>
      <c r="T218" s="99"/>
      <c r="U218" s="99"/>
      <c r="V218" s="99"/>
    </row>
    <row r="219" spans="19:22" customFormat="1" ht="15" x14ac:dyDescent="0.25">
      <c r="S219" s="99"/>
      <c r="T219" s="99"/>
      <c r="U219" s="99"/>
      <c r="V219" s="99"/>
    </row>
    <row r="220" spans="19:22" customFormat="1" ht="15" x14ac:dyDescent="0.25">
      <c r="S220" s="99"/>
      <c r="T220" s="99"/>
      <c r="U220" s="99"/>
      <c r="V220" s="99"/>
    </row>
    <row r="221" spans="19:22" customFormat="1" ht="15" x14ac:dyDescent="0.25">
      <c r="S221" s="99"/>
      <c r="T221" s="99"/>
      <c r="U221" s="99"/>
      <c r="V221" s="99"/>
    </row>
    <row r="222" spans="19:22" customFormat="1" ht="15" x14ac:dyDescent="0.25">
      <c r="S222" s="99"/>
      <c r="T222" s="99"/>
      <c r="U222" s="99"/>
      <c r="V222" s="99"/>
    </row>
    <row r="223" spans="19:22" customFormat="1" ht="15" x14ac:dyDescent="0.25">
      <c r="S223" s="99"/>
      <c r="T223" s="99"/>
      <c r="U223" s="99"/>
      <c r="V223" s="99"/>
    </row>
    <row r="224" spans="19:22" customFormat="1" ht="15" x14ac:dyDescent="0.25">
      <c r="S224" s="99"/>
      <c r="T224" s="99"/>
      <c r="U224" s="99"/>
      <c r="V224" s="99"/>
    </row>
    <row r="225" spans="19:22" customFormat="1" ht="15" x14ac:dyDescent="0.25">
      <c r="S225" s="99"/>
      <c r="T225" s="99"/>
      <c r="U225" s="99"/>
      <c r="V225" s="99"/>
    </row>
    <row r="226" spans="19:22" customFormat="1" ht="15" x14ac:dyDescent="0.25">
      <c r="S226" s="99"/>
      <c r="T226" s="99"/>
      <c r="U226" s="99"/>
      <c r="V226" s="99"/>
    </row>
    <row r="227" spans="19:22" customFormat="1" ht="15" x14ac:dyDescent="0.25">
      <c r="S227" s="99"/>
      <c r="T227" s="99"/>
      <c r="U227" s="99"/>
      <c r="V227" s="99"/>
    </row>
    <row r="228" spans="19:22" customFormat="1" ht="15" x14ac:dyDescent="0.25">
      <c r="S228" s="99"/>
      <c r="T228" s="99"/>
      <c r="U228" s="99"/>
      <c r="V228" s="99"/>
    </row>
    <row r="229" spans="19:22" customFormat="1" ht="15" x14ac:dyDescent="0.25">
      <c r="S229" s="99"/>
      <c r="T229" s="99"/>
      <c r="U229" s="99"/>
      <c r="V229" s="99"/>
    </row>
    <row r="230" spans="19:22" customFormat="1" ht="15" x14ac:dyDescent="0.25">
      <c r="S230" s="99"/>
      <c r="T230" s="99"/>
      <c r="U230" s="99"/>
      <c r="V230" s="99"/>
    </row>
    <row r="231" spans="19:22" customFormat="1" ht="15" x14ac:dyDescent="0.25">
      <c r="S231" s="99"/>
      <c r="T231" s="99"/>
      <c r="U231" s="99"/>
      <c r="V231" s="99"/>
    </row>
    <row r="232" spans="19:22" customFormat="1" ht="15" x14ac:dyDescent="0.25">
      <c r="S232" s="99"/>
      <c r="T232" s="99"/>
      <c r="U232" s="99"/>
      <c r="V232" s="99"/>
    </row>
    <row r="233" spans="19:22" customFormat="1" ht="15" x14ac:dyDescent="0.25">
      <c r="S233" s="99"/>
      <c r="T233" s="99"/>
      <c r="U233" s="99"/>
      <c r="V233" s="99"/>
    </row>
    <row r="234" spans="19:22" customFormat="1" ht="15" x14ac:dyDescent="0.25">
      <c r="S234" s="99"/>
      <c r="T234" s="99"/>
      <c r="U234" s="99"/>
      <c r="V234" s="99"/>
    </row>
    <row r="235" spans="19:22" customFormat="1" ht="15" x14ac:dyDescent="0.25">
      <c r="S235" s="99"/>
      <c r="T235" s="99"/>
      <c r="U235" s="99"/>
      <c r="V235" s="99"/>
    </row>
    <row r="236" spans="19:22" customFormat="1" ht="15" x14ac:dyDescent="0.25">
      <c r="S236" s="99"/>
      <c r="T236" s="99"/>
      <c r="U236" s="99"/>
      <c r="V236" s="99"/>
    </row>
    <row r="237" spans="19:22" customFormat="1" ht="15" x14ac:dyDescent="0.25">
      <c r="S237" s="99"/>
      <c r="T237" s="99"/>
      <c r="U237" s="99"/>
      <c r="V237" s="99"/>
    </row>
    <row r="238" spans="19:22" customFormat="1" ht="15" x14ac:dyDescent="0.25">
      <c r="S238" s="99"/>
      <c r="T238" s="99"/>
      <c r="U238" s="99"/>
      <c r="V238" s="99"/>
    </row>
    <row r="239" spans="19:22" customFormat="1" ht="15" x14ac:dyDescent="0.25">
      <c r="S239" s="99"/>
      <c r="T239" s="99"/>
      <c r="U239" s="99"/>
      <c r="V239" s="99"/>
    </row>
    <row r="240" spans="19:22" customFormat="1" ht="15" x14ac:dyDescent="0.25">
      <c r="S240" s="99"/>
      <c r="T240" s="99"/>
      <c r="U240" s="99"/>
      <c r="V240" s="99"/>
    </row>
    <row r="241" spans="19:22" customFormat="1" ht="15" x14ac:dyDescent="0.25">
      <c r="S241" s="99"/>
      <c r="T241" s="99"/>
      <c r="U241" s="99"/>
      <c r="V241" s="99"/>
    </row>
    <row r="242" spans="19:22" customFormat="1" ht="15" x14ac:dyDescent="0.25">
      <c r="S242" s="99"/>
      <c r="T242" s="99"/>
      <c r="U242" s="99"/>
      <c r="V242" s="99"/>
    </row>
    <row r="243" spans="19:22" customFormat="1" ht="15" x14ac:dyDescent="0.25">
      <c r="S243" s="99"/>
      <c r="T243" s="99"/>
      <c r="U243" s="99"/>
      <c r="V243" s="99"/>
    </row>
    <row r="244" spans="19:22" customFormat="1" ht="15" x14ac:dyDescent="0.25">
      <c r="S244" s="99"/>
      <c r="T244" s="99"/>
      <c r="U244" s="99"/>
      <c r="V244" s="99"/>
    </row>
    <row r="245" spans="19:22" customFormat="1" ht="15" x14ac:dyDescent="0.25">
      <c r="S245" s="99"/>
      <c r="T245" s="99"/>
      <c r="U245" s="99"/>
      <c r="V245" s="99"/>
    </row>
    <row r="246" spans="19:22" customFormat="1" ht="15" x14ac:dyDescent="0.25">
      <c r="S246" s="99"/>
      <c r="T246" s="99"/>
      <c r="U246" s="99"/>
      <c r="V246" s="99"/>
    </row>
    <row r="247" spans="19:22" customFormat="1" ht="15" x14ac:dyDescent="0.25">
      <c r="S247" s="99"/>
      <c r="T247" s="99"/>
      <c r="U247" s="99"/>
      <c r="V247" s="99"/>
    </row>
    <row r="248" spans="19:22" customFormat="1" ht="15" x14ac:dyDescent="0.25">
      <c r="S248" s="99"/>
      <c r="T248" s="99"/>
      <c r="U248" s="99"/>
      <c r="V248" s="99"/>
    </row>
    <row r="249" spans="19:22" customFormat="1" ht="15" x14ac:dyDescent="0.25">
      <c r="S249" s="99"/>
      <c r="T249" s="99"/>
      <c r="U249" s="99"/>
      <c r="V249" s="99"/>
    </row>
    <row r="250" spans="19:22" customFormat="1" ht="15" x14ac:dyDescent="0.25">
      <c r="S250" s="99"/>
      <c r="T250" s="99"/>
      <c r="U250" s="99"/>
      <c r="V250" s="99"/>
    </row>
    <row r="251" spans="19:22" customFormat="1" ht="15" x14ac:dyDescent="0.25">
      <c r="S251" s="99"/>
      <c r="T251" s="99"/>
      <c r="U251" s="99"/>
      <c r="V251" s="99"/>
    </row>
    <row r="252" spans="19:22" customFormat="1" ht="15" x14ac:dyDescent="0.25">
      <c r="S252" s="99"/>
      <c r="T252" s="99"/>
      <c r="U252" s="99"/>
      <c r="V252" s="99"/>
    </row>
    <row r="253" spans="19:22" customFormat="1" ht="15" x14ac:dyDescent="0.25">
      <c r="S253" s="99"/>
      <c r="T253" s="99"/>
      <c r="U253" s="99"/>
      <c r="V253" s="99"/>
    </row>
    <row r="254" spans="19:22" customFormat="1" ht="15" x14ac:dyDescent="0.25">
      <c r="S254" s="99"/>
      <c r="T254" s="99"/>
      <c r="U254" s="99"/>
      <c r="V254" s="99"/>
    </row>
    <row r="255" spans="19:22" customFormat="1" ht="15" x14ac:dyDescent="0.25">
      <c r="S255" s="99"/>
      <c r="T255" s="99"/>
      <c r="U255" s="99"/>
      <c r="V255" s="99"/>
    </row>
    <row r="256" spans="19:22" customFormat="1" ht="15" x14ac:dyDescent="0.25">
      <c r="S256" s="99"/>
      <c r="T256" s="99"/>
      <c r="U256" s="99"/>
      <c r="V256" s="99"/>
    </row>
    <row r="257" spans="19:22" customFormat="1" ht="15" x14ac:dyDescent="0.25">
      <c r="S257" s="99"/>
      <c r="T257" s="99"/>
      <c r="U257" s="99"/>
      <c r="V257" s="99"/>
    </row>
    <row r="258" spans="19:22" customFormat="1" ht="15" x14ac:dyDescent="0.25">
      <c r="S258" s="99"/>
      <c r="T258" s="99"/>
      <c r="U258" s="99"/>
      <c r="V258" s="99"/>
    </row>
    <row r="259" spans="19:22" customFormat="1" ht="15" x14ac:dyDescent="0.25">
      <c r="S259" s="99"/>
      <c r="T259" s="99"/>
      <c r="U259" s="99"/>
      <c r="V259" s="99"/>
    </row>
    <row r="260" spans="19:22" customFormat="1" ht="15" x14ac:dyDescent="0.25">
      <c r="S260" s="99"/>
      <c r="T260" s="99"/>
      <c r="U260" s="99"/>
      <c r="V260" s="99"/>
    </row>
    <row r="261" spans="19:22" customFormat="1" ht="15" x14ac:dyDescent="0.25">
      <c r="S261" s="99"/>
      <c r="T261" s="99"/>
      <c r="U261" s="99"/>
      <c r="V261" s="99"/>
    </row>
    <row r="262" spans="19:22" customFormat="1" ht="15" x14ac:dyDescent="0.25">
      <c r="S262" s="99"/>
      <c r="T262" s="99"/>
      <c r="U262" s="99"/>
      <c r="V262" s="99"/>
    </row>
    <row r="263" spans="19:22" customFormat="1" ht="15" x14ac:dyDescent="0.25">
      <c r="S263" s="99"/>
      <c r="T263" s="99"/>
      <c r="U263" s="99"/>
      <c r="V263" s="99"/>
    </row>
    <row r="264" spans="19:22" customFormat="1" ht="15" x14ac:dyDescent="0.25">
      <c r="S264" s="99"/>
      <c r="T264" s="99"/>
      <c r="U264" s="99"/>
      <c r="V264" s="99"/>
    </row>
    <row r="265" spans="19:22" customFormat="1" ht="15" x14ac:dyDescent="0.25">
      <c r="S265" s="99"/>
      <c r="T265" s="99"/>
      <c r="U265" s="99"/>
      <c r="V265" s="99"/>
    </row>
    <row r="266" spans="19:22" customFormat="1" ht="15" x14ac:dyDescent="0.25">
      <c r="S266" s="99"/>
      <c r="T266" s="99"/>
      <c r="U266" s="99"/>
      <c r="V266" s="99"/>
    </row>
    <row r="267" spans="19:22" customFormat="1" ht="15" x14ac:dyDescent="0.25">
      <c r="S267" s="99"/>
      <c r="T267" s="99"/>
      <c r="U267" s="99"/>
      <c r="V267" s="99"/>
    </row>
    <row r="268" spans="19:22" customFormat="1" ht="15" x14ac:dyDescent="0.25">
      <c r="S268" s="99"/>
      <c r="T268" s="99"/>
      <c r="U268" s="99"/>
      <c r="V268" s="99"/>
    </row>
    <row r="269" spans="19:22" customFormat="1" ht="15" x14ac:dyDescent="0.25">
      <c r="S269" s="99"/>
      <c r="T269" s="99"/>
      <c r="U269" s="99"/>
      <c r="V269" s="99"/>
    </row>
    <row r="270" spans="19:22" customFormat="1" ht="15" x14ac:dyDescent="0.25">
      <c r="S270" s="99"/>
      <c r="T270" s="99"/>
      <c r="U270" s="99"/>
      <c r="V270" s="99"/>
    </row>
    <row r="271" spans="19:22" customFormat="1" ht="15" x14ac:dyDescent="0.25">
      <c r="S271" s="99"/>
      <c r="T271" s="99"/>
      <c r="U271" s="99"/>
      <c r="V271" s="99"/>
    </row>
    <row r="272" spans="19:22" customFormat="1" ht="15" x14ac:dyDescent="0.25">
      <c r="S272" s="99"/>
      <c r="T272" s="99"/>
      <c r="U272" s="99"/>
      <c r="V272" s="99"/>
    </row>
    <row r="273" spans="19:22" customFormat="1" ht="15" x14ac:dyDescent="0.25">
      <c r="S273" s="99"/>
      <c r="T273" s="99"/>
      <c r="U273" s="99"/>
      <c r="V273" s="99"/>
    </row>
    <row r="274" spans="19:22" customFormat="1" ht="15" x14ac:dyDescent="0.25">
      <c r="S274" s="99"/>
      <c r="T274" s="99"/>
      <c r="U274" s="99"/>
      <c r="V274" s="99"/>
    </row>
    <row r="275" spans="19:22" customFormat="1" ht="15" x14ac:dyDescent="0.25">
      <c r="S275" s="99"/>
      <c r="T275" s="99"/>
      <c r="U275" s="99"/>
      <c r="V275" s="99"/>
    </row>
    <row r="276" spans="19:22" customFormat="1" ht="15" x14ac:dyDescent="0.25">
      <c r="S276" s="99"/>
      <c r="T276" s="99"/>
      <c r="U276" s="99"/>
      <c r="V276" s="99"/>
    </row>
    <row r="277" spans="19:22" customFormat="1" ht="15" x14ac:dyDescent="0.25">
      <c r="S277" s="99"/>
      <c r="T277" s="99"/>
      <c r="U277" s="99"/>
      <c r="V277" s="99"/>
    </row>
    <row r="278" spans="19:22" customFormat="1" ht="15" x14ac:dyDescent="0.25">
      <c r="S278" s="99"/>
      <c r="T278" s="99"/>
      <c r="U278" s="99"/>
      <c r="V278" s="99"/>
    </row>
    <row r="279" spans="19:22" customFormat="1" ht="15" x14ac:dyDescent="0.25">
      <c r="S279" s="99"/>
      <c r="T279" s="99"/>
      <c r="U279" s="99"/>
      <c r="V279" s="99"/>
    </row>
    <row r="280" spans="19:22" customFormat="1" ht="15" x14ac:dyDescent="0.25">
      <c r="S280" s="99"/>
      <c r="T280" s="99"/>
      <c r="U280" s="99"/>
      <c r="V280" s="99"/>
    </row>
    <row r="281" spans="19:22" customFormat="1" ht="15" x14ac:dyDescent="0.25">
      <c r="S281" s="99"/>
      <c r="T281" s="99"/>
      <c r="U281" s="99"/>
      <c r="V281" s="99"/>
    </row>
    <row r="282" spans="19:22" customFormat="1" ht="15" x14ac:dyDescent="0.25">
      <c r="S282" s="99"/>
      <c r="T282" s="99"/>
      <c r="U282" s="99"/>
      <c r="V282" s="99"/>
    </row>
    <row r="283" spans="19:22" customFormat="1" ht="15" x14ac:dyDescent="0.25">
      <c r="S283" s="99"/>
      <c r="T283" s="99"/>
      <c r="U283" s="99"/>
      <c r="V283" s="99"/>
    </row>
    <row r="284" spans="19:22" customFormat="1" ht="15" x14ac:dyDescent="0.25">
      <c r="S284" s="99"/>
      <c r="T284" s="99"/>
      <c r="U284" s="99"/>
      <c r="V284" s="99"/>
    </row>
    <row r="285" spans="19:22" customFormat="1" ht="15" x14ac:dyDescent="0.25">
      <c r="S285" s="99"/>
      <c r="T285" s="99"/>
      <c r="U285" s="99"/>
      <c r="V285" s="99"/>
    </row>
    <row r="286" spans="19:22" customFormat="1" ht="15" x14ac:dyDescent="0.25">
      <c r="S286" s="99"/>
      <c r="T286" s="99"/>
      <c r="U286" s="99"/>
      <c r="V286" s="99"/>
    </row>
    <row r="287" spans="19:22" customFormat="1" ht="15" x14ac:dyDescent="0.25">
      <c r="S287" s="99"/>
      <c r="T287" s="99"/>
      <c r="U287" s="99"/>
      <c r="V287" s="99"/>
    </row>
    <row r="288" spans="19:22" customFormat="1" ht="15" x14ac:dyDescent="0.25">
      <c r="S288" s="99"/>
      <c r="T288" s="99"/>
      <c r="U288" s="99"/>
      <c r="V288" s="99"/>
    </row>
    <row r="289" spans="19:22" customFormat="1" ht="15" x14ac:dyDescent="0.25">
      <c r="S289" s="99"/>
      <c r="T289" s="99"/>
      <c r="U289" s="99"/>
      <c r="V289" s="99"/>
    </row>
    <row r="290" spans="19:22" customFormat="1" ht="15" x14ac:dyDescent="0.25">
      <c r="S290" s="99"/>
      <c r="T290" s="99"/>
      <c r="U290" s="99"/>
      <c r="V290" s="99"/>
    </row>
    <row r="291" spans="19:22" customFormat="1" ht="15" x14ac:dyDescent="0.25">
      <c r="S291" s="99"/>
      <c r="T291" s="99"/>
      <c r="U291" s="99"/>
      <c r="V291" s="99"/>
    </row>
    <row r="292" spans="19:22" customFormat="1" ht="15" x14ac:dyDescent="0.25">
      <c r="S292" s="99"/>
      <c r="T292" s="99"/>
      <c r="U292" s="99"/>
      <c r="V292" s="99"/>
    </row>
    <row r="293" spans="19:22" customFormat="1" ht="15" x14ac:dyDescent="0.25">
      <c r="S293" s="99"/>
      <c r="T293" s="99"/>
      <c r="U293" s="99"/>
      <c r="V293" s="99"/>
    </row>
    <row r="294" spans="19:22" customFormat="1" ht="15" x14ac:dyDescent="0.25">
      <c r="S294" s="99"/>
      <c r="T294" s="99"/>
      <c r="U294" s="99"/>
      <c r="V294" s="99"/>
    </row>
    <row r="295" spans="19:22" customFormat="1" ht="15" x14ac:dyDescent="0.25">
      <c r="S295" s="99"/>
      <c r="T295" s="99"/>
      <c r="U295" s="99"/>
      <c r="V295" s="99"/>
    </row>
    <row r="296" spans="19:22" customFormat="1" ht="15" x14ac:dyDescent="0.25">
      <c r="S296" s="99"/>
      <c r="T296" s="99"/>
      <c r="U296" s="99"/>
      <c r="V296" s="99"/>
    </row>
    <row r="297" spans="19:22" customFormat="1" ht="15" x14ac:dyDescent="0.25">
      <c r="S297" s="99"/>
      <c r="T297" s="99"/>
      <c r="U297" s="99"/>
      <c r="V297" s="99"/>
    </row>
    <row r="298" spans="19:22" customFormat="1" ht="15" x14ac:dyDescent="0.25">
      <c r="S298" s="99"/>
      <c r="T298" s="99"/>
      <c r="U298" s="99"/>
      <c r="V298" s="99"/>
    </row>
    <row r="299" spans="19:22" customFormat="1" ht="15" x14ac:dyDescent="0.25">
      <c r="S299" s="99"/>
      <c r="T299" s="99"/>
      <c r="U299" s="99"/>
      <c r="V299" s="99"/>
    </row>
    <row r="300" spans="19:22" customFormat="1" ht="15" x14ac:dyDescent="0.25">
      <c r="S300" s="99"/>
      <c r="T300" s="99"/>
      <c r="U300" s="99"/>
      <c r="V300" s="99"/>
    </row>
    <row r="301" spans="19:22" customFormat="1" ht="15" x14ac:dyDescent="0.25">
      <c r="S301" s="99"/>
      <c r="T301" s="99"/>
      <c r="U301" s="99"/>
      <c r="V301" s="99"/>
    </row>
    <row r="302" spans="19:22" customFormat="1" ht="15" x14ac:dyDescent="0.25">
      <c r="S302" s="99"/>
      <c r="T302" s="99"/>
      <c r="U302" s="99"/>
      <c r="V302" s="99"/>
    </row>
    <row r="303" spans="19:22" customFormat="1" ht="15" x14ac:dyDescent="0.25">
      <c r="S303" s="99"/>
      <c r="T303" s="99"/>
      <c r="U303" s="99"/>
      <c r="V303" s="99"/>
    </row>
    <row r="304" spans="19:22" customFormat="1" ht="15" x14ac:dyDescent="0.25">
      <c r="S304" s="99"/>
      <c r="T304" s="99"/>
      <c r="U304" s="99"/>
      <c r="V304" s="99"/>
    </row>
    <row r="305" spans="19:22" customFormat="1" ht="15" x14ac:dyDescent="0.25">
      <c r="S305" s="99"/>
      <c r="T305" s="99"/>
      <c r="U305" s="99"/>
      <c r="V305" s="99"/>
    </row>
    <row r="306" spans="19:22" customFormat="1" ht="15" x14ac:dyDescent="0.25">
      <c r="S306" s="99"/>
      <c r="T306" s="99"/>
      <c r="U306" s="99"/>
      <c r="V306" s="99"/>
    </row>
    <row r="307" spans="19:22" customFormat="1" ht="15" x14ac:dyDescent="0.25">
      <c r="S307" s="99"/>
      <c r="T307" s="99"/>
      <c r="U307" s="99"/>
      <c r="V307" s="99"/>
    </row>
    <row r="308" spans="19:22" customFormat="1" ht="15" x14ac:dyDescent="0.25">
      <c r="S308" s="99"/>
      <c r="T308" s="99"/>
      <c r="U308" s="99"/>
      <c r="V308" s="99"/>
    </row>
    <row r="309" spans="19:22" customFormat="1" ht="15" x14ac:dyDescent="0.25">
      <c r="S309" s="99"/>
      <c r="T309" s="99"/>
      <c r="U309" s="99"/>
      <c r="V309" s="99"/>
    </row>
    <row r="310" spans="19:22" customFormat="1" ht="15" x14ac:dyDescent="0.25">
      <c r="S310" s="99"/>
      <c r="T310" s="99"/>
      <c r="U310" s="99"/>
      <c r="V310" s="99"/>
    </row>
    <row r="311" spans="19:22" customFormat="1" ht="15" x14ac:dyDescent="0.25">
      <c r="S311" s="99"/>
      <c r="T311" s="99"/>
      <c r="U311" s="99"/>
      <c r="V311" s="99"/>
    </row>
    <row r="312" spans="19:22" customFormat="1" ht="15" x14ac:dyDescent="0.25">
      <c r="S312" s="99"/>
      <c r="T312" s="99"/>
      <c r="U312" s="99"/>
      <c r="V312" s="99"/>
    </row>
    <row r="313" spans="19:22" customFormat="1" ht="15" x14ac:dyDescent="0.25">
      <c r="S313" s="99"/>
      <c r="T313" s="99"/>
      <c r="U313" s="99"/>
      <c r="V313" s="99"/>
    </row>
    <row r="314" spans="19:22" customFormat="1" ht="15" x14ac:dyDescent="0.25">
      <c r="S314" s="99"/>
      <c r="T314" s="99"/>
      <c r="U314" s="99"/>
      <c r="V314" s="99"/>
    </row>
    <row r="315" spans="19:22" customFormat="1" ht="15" x14ac:dyDescent="0.25">
      <c r="S315" s="99"/>
      <c r="T315" s="99"/>
      <c r="U315" s="99"/>
      <c r="V315" s="99"/>
    </row>
    <row r="316" spans="19:22" customFormat="1" ht="15" x14ac:dyDescent="0.25">
      <c r="S316" s="99"/>
      <c r="T316" s="99"/>
      <c r="U316" s="99"/>
      <c r="V316" s="99"/>
    </row>
    <row r="317" spans="19:22" customFormat="1" ht="15" x14ac:dyDescent="0.25">
      <c r="S317" s="99"/>
      <c r="T317" s="99"/>
      <c r="U317" s="99"/>
      <c r="V317" s="99"/>
    </row>
    <row r="318" spans="19:22" customFormat="1" ht="15" x14ac:dyDescent="0.25">
      <c r="S318" s="99"/>
      <c r="T318" s="99"/>
      <c r="U318" s="99"/>
      <c r="V318" s="99"/>
    </row>
    <row r="319" spans="19:22" customFormat="1" ht="15" x14ac:dyDescent="0.25">
      <c r="S319" s="99"/>
      <c r="T319" s="99"/>
      <c r="U319" s="99"/>
      <c r="V319" s="99"/>
    </row>
    <row r="320" spans="19:22" customFormat="1" ht="15" x14ac:dyDescent="0.25">
      <c r="S320" s="99"/>
      <c r="T320" s="99"/>
      <c r="U320" s="99"/>
      <c r="V320" s="99"/>
    </row>
    <row r="321" spans="19:22" customFormat="1" ht="15" x14ac:dyDescent="0.25">
      <c r="S321" s="99"/>
      <c r="T321" s="99"/>
      <c r="U321" s="99"/>
      <c r="V321" s="99"/>
    </row>
    <row r="322" spans="19:22" customFormat="1" ht="15" x14ac:dyDescent="0.25">
      <c r="S322" s="99"/>
      <c r="T322" s="99"/>
      <c r="U322" s="99"/>
      <c r="V322" s="99"/>
    </row>
    <row r="323" spans="19:22" customFormat="1" ht="15" x14ac:dyDescent="0.25">
      <c r="S323" s="99"/>
      <c r="T323" s="99"/>
      <c r="U323" s="99"/>
      <c r="V323" s="99"/>
    </row>
    <row r="324" spans="19:22" customFormat="1" ht="15" x14ac:dyDescent="0.25">
      <c r="S324" s="99"/>
      <c r="T324" s="99"/>
      <c r="U324" s="99"/>
      <c r="V324" s="99"/>
    </row>
    <row r="325" spans="19:22" customFormat="1" ht="15" x14ac:dyDescent="0.25">
      <c r="S325" s="99"/>
      <c r="T325" s="99"/>
      <c r="U325" s="99"/>
      <c r="V325" s="99"/>
    </row>
    <row r="326" spans="19:22" customFormat="1" ht="15" x14ac:dyDescent="0.25">
      <c r="S326" s="99"/>
      <c r="T326" s="99"/>
      <c r="U326" s="99"/>
      <c r="V326" s="99"/>
    </row>
    <row r="327" spans="19:22" customFormat="1" ht="15" x14ac:dyDescent="0.25">
      <c r="S327" s="99"/>
      <c r="T327" s="99"/>
      <c r="U327" s="99"/>
      <c r="V327" s="99"/>
    </row>
    <row r="328" spans="19:22" customFormat="1" ht="15" x14ac:dyDescent="0.25">
      <c r="S328" s="99"/>
      <c r="T328" s="99"/>
      <c r="U328" s="99"/>
      <c r="V328" s="99"/>
    </row>
    <row r="329" spans="19:22" customFormat="1" ht="15" x14ac:dyDescent="0.25">
      <c r="S329" s="99"/>
      <c r="T329" s="99"/>
      <c r="U329" s="99"/>
      <c r="V329" s="99"/>
    </row>
    <row r="330" spans="19:22" customFormat="1" ht="15" x14ac:dyDescent="0.25">
      <c r="S330" s="99"/>
      <c r="T330" s="99"/>
      <c r="U330" s="99"/>
      <c r="V330" s="99"/>
    </row>
    <row r="331" spans="19:22" customFormat="1" ht="15" x14ac:dyDescent="0.25">
      <c r="S331" s="99"/>
      <c r="T331" s="99"/>
      <c r="U331" s="99"/>
      <c r="V331" s="99"/>
    </row>
    <row r="332" spans="19:22" customFormat="1" ht="15" x14ac:dyDescent="0.25">
      <c r="S332" s="99"/>
      <c r="T332" s="99"/>
      <c r="U332" s="99"/>
      <c r="V332" s="99"/>
    </row>
    <row r="333" spans="19:22" customFormat="1" ht="15" x14ac:dyDescent="0.25">
      <c r="S333" s="99"/>
      <c r="T333" s="99"/>
      <c r="U333" s="99"/>
      <c r="V333" s="99"/>
    </row>
    <row r="334" spans="19:22" customFormat="1" ht="15" x14ac:dyDescent="0.25">
      <c r="S334" s="99"/>
      <c r="T334" s="99"/>
      <c r="U334" s="99"/>
      <c r="V334" s="99"/>
    </row>
    <row r="335" spans="19:22" customFormat="1" ht="15" x14ac:dyDescent="0.25">
      <c r="S335" s="99"/>
      <c r="T335" s="99"/>
      <c r="U335" s="99"/>
      <c r="V335" s="99"/>
    </row>
    <row r="336" spans="19:22" customFormat="1" ht="15" x14ac:dyDescent="0.25">
      <c r="S336" s="99"/>
      <c r="T336" s="99"/>
      <c r="U336" s="99"/>
      <c r="V336" s="99"/>
    </row>
    <row r="337" spans="19:22" customFormat="1" ht="15" x14ac:dyDescent="0.25">
      <c r="S337" s="99"/>
      <c r="T337" s="99"/>
      <c r="U337" s="99"/>
      <c r="V337" s="99"/>
    </row>
    <row r="338" spans="19:22" customFormat="1" ht="15" x14ac:dyDescent="0.25">
      <c r="S338" s="99"/>
      <c r="T338" s="99"/>
      <c r="U338" s="99"/>
      <c r="V338" s="99"/>
    </row>
    <row r="339" spans="19:22" customFormat="1" ht="15" x14ac:dyDescent="0.25">
      <c r="S339" s="99"/>
      <c r="T339" s="99"/>
      <c r="U339" s="99"/>
      <c r="V339" s="99"/>
    </row>
    <row r="340" spans="19:22" customFormat="1" ht="15" x14ac:dyDescent="0.25">
      <c r="S340" s="99"/>
      <c r="T340" s="99"/>
      <c r="U340" s="99"/>
      <c r="V340" s="99"/>
    </row>
    <row r="341" spans="19:22" customFormat="1" ht="15" x14ac:dyDescent="0.25">
      <c r="S341" s="99"/>
      <c r="T341" s="99"/>
      <c r="U341" s="99"/>
      <c r="V341" s="99"/>
    </row>
    <row r="342" spans="19:22" customFormat="1" ht="15" x14ac:dyDescent="0.25">
      <c r="S342" s="99"/>
      <c r="T342" s="99"/>
      <c r="U342" s="99"/>
      <c r="V342" s="99"/>
    </row>
    <row r="343" spans="19:22" customFormat="1" ht="15" x14ac:dyDescent="0.25">
      <c r="S343" s="99"/>
      <c r="T343" s="99"/>
      <c r="U343" s="99"/>
      <c r="V343" s="99"/>
    </row>
    <row r="344" spans="19:22" customFormat="1" ht="15" x14ac:dyDescent="0.25">
      <c r="S344" s="99"/>
      <c r="T344" s="99"/>
      <c r="U344" s="99"/>
      <c r="V344" s="99"/>
    </row>
    <row r="345" spans="19:22" customFormat="1" ht="15" x14ac:dyDescent="0.25">
      <c r="S345" s="99"/>
      <c r="T345" s="99"/>
      <c r="U345" s="99"/>
      <c r="V345" s="99"/>
    </row>
    <row r="346" spans="19:22" customFormat="1" ht="15" x14ac:dyDescent="0.25">
      <c r="S346" s="99"/>
      <c r="T346" s="99"/>
      <c r="U346" s="99"/>
      <c r="V346" s="99"/>
    </row>
    <row r="347" spans="19:22" customFormat="1" ht="15" x14ac:dyDescent="0.25">
      <c r="S347" s="99"/>
      <c r="T347" s="99"/>
      <c r="U347" s="99"/>
      <c r="V347" s="99"/>
    </row>
    <row r="348" spans="19:22" customFormat="1" ht="15" x14ac:dyDescent="0.25">
      <c r="S348" s="99"/>
      <c r="T348" s="99"/>
      <c r="U348" s="99"/>
      <c r="V348" s="99"/>
    </row>
    <row r="349" spans="19:22" customFormat="1" ht="15" x14ac:dyDescent="0.25">
      <c r="S349" s="99"/>
      <c r="T349" s="99"/>
      <c r="U349" s="99"/>
      <c r="V349" s="99"/>
    </row>
    <row r="350" spans="19:22" customFormat="1" ht="15" x14ac:dyDescent="0.25">
      <c r="S350" s="99"/>
      <c r="T350" s="99"/>
      <c r="U350" s="99"/>
      <c r="V350" s="99"/>
    </row>
    <row r="351" spans="19:22" customFormat="1" ht="15" x14ac:dyDescent="0.25">
      <c r="S351" s="99"/>
      <c r="T351" s="99"/>
      <c r="U351" s="99"/>
      <c r="V351" s="99"/>
    </row>
    <row r="352" spans="19:22" customFormat="1" ht="15" x14ac:dyDescent="0.25">
      <c r="S352" s="99"/>
      <c r="T352" s="99"/>
      <c r="U352" s="99"/>
      <c r="V352" s="99"/>
    </row>
    <row r="353" spans="19:22" customFormat="1" ht="15" x14ac:dyDescent="0.25">
      <c r="S353" s="99"/>
      <c r="T353" s="99"/>
      <c r="U353" s="99"/>
      <c r="V353" s="99"/>
    </row>
    <row r="354" spans="19:22" customFormat="1" ht="15" x14ac:dyDescent="0.25">
      <c r="S354" s="99"/>
      <c r="T354" s="99"/>
      <c r="U354" s="99"/>
      <c r="V354" s="99"/>
    </row>
    <row r="355" spans="19:22" customFormat="1" ht="15" x14ac:dyDescent="0.25">
      <c r="S355" s="99"/>
      <c r="T355" s="99"/>
      <c r="U355" s="99"/>
      <c r="V355" s="99"/>
    </row>
    <row r="356" spans="19:22" customFormat="1" ht="15" x14ac:dyDescent="0.25">
      <c r="S356" s="99"/>
      <c r="T356" s="99"/>
      <c r="U356" s="99"/>
      <c r="V356" s="99"/>
    </row>
    <row r="357" spans="19:22" customFormat="1" ht="15" x14ac:dyDescent="0.25">
      <c r="S357" s="99"/>
      <c r="T357" s="99"/>
      <c r="U357" s="99"/>
      <c r="V357" s="99"/>
    </row>
    <row r="358" spans="19:22" customFormat="1" ht="15" x14ac:dyDescent="0.25">
      <c r="S358" s="99"/>
      <c r="T358" s="99"/>
      <c r="U358" s="99"/>
      <c r="V358" s="99"/>
    </row>
    <row r="359" spans="19:22" customFormat="1" ht="15" x14ac:dyDescent="0.25">
      <c r="S359" s="99"/>
      <c r="T359" s="99"/>
      <c r="U359" s="99"/>
      <c r="V359" s="99"/>
    </row>
    <row r="360" spans="19:22" customFormat="1" ht="15" x14ac:dyDescent="0.25">
      <c r="S360" s="99"/>
      <c r="T360" s="99"/>
      <c r="U360" s="99"/>
      <c r="V360" s="99"/>
    </row>
    <row r="361" spans="19:22" customFormat="1" ht="15" x14ac:dyDescent="0.25">
      <c r="S361" s="99"/>
      <c r="T361" s="99"/>
      <c r="U361" s="99"/>
      <c r="V361" s="99"/>
    </row>
    <row r="362" spans="19:22" customFormat="1" ht="15" x14ac:dyDescent="0.25">
      <c r="S362" s="99"/>
      <c r="T362" s="99"/>
      <c r="U362" s="99"/>
      <c r="V362" s="99"/>
    </row>
    <row r="363" spans="19:22" customFormat="1" ht="15" x14ac:dyDescent="0.25">
      <c r="S363" s="99"/>
      <c r="T363" s="99"/>
      <c r="U363" s="99"/>
      <c r="V363" s="99"/>
    </row>
    <row r="364" spans="19:22" customFormat="1" ht="15" x14ac:dyDescent="0.25">
      <c r="S364" s="99"/>
      <c r="T364" s="99"/>
      <c r="U364" s="99"/>
      <c r="V364" s="99"/>
    </row>
    <row r="365" spans="19:22" customFormat="1" ht="15" x14ac:dyDescent="0.25">
      <c r="S365" s="99"/>
      <c r="T365" s="99"/>
      <c r="U365" s="99"/>
      <c r="V365" s="99"/>
    </row>
    <row r="366" spans="19:22" customFormat="1" ht="15" x14ac:dyDescent="0.25">
      <c r="S366" s="99"/>
      <c r="T366" s="99"/>
      <c r="U366" s="99"/>
      <c r="V366" s="99"/>
    </row>
    <row r="367" spans="19:22" customFormat="1" ht="15" x14ac:dyDescent="0.25">
      <c r="S367" s="99"/>
      <c r="T367" s="99"/>
      <c r="U367" s="99"/>
      <c r="V367" s="99"/>
    </row>
    <row r="368" spans="19:22" customFormat="1" ht="15" x14ac:dyDescent="0.25">
      <c r="S368" s="99"/>
      <c r="T368" s="99"/>
      <c r="U368" s="99"/>
      <c r="V368" s="99"/>
    </row>
    <row r="369" spans="19:22" customFormat="1" ht="15" x14ac:dyDescent="0.25">
      <c r="S369" s="99"/>
      <c r="T369" s="99"/>
      <c r="U369" s="99"/>
      <c r="V369" s="99"/>
    </row>
    <row r="370" spans="19:22" customFormat="1" ht="15" x14ac:dyDescent="0.25">
      <c r="S370" s="99"/>
      <c r="T370" s="99"/>
      <c r="U370" s="99"/>
      <c r="V370" s="99"/>
    </row>
    <row r="371" spans="19:22" customFormat="1" ht="15" x14ac:dyDescent="0.25">
      <c r="S371" s="99"/>
      <c r="T371" s="99"/>
      <c r="U371" s="99"/>
      <c r="V371" s="99"/>
    </row>
    <row r="372" spans="19:22" customFormat="1" ht="15" x14ac:dyDescent="0.25">
      <c r="S372" s="99"/>
      <c r="T372" s="99"/>
      <c r="U372" s="99"/>
      <c r="V372" s="99"/>
    </row>
    <row r="373" spans="19:22" customFormat="1" ht="15" x14ac:dyDescent="0.25">
      <c r="S373" s="99"/>
      <c r="T373" s="99"/>
      <c r="U373" s="99"/>
      <c r="V373" s="99"/>
    </row>
    <row r="374" spans="19:22" customFormat="1" ht="15" x14ac:dyDescent="0.25">
      <c r="S374" s="99"/>
      <c r="T374" s="99"/>
      <c r="U374" s="99"/>
      <c r="V374" s="99"/>
    </row>
    <row r="375" spans="19:22" customFormat="1" ht="15" x14ac:dyDescent="0.25">
      <c r="S375" s="99"/>
      <c r="T375" s="99"/>
      <c r="U375" s="99"/>
      <c r="V375" s="99"/>
    </row>
    <row r="376" spans="19:22" customFormat="1" ht="15" x14ac:dyDescent="0.25">
      <c r="S376" s="99"/>
      <c r="T376" s="99"/>
      <c r="U376" s="99"/>
      <c r="V376" s="99"/>
    </row>
    <row r="377" spans="19:22" customFormat="1" ht="15" x14ac:dyDescent="0.25">
      <c r="S377" s="99"/>
      <c r="T377" s="99"/>
      <c r="U377" s="99"/>
      <c r="V377" s="99"/>
    </row>
    <row r="378" spans="19:22" customFormat="1" ht="15" x14ac:dyDescent="0.25">
      <c r="S378" s="99"/>
      <c r="T378" s="99"/>
      <c r="U378" s="99"/>
      <c r="V378" s="99"/>
    </row>
    <row r="379" spans="19:22" customFormat="1" ht="15" x14ac:dyDescent="0.25">
      <c r="S379" s="99"/>
      <c r="T379" s="99"/>
      <c r="U379" s="99"/>
      <c r="V379" s="99"/>
    </row>
    <row r="380" spans="19:22" customFormat="1" ht="15" x14ac:dyDescent="0.25">
      <c r="S380" s="99"/>
      <c r="T380" s="99"/>
      <c r="U380" s="99"/>
      <c r="V380" s="99"/>
    </row>
    <row r="381" spans="19:22" customFormat="1" ht="15" x14ac:dyDescent="0.25">
      <c r="S381" s="99"/>
      <c r="T381" s="99"/>
      <c r="U381" s="99"/>
      <c r="V381" s="99"/>
    </row>
    <row r="382" spans="19:22" customFormat="1" ht="15" x14ac:dyDescent="0.25">
      <c r="S382" s="99"/>
      <c r="T382" s="99"/>
      <c r="U382" s="99"/>
      <c r="V382" s="99"/>
    </row>
    <row r="383" spans="19:22" customFormat="1" ht="15" x14ac:dyDescent="0.25">
      <c r="S383" s="99"/>
      <c r="T383" s="99"/>
      <c r="U383" s="99"/>
      <c r="V383" s="99"/>
    </row>
    <row r="384" spans="19:22" customFormat="1" ht="15" x14ac:dyDescent="0.25">
      <c r="S384" s="99"/>
      <c r="T384" s="99"/>
      <c r="U384" s="99"/>
      <c r="V384" s="99"/>
    </row>
    <row r="385" spans="19:22" customFormat="1" ht="15" x14ac:dyDescent="0.25">
      <c r="S385" s="99"/>
      <c r="T385" s="99"/>
      <c r="U385" s="99"/>
      <c r="V385" s="99"/>
    </row>
    <row r="386" spans="19:22" customFormat="1" ht="15" x14ac:dyDescent="0.25">
      <c r="S386" s="99"/>
      <c r="T386" s="99"/>
      <c r="U386" s="99"/>
      <c r="V386" s="99"/>
    </row>
    <row r="387" spans="19:22" customFormat="1" ht="15" x14ac:dyDescent="0.25">
      <c r="S387" s="99"/>
      <c r="T387" s="99"/>
      <c r="U387" s="99"/>
      <c r="V387" s="99"/>
    </row>
    <row r="388" spans="19:22" customFormat="1" ht="15" x14ac:dyDescent="0.25">
      <c r="S388" s="99"/>
      <c r="T388" s="99"/>
      <c r="U388" s="99"/>
      <c r="V388" s="99"/>
    </row>
    <row r="389" spans="19:22" customFormat="1" ht="15" x14ac:dyDescent="0.25">
      <c r="S389" s="99"/>
      <c r="T389" s="99"/>
      <c r="U389" s="99"/>
      <c r="V389" s="99"/>
    </row>
    <row r="390" spans="19:22" customFormat="1" ht="15" x14ac:dyDescent="0.25">
      <c r="S390" s="99"/>
      <c r="T390" s="99"/>
      <c r="U390" s="99"/>
      <c r="V390" s="99"/>
    </row>
    <row r="391" spans="19:22" customFormat="1" ht="15" x14ac:dyDescent="0.25">
      <c r="S391" s="99"/>
      <c r="T391" s="99"/>
      <c r="U391" s="99"/>
      <c r="V391" s="99"/>
    </row>
    <row r="392" spans="19:22" customFormat="1" ht="15" x14ac:dyDescent="0.25">
      <c r="S392" s="99"/>
      <c r="T392" s="99"/>
      <c r="U392" s="99"/>
      <c r="V392" s="99"/>
    </row>
    <row r="393" spans="19:22" customFormat="1" ht="15" x14ac:dyDescent="0.25">
      <c r="S393" s="99"/>
      <c r="T393" s="99"/>
      <c r="U393" s="99"/>
      <c r="V393" s="99"/>
    </row>
    <row r="394" spans="19:22" customFormat="1" ht="15" x14ac:dyDescent="0.25">
      <c r="S394" s="99"/>
      <c r="T394" s="99"/>
      <c r="U394" s="99"/>
      <c r="V394" s="99"/>
    </row>
    <row r="395" spans="19:22" customFormat="1" ht="15" x14ac:dyDescent="0.25">
      <c r="S395" s="99"/>
      <c r="T395" s="99"/>
      <c r="U395" s="99"/>
      <c r="V395" s="99"/>
    </row>
    <row r="396" spans="19:22" customFormat="1" ht="15" x14ac:dyDescent="0.25">
      <c r="S396" s="99"/>
      <c r="T396" s="99"/>
      <c r="U396" s="99"/>
      <c r="V396" s="99"/>
    </row>
    <row r="397" spans="19:22" customFormat="1" ht="15" x14ac:dyDescent="0.25">
      <c r="S397" s="99"/>
      <c r="T397" s="99"/>
      <c r="U397" s="99"/>
      <c r="V397" s="99"/>
    </row>
    <row r="398" spans="19:22" customFormat="1" ht="15" x14ac:dyDescent="0.25">
      <c r="S398" s="99"/>
      <c r="T398" s="99"/>
      <c r="U398" s="99"/>
      <c r="V398" s="99"/>
    </row>
  </sheetData>
  <conditionalFormatting sqref="C84:C85">
    <cfRule type="cellIs" dxfId="187" priority="14" operator="notEqual">
      <formula>0</formula>
    </cfRule>
  </conditionalFormatting>
  <conditionalFormatting sqref="E84:E85">
    <cfRule type="cellIs" dxfId="186" priority="13" operator="notEqual">
      <formula>0</formula>
    </cfRule>
  </conditionalFormatting>
  <conditionalFormatting sqref="G84:G85">
    <cfRule type="cellIs" dxfId="185" priority="12" operator="notEqual">
      <formula>0</formula>
    </cfRule>
  </conditionalFormatting>
  <conditionalFormatting sqref="I84:I85">
    <cfRule type="cellIs" dxfId="184" priority="11" operator="notEqual">
      <formula>0</formula>
    </cfRule>
  </conditionalFormatting>
  <conditionalFormatting sqref="K84:K85">
    <cfRule type="cellIs" dxfId="183" priority="10" operator="notEqual">
      <formula>0</formula>
    </cfRule>
  </conditionalFormatting>
  <conditionalFormatting sqref="M84:O85">
    <cfRule type="cellIs" dxfId="182" priority="9" operator="notEqual">
      <formula>0</formula>
    </cfRule>
  </conditionalFormatting>
  <conditionalFormatting sqref="C86">
    <cfRule type="cellIs" dxfId="181" priority="8" operator="notEqual">
      <formula>0</formula>
    </cfRule>
  </conditionalFormatting>
  <conditionalFormatting sqref="E86">
    <cfRule type="cellIs" dxfId="180" priority="7" operator="notEqual">
      <formula>0</formula>
    </cfRule>
  </conditionalFormatting>
  <conditionalFormatting sqref="G86">
    <cfRule type="cellIs" dxfId="179" priority="6" operator="notEqual">
      <formula>0</formula>
    </cfRule>
  </conditionalFormatting>
  <conditionalFormatting sqref="I86">
    <cfRule type="cellIs" dxfId="178" priority="5" operator="notEqual">
      <formula>0</formula>
    </cfRule>
  </conditionalFormatting>
  <conditionalFormatting sqref="K86">
    <cfRule type="cellIs" dxfId="177" priority="4" operator="notEqual">
      <formula>0</formula>
    </cfRule>
  </conditionalFormatting>
  <conditionalFormatting sqref="M86:O86">
    <cfRule type="cellIs" dxfId="176" priority="3" operator="notEqual">
      <formula>0</formula>
    </cfRule>
  </conditionalFormatting>
  <conditionalFormatting sqref="Q86">
    <cfRule type="cellIs" dxfId="175" priority="2" operator="notEqual">
      <formula>0</formula>
    </cfRule>
  </conditionalFormatting>
  <conditionalFormatting sqref="Q84:Q85">
    <cfRule type="cellIs" dxfId="174" priority="1" operator="notEqual">
      <formula>0</formula>
    </cfRule>
  </conditionalFormatting>
  <printOptions horizontalCentered="1"/>
  <pageMargins left="0.2" right="0.2" top="0.5" bottom="0.5" header="0.3" footer="0.3"/>
  <pageSetup scale="55" orientation="landscape" horizontalDpi="4294967293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546"/>
  <sheetViews>
    <sheetView zoomScale="70" zoomScaleNormal="70" workbookViewId="0">
      <pane xSplit="3" ySplit="11" topLeftCell="AL291" activePane="bottomRight" state="frozen"/>
      <selection activeCell="F30" sqref="F30"/>
      <selection pane="topRight" activeCell="F30" sqref="F30"/>
      <selection pane="bottomLeft" activeCell="F30" sqref="F30"/>
      <selection pane="bottomRight" activeCell="W43" sqref="W43"/>
    </sheetView>
  </sheetViews>
  <sheetFormatPr defaultColWidth="9.28515625" defaultRowHeight="15" outlineLevelRow="1" outlineLevelCol="1" x14ac:dyDescent="0.25"/>
  <cols>
    <col min="1" max="1" width="6" style="317" customWidth="1"/>
    <col min="2" max="2" width="75.85546875" style="317" customWidth="1"/>
    <col min="3" max="3" width="25.28515625" style="317" hidden="1" customWidth="1" outlineLevel="1"/>
    <col min="4" max="4" width="20.5703125" style="317" customWidth="1" collapsed="1"/>
    <col min="5" max="5" width="21.42578125" style="317" customWidth="1"/>
    <col min="6" max="6" width="22.5703125" style="317" customWidth="1"/>
    <col min="7" max="7" width="24.5703125" style="317" customWidth="1"/>
    <col min="8" max="8" width="18.7109375" style="317" customWidth="1"/>
    <col min="9" max="9" width="21.5703125" style="317" customWidth="1"/>
    <col min="10" max="14" width="15.28515625" style="317" customWidth="1"/>
    <col min="15" max="15" width="18.42578125" style="317" customWidth="1"/>
    <col min="16" max="16" width="16.28515625" style="317" customWidth="1"/>
    <col min="17" max="18" width="15.28515625" style="317" customWidth="1"/>
    <col min="19" max="19" width="16.140625" style="317" customWidth="1"/>
    <col min="20" max="21" width="15.28515625" style="317" customWidth="1"/>
    <col min="22" max="22" width="17.28515625" style="317" customWidth="1"/>
    <col min="23" max="23" width="16" style="317" customWidth="1"/>
    <col min="24" max="24" width="17.7109375" style="317" customWidth="1"/>
    <col min="25" max="25" width="17.5703125" style="317" customWidth="1"/>
    <col min="26" max="26" width="19.28515625" style="317" customWidth="1"/>
    <col min="27" max="27" width="19.140625" style="317" customWidth="1"/>
    <col min="28" max="28" width="20.7109375" style="317" customWidth="1"/>
    <col min="29" max="29" width="21.7109375" style="317" customWidth="1"/>
    <col min="30" max="30" width="18.5703125" style="317" customWidth="1"/>
    <col min="31" max="31" width="17.28515625" style="317" customWidth="1"/>
    <col min="32" max="32" width="18.28515625" style="317" customWidth="1"/>
    <col min="33" max="33" width="21.140625" style="317" customWidth="1"/>
    <col min="34" max="34" width="21" style="317" customWidth="1"/>
    <col min="35" max="35" width="18.5703125" style="317" customWidth="1"/>
    <col min="36" max="36" width="18" style="317" customWidth="1"/>
    <col min="37" max="37" width="16.7109375" style="317" customWidth="1"/>
    <col min="38" max="38" width="18.5703125" style="317" customWidth="1"/>
    <col min="39" max="39" width="20.5703125" style="317" customWidth="1"/>
    <col min="40" max="40" width="22" style="317" customWidth="1"/>
    <col min="41" max="41" width="13.42578125" style="317" customWidth="1"/>
    <col min="42" max="42" width="18.28515625" style="317" customWidth="1"/>
    <col min="43" max="43" width="17.5703125" style="317" customWidth="1"/>
    <col min="44" max="44" width="18" style="317" customWidth="1"/>
    <col min="45" max="45" width="16" style="317" customWidth="1"/>
    <col min="46" max="52" width="16.7109375" style="317" hidden="1" customWidth="1" outlineLevel="1"/>
    <col min="53" max="53" width="23.85546875" style="317" bestFit="1" customWidth="1" outlineLevel="1"/>
    <col min="54" max="54" width="25.42578125" style="317" customWidth="1"/>
    <col min="55" max="55" width="16.28515625" style="317" hidden="1" customWidth="1" outlineLevel="1"/>
    <col min="56" max="56" width="11.7109375" style="317" hidden="1" customWidth="1" outlineLevel="1"/>
    <col min="57" max="57" width="9.28515625" style="317" collapsed="1"/>
    <col min="58" max="16384" width="9.28515625" style="317"/>
  </cols>
  <sheetData>
    <row r="1" spans="1:57" s="314" customFormat="1" x14ac:dyDescent="0.25">
      <c r="A1" s="313" t="s">
        <v>48</v>
      </c>
      <c r="C1"/>
      <c r="D1"/>
      <c r="AV1" s="315"/>
      <c r="AW1" s="315"/>
      <c r="AX1" s="315"/>
      <c r="AY1" s="315"/>
      <c r="AZ1" s="315"/>
      <c r="BA1" s="315"/>
      <c r="BB1" s="315"/>
      <c r="BE1" s="82"/>
    </row>
    <row r="2" spans="1:57" x14ac:dyDescent="0.25">
      <c r="A2" s="316" t="s">
        <v>861</v>
      </c>
      <c r="B2" s="314"/>
      <c r="C2"/>
      <c r="D2"/>
      <c r="G2" s="314"/>
      <c r="H2" s="314"/>
      <c r="I2" s="314"/>
      <c r="O2" s="318"/>
      <c r="P2" s="318"/>
      <c r="Q2" s="318"/>
      <c r="R2" s="318"/>
      <c r="S2" s="318"/>
      <c r="T2" s="318"/>
      <c r="U2" s="318"/>
      <c r="V2" s="318"/>
      <c r="W2"/>
      <c r="X2"/>
      <c r="Y2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R2" s="318"/>
      <c r="AS2"/>
      <c r="AT2"/>
      <c r="AU2"/>
      <c r="AV2"/>
      <c r="AW2"/>
      <c r="AX2"/>
      <c r="AY2"/>
      <c r="AZ2"/>
      <c r="BA2"/>
      <c r="BB2"/>
      <c r="BC2"/>
      <c r="BE2" s="82"/>
    </row>
    <row r="3" spans="1:57" s="319" customFormat="1" ht="18.75" customHeight="1" x14ac:dyDescent="0.25">
      <c r="A3" s="316" t="s">
        <v>50</v>
      </c>
      <c r="B3" s="317"/>
      <c r="C3"/>
      <c r="D3"/>
      <c r="G3" s="318"/>
      <c r="H3" s="318"/>
      <c r="I3" s="318"/>
      <c r="L3"/>
      <c r="M3"/>
      <c r="N3"/>
      <c r="O3"/>
      <c r="P3" s="320"/>
      <c r="Q3" s="320"/>
      <c r="R3" s="320"/>
      <c r="S3" s="320"/>
      <c r="T3" s="320"/>
      <c r="U3" s="320"/>
      <c r="V3" s="320"/>
      <c r="W3"/>
      <c r="X3"/>
      <c r="Y3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R3" s="320"/>
      <c r="AS3" s="320"/>
      <c r="AT3" s="320"/>
      <c r="AU3" s="320"/>
      <c r="AV3" s="320"/>
      <c r="AW3" s="320"/>
      <c r="AX3" s="320"/>
      <c r="AY3" s="320"/>
      <c r="AZ3" s="320"/>
      <c r="BA3" s="1947"/>
      <c r="BB3" s="1947"/>
      <c r="BE3" s="82"/>
    </row>
    <row r="4" spans="1:57" x14ac:dyDescent="0.25">
      <c r="A4" s="318" t="s">
        <v>51</v>
      </c>
      <c r="B4" s="319"/>
      <c r="C4"/>
      <c r="D4"/>
      <c r="G4" s="320"/>
      <c r="H4" s="320"/>
      <c r="I4" s="320"/>
      <c r="L4"/>
      <c r="M4"/>
      <c r="N4"/>
      <c r="O4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R4" s="322"/>
      <c r="AS4" s="322"/>
      <c r="AT4" s="322"/>
      <c r="AU4" s="322"/>
      <c r="AV4" s="322"/>
      <c r="AW4" s="322"/>
      <c r="AX4" s="322"/>
      <c r="AY4" s="322"/>
      <c r="AZ4" s="322"/>
      <c r="BE4" s="82"/>
    </row>
    <row r="5" spans="1:57" x14ac:dyDescent="0.25">
      <c r="C5"/>
      <c r="D5"/>
      <c r="G5" s="322"/>
      <c r="H5" s="322"/>
      <c r="I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R5" s="322"/>
      <c r="AS5" s="322"/>
      <c r="AT5" s="322"/>
      <c r="AU5" s="322"/>
      <c r="AV5" s="322"/>
      <c r="AW5" s="322"/>
      <c r="AX5" s="322"/>
      <c r="AY5" s="322"/>
      <c r="AZ5" s="322"/>
      <c r="BE5" s="82"/>
    </row>
    <row r="6" spans="1:57" outlineLevel="1" x14ac:dyDescent="0.25">
      <c r="C6" s="1946"/>
      <c r="D6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E6" s="82"/>
    </row>
    <row r="7" spans="1:57" outlineLevel="1" x14ac:dyDescent="0.25">
      <c r="C7" s="1945"/>
      <c r="D7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4" t="s">
        <v>130</v>
      </c>
      <c r="AT7" s="326"/>
      <c r="AU7" s="326"/>
      <c r="AV7" s="326"/>
      <c r="AW7" s="326"/>
      <c r="AX7" s="326"/>
      <c r="AY7" s="326"/>
      <c r="AZ7" s="326"/>
      <c r="BE7" s="82"/>
    </row>
    <row r="8" spans="1:57" x14ac:dyDescent="0.25">
      <c r="B8"/>
      <c r="C8"/>
      <c r="D8"/>
      <c r="E8" s="327" t="s">
        <v>131</v>
      </c>
      <c r="F8" s="327" t="s">
        <v>131</v>
      </c>
      <c r="G8" s="327" t="s">
        <v>131</v>
      </c>
      <c r="H8" s="327" t="s">
        <v>131</v>
      </c>
      <c r="I8" s="327" t="s">
        <v>131</v>
      </c>
      <c r="J8" s="327" t="s">
        <v>131</v>
      </c>
      <c r="K8" s="327" t="s">
        <v>131</v>
      </c>
      <c r="L8" s="327" t="s">
        <v>131</v>
      </c>
      <c r="M8" s="327" t="s">
        <v>131</v>
      </c>
      <c r="N8" s="327" t="s">
        <v>131</v>
      </c>
      <c r="O8" s="327" t="s">
        <v>131</v>
      </c>
      <c r="P8" s="327" t="s">
        <v>131</v>
      </c>
      <c r="Q8" s="327" t="s">
        <v>131</v>
      </c>
      <c r="R8" s="327" t="s">
        <v>131</v>
      </c>
      <c r="S8" s="327" t="s">
        <v>131</v>
      </c>
      <c r="T8" s="327" t="s">
        <v>131</v>
      </c>
      <c r="U8" s="327" t="s">
        <v>131</v>
      </c>
      <c r="V8" s="327" t="s">
        <v>131</v>
      </c>
      <c r="W8" s="327" t="s">
        <v>131</v>
      </c>
      <c r="X8" s="327" t="s">
        <v>131</v>
      </c>
      <c r="Y8" s="327" t="s">
        <v>131</v>
      </c>
      <c r="Z8" s="327" t="s">
        <v>131</v>
      </c>
      <c r="AA8" s="327" t="s">
        <v>131</v>
      </c>
      <c r="AB8" s="327" t="s">
        <v>131</v>
      </c>
      <c r="AC8" s="327" t="s">
        <v>131</v>
      </c>
      <c r="AD8" s="327" t="s">
        <v>131</v>
      </c>
      <c r="AE8" s="327" t="s">
        <v>131</v>
      </c>
      <c r="AF8" s="327" t="s">
        <v>131</v>
      </c>
      <c r="AG8" s="327" t="s">
        <v>131</v>
      </c>
      <c r="AH8" s="327" t="s">
        <v>131</v>
      </c>
      <c r="AI8" s="327" t="s">
        <v>131</v>
      </c>
      <c r="AJ8" s="327" t="s">
        <v>131</v>
      </c>
      <c r="AK8" s="327" t="s">
        <v>131</v>
      </c>
      <c r="AL8" s="327" t="s">
        <v>131</v>
      </c>
      <c r="AM8" s="327" t="s">
        <v>131</v>
      </c>
      <c r="AN8" s="327" t="s">
        <v>131</v>
      </c>
      <c r="AO8" s="327" t="s">
        <v>131</v>
      </c>
      <c r="AP8" s="328" t="s">
        <v>1046</v>
      </c>
      <c r="AQ8" s="328" t="s">
        <v>1046</v>
      </c>
      <c r="AR8" s="328" t="s">
        <v>1046</v>
      </c>
      <c r="AS8" s="327" t="s">
        <v>131</v>
      </c>
      <c r="AT8" s="328"/>
      <c r="AU8" s="328"/>
      <c r="AV8" s="328"/>
      <c r="AW8" s="328"/>
      <c r="AX8" s="328"/>
      <c r="AY8" s="328"/>
      <c r="AZ8" s="328"/>
      <c r="BE8" s="82"/>
    </row>
    <row r="9" spans="1:57" x14ac:dyDescent="0.25">
      <c r="D9" s="329"/>
      <c r="E9" s="330">
        <v>36.010000000000005</v>
      </c>
      <c r="F9" s="330">
        <v>36.020000000000003</v>
      </c>
      <c r="G9" s="330">
        <v>36.03</v>
      </c>
      <c r="H9" s="330">
        <v>36.040000000000006</v>
      </c>
      <c r="I9" s="330">
        <v>36.050000000000011</v>
      </c>
      <c r="J9" s="330">
        <v>36.060000000000009</v>
      </c>
      <c r="K9" s="330">
        <v>36.070000000000007</v>
      </c>
      <c r="L9" s="330">
        <v>36.080000000000013</v>
      </c>
      <c r="M9" s="330">
        <v>36.090000000000018</v>
      </c>
      <c r="N9" s="330">
        <v>36.100000000000016</v>
      </c>
      <c r="O9" s="330">
        <v>36.110000000000014</v>
      </c>
      <c r="P9" s="330">
        <v>36.120000000000019</v>
      </c>
      <c r="Q9" s="330">
        <v>36.130000000000024</v>
      </c>
      <c r="R9" s="330">
        <v>36.140000000000022</v>
      </c>
      <c r="S9" s="330">
        <v>36.15000000000002</v>
      </c>
      <c r="T9" s="330">
        <v>36.160000000000025</v>
      </c>
      <c r="U9" s="330">
        <v>36.17000000000003</v>
      </c>
      <c r="V9" s="330">
        <v>36.180000000000028</v>
      </c>
      <c r="W9" s="330">
        <v>36.190000000000026</v>
      </c>
      <c r="X9" s="330">
        <v>36.200000000000031</v>
      </c>
      <c r="Y9" s="330">
        <v>36.210000000000036</v>
      </c>
      <c r="Z9" s="330">
        <v>36.220000000000034</v>
      </c>
      <c r="AA9" s="330">
        <v>36.230000000000032</v>
      </c>
      <c r="AB9" s="330">
        <v>36.240000000000038</v>
      </c>
      <c r="AC9" s="330">
        <v>36.250000000000043</v>
      </c>
      <c r="AD9" s="330">
        <v>36.260000000000041</v>
      </c>
      <c r="AE9" s="330">
        <v>36.270000000000039</v>
      </c>
      <c r="AF9" s="330">
        <v>36.280000000000044</v>
      </c>
      <c r="AG9" s="330">
        <v>36.290000000000049</v>
      </c>
      <c r="AH9" s="330">
        <v>36.300000000000047</v>
      </c>
      <c r="AI9" s="330">
        <v>36.310000000000045</v>
      </c>
      <c r="AJ9" s="330">
        <v>36.32000000000005</v>
      </c>
      <c r="AK9" s="330">
        <v>36.330000000000055</v>
      </c>
      <c r="AL9" s="330">
        <v>36.340000000000053</v>
      </c>
      <c r="AM9" s="330">
        <v>36.350000000000051</v>
      </c>
      <c r="AN9" s="330">
        <v>36.360000000000056</v>
      </c>
      <c r="AO9" s="330">
        <v>36.370000000000061</v>
      </c>
      <c r="AP9" s="330">
        <v>36.380000000000059</v>
      </c>
      <c r="AQ9" s="330">
        <v>36.390000000000057</v>
      </c>
      <c r="AR9" s="330">
        <v>36.400000000000055</v>
      </c>
      <c r="AS9" s="330">
        <v>36.489999999999995</v>
      </c>
      <c r="AT9" s="330"/>
      <c r="AU9" s="330"/>
      <c r="AV9" s="330"/>
      <c r="AW9" s="330"/>
      <c r="AX9" s="330"/>
      <c r="AY9" s="330"/>
      <c r="AZ9" s="330"/>
      <c r="BA9" s="329"/>
      <c r="BB9" s="329"/>
      <c r="BC9" s="82" t="s">
        <v>41</v>
      </c>
      <c r="BE9" s="82"/>
    </row>
    <row r="10" spans="1:57" ht="71.25" x14ac:dyDescent="0.25">
      <c r="A10" s="331" t="s">
        <v>4</v>
      </c>
      <c r="B10" s="332" t="s">
        <v>8</v>
      </c>
      <c r="C10" s="332"/>
      <c r="D10" s="333" t="s">
        <v>133</v>
      </c>
      <c r="E10" s="322" t="s">
        <v>778</v>
      </c>
      <c r="F10" s="322" t="s">
        <v>777</v>
      </c>
      <c r="G10" s="322" t="s">
        <v>776</v>
      </c>
      <c r="H10" s="322" t="s">
        <v>775</v>
      </c>
      <c r="I10" s="322" t="s">
        <v>774</v>
      </c>
      <c r="J10" s="322" t="s">
        <v>773</v>
      </c>
      <c r="K10" s="322" t="s">
        <v>772</v>
      </c>
      <c r="L10" s="322" t="s">
        <v>771</v>
      </c>
      <c r="M10" s="322" t="s">
        <v>770</v>
      </c>
      <c r="N10" s="322" t="s">
        <v>769</v>
      </c>
      <c r="O10" s="322" t="s">
        <v>768</v>
      </c>
      <c r="P10" s="322" t="s">
        <v>767</v>
      </c>
      <c r="Q10" s="322" t="s">
        <v>766</v>
      </c>
      <c r="R10" s="322" t="s">
        <v>765</v>
      </c>
      <c r="S10" s="322" t="s">
        <v>764</v>
      </c>
      <c r="T10" s="322" t="s">
        <v>763</v>
      </c>
      <c r="U10" s="322" t="s">
        <v>762</v>
      </c>
      <c r="V10" s="322" t="s">
        <v>761</v>
      </c>
      <c r="W10" s="322" t="s">
        <v>760</v>
      </c>
      <c r="X10" s="322" t="s">
        <v>759</v>
      </c>
      <c r="Y10" s="322" t="s">
        <v>202</v>
      </c>
      <c r="Z10" s="322" t="s">
        <v>758</v>
      </c>
      <c r="AA10" s="322" t="s">
        <v>757</v>
      </c>
      <c r="AB10" s="322" t="s">
        <v>756</v>
      </c>
      <c r="AC10" s="322" t="s">
        <v>755</v>
      </c>
      <c r="AD10" s="322" t="s">
        <v>754</v>
      </c>
      <c r="AE10" s="322" t="s">
        <v>753</v>
      </c>
      <c r="AF10" s="322" t="s">
        <v>752</v>
      </c>
      <c r="AG10" s="322" t="s">
        <v>751</v>
      </c>
      <c r="AH10" s="322" t="s">
        <v>750</v>
      </c>
      <c r="AI10" s="322" t="s">
        <v>749</v>
      </c>
      <c r="AJ10" s="322" t="s">
        <v>748</v>
      </c>
      <c r="AK10" s="322" t="s">
        <v>747</v>
      </c>
      <c r="AL10" s="322" t="s">
        <v>746</v>
      </c>
      <c r="AM10" s="322" t="s">
        <v>745</v>
      </c>
      <c r="AN10" s="322" t="s">
        <v>744</v>
      </c>
      <c r="AO10" s="322" t="s">
        <v>134</v>
      </c>
      <c r="AP10" s="336" t="s">
        <v>1027</v>
      </c>
      <c r="AQ10" s="336" t="s">
        <v>1026</v>
      </c>
      <c r="AR10" s="336" t="s">
        <v>1025</v>
      </c>
      <c r="AS10" s="336" t="s">
        <v>135</v>
      </c>
      <c r="AT10" s="336"/>
      <c r="AU10" s="336"/>
      <c r="AV10" s="336"/>
      <c r="AW10" s="336"/>
      <c r="AX10" s="336"/>
      <c r="AY10" s="336"/>
      <c r="AZ10" s="336"/>
      <c r="BA10" s="333" t="s">
        <v>141</v>
      </c>
      <c r="BB10" s="333" t="s">
        <v>142</v>
      </c>
      <c r="BC10" s="82" t="s">
        <v>41</v>
      </c>
      <c r="BE10" s="340"/>
    </row>
    <row r="11" spans="1:57" x14ac:dyDescent="0.25">
      <c r="D11" s="341" t="s">
        <v>463</v>
      </c>
      <c r="E11" s="82" t="s">
        <v>784</v>
      </c>
      <c r="F11" s="82" t="s">
        <v>160</v>
      </c>
      <c r="G11" s="82" t="s">
        <v>785</v>
      </c>
      <c r="H11" s="82" t="s">
        <v>466</v>
      </c>
      <c r="I11" s="82" t="s">
        <v>786</v>
      </c>
      <c r="J11" s="82" t="s">
        <v>79</v>
      </c>
      <c r="K11" s="82" t="s">
        <v>787</v>
      </c>
      <c r="L11" s="82" t="s">
        <v>77</v>
      </c>
      <c r="M11" s="82" t="s">
        <v>788</v>
      </c>
      <c r="N11" s="82" t="s">
        <v>789</v>
      </c>
      <c r="O11" s="82" t="s">
        <v>790</v>
      </c>
      <c r="P11" s="82" t="s">
        <v>791</v>
      </c>
      <c r="Q11" s="82" t="s">
        <v>792</v>
      </c>
      <c r="R11" s="82" t="s">
        <v>793</v>
      </c>
      <c r="S11" s="82" t="s">
        <v>794</v>
      </c>
      <c r="T11" s="82" t="s">
        <v>795</v>
      </c>
      <c r="U11" s="82" t="s">
        <v>796</v>
      </c>
      <c r="V11" s="82" t="s">
        <v>797</v>
      </c>
      <c r="W11" s="82" t="s">
        <v>798</v>
      </c>
      <c r="X11" s="82" t="s">
        <v>799</v>
      </c>
      <c r="Y11" s="82" t="s">
        <v>800</v>
      </c>
      <c r="Z11" s="82" t="s">
        <v>801</v>
      </c>
      <c r="AA11" s="82" t="s">
        <v>802</v>
      </c>
      <c r="AB11" s="82" t="s">
        <v>803</v>
      </c>
      <c r="AC11" s="82" t="s">
        <v>804</v>
      </c>
      <c r="AD11" s="82" t="s">
        <v>805</v>
      </c>
      <c r="AE11" s="82" t="s">
        <v>806</v>
      </c>
      <c r="AF11" s="82" t="s">
        <v>807</v>
      </c>
      <c r="AG11" s="82" t="s">
        <v>808</v>
      </c>
      <c r="AH11" s="82" t="s">
        <v>809</v>
      </c>
      <c r="AI11" s="82" t="s">
        <v>810</v>
      </c>
      <c r="AJ11" s="82" t="s">
        <v>811</v>
      </c>
      <c r="AK11" s="82" t="s">
        <v>812</v>
      </c>
      <c r="AL11" s="82" t="s">
        <v>813</v>
      </c>
      <c r="AM11" s="82" t="s">
        <v>814</v>
      </c>
      <c r="AN11" s="82" t="s">
        <v>815</v>
      </c>
      <c r="AO11" s="82" t="s">
        <v>816</v>
      </c>
      <c r="AP11" s="82" t="s">
        <v>817</v>
      </c>
      <c r="AQ11" s="82" t="s">
        <v>818</v>
      </c>
      <c r="AR11" s="82" t="s">
        <v>819</v>
      </c>
      <c r="AS11" s="82" t="s">
        <v>820</v>
      </c>
      <c r="AT11" s="82"/>
      <c r="AU11" s="82"/>
      <c r="AV11" s="82"/>
      <c r="AW11" s="82"/>
      <c r="AX11" s="82"/>
      <c r="AY11" s="82"/>
      <c r="AZ11" s="82"/>
      <c r="BA11" s="341" t="s">
        <v>1048</v>
      </c>
      <c r="BB11" s="341" t="s">
        <v>1049</v>
      </c>
      <c r="BC11" s="82" t="s">
        <v>41</v>
      </c>
      <c r="BE11" s="82"/>
    </row>
    <row r="12" spans="1:57" x14ac:dyDescent="0.25">
      <c r="D12" s="341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341"/>
      <c r="BB12" s="341"/>
      <c r="BC12" s="82" t="s">
        <v>41</v>
      </c>
      <c r="BE12" s="82"/>
    </row>
    <row r="13" spans="1:57" outlineLevel="1" x14ac:dyDescent="0.25">
      <c r="B13" s="399"/>
      <c r="C13" s="1246" t="s">
        <v>143</v>
      </c>
      <c r="D13" s="1906"/>
      <c r="E13" s="326">
        <v>45078</v>
      </c>
      <c r="F13" s="326">
        <v>45078</v>
      </c>
      <c r="G13" s="326">
        <v>45078</v>
      </c>
      <c r="H13" s="326">
        <v>45078</v>
      </c>
      <c r="I13" s="326">
        <v>45078</v>
      </c>
      <c r="J13" s="326">
        <v>45078</v>
      </c>
      <c r="K13" s="326">
        <v>45078</v>
      </c>
      <c r="L13" s="326">
        <v>45078</v>
      </c>
      <c r="M13" s="326">
        <v>45078</v>
      </c>
      <c r="N13" s="326">
        <v>45078</v>
      </c>
      <c r="O13" s="326">
        <v>45078</v>
      </c>
      <c r="P13" s="326">
        <v>45078</v>
      </c>
      <c r="Q13" s="326">
        <v>45078</v>
      </c>
      <c r="R13" s="326">
        <v>45078</v>
      </c>
      <c r="S13" s="326">
        <v>45078</v>
      </c>
      <c r="T13" s="326">
        <v>45078</v>
      </c>
      <c r="U13" s="326">
        <v>45078</v>
      </c>
      <c r="V13" s="326">
        <v>45078</v>
      </c>
      <c r="W13" s="326">
        <v>45078</v>
      </c>
      <c r="X13" s="326">
        <v>45078</v>
      </c>
      <c r="Y13" s="326">
        <v>45078</v>
      </c>
      <c r="Z13" s="326">
        <v>45078</v>
      </c>
      <c r="AA13" s="326">
        <v>45078</v>
      </c>
      <c r="AB13" s="326">
        <v>45078</v>
      </c>
      <c r="AC13" s="326">
        <v>45078</v>
      </c>
      <c r="AD13" s="326">
        <v>45078</v>
      </c>
      <c r="AE13" s="326">
        <v>45078</v>
      </c>
      <c r="AF13" s="326">
        <v>45078</v>
      </c>
      <c r="AG13" s="326">
        <v>45078</v>
      </c>
      <c r="AH13" s="326">
        <v>45078</v>
      </c>
      <c r="AI13" s="326">
        <v>45078</v>
      </c>
      <c r="AJ13" s="326">
        <v>45078</v>
      </c>
      <c r="AK13" s="326">
        <v>45078</v>
      </c>
      <c r="AL13" s="326">
        <v>45078</v>
      </c>
      <c r="AM13" s="326">
        <v>45078</v>
      </c>
      <c r="AN13" s="326">
        <v>45078</v>
      </c>
      <c r="AO13" s="326">
        <v>45078</v>
      </c>
      <c r="AP13" s="326">
        <v>45078</v>
      </c>
      <c r="AQ13" s="326">
        <v>45078</v>
      </c>
      <c r="AR13" s="326">
        <v>45078</v>
      </c>
      <c r="AS13" s="326">
        <v>45078</v>
      </c>
      <c r="AT13" s="326">
        <v>45078</v>
      </c>
      <c r="AU13" s="326">
        <v>45078</v>
      </c>
      <c r="AV13" s="326">
        <v>45078</v>
      </c>
      <c r="AW13" s="326">
        <v>45078</v>
      </c>
      <c r="AX13" s="326">
        <v>45078</v>
      </c>
      <c r="AY13" s="326">
        <v>45078</v>
      </c>
      <c r="AZ13" s="326">
        <v>45078</v>
      </c>
      <c r="BA13" s="1905">
        <v>45078</v>
      </c>
      <c r="BB13" s="1905">
        <v>45078</v>
      </c>
      <c r="BC13" s="82" t="s">
        <v>41</v>
      </c>
      <c r="BE13" s="82"/>
    </row>
    <row r="14" spans="1:57" outlineLevel="1" x14ac:dyDescent="0.25">
      <c r="B14" s="399"/>
      <c r="C14" s="1247">
        <v>45078</v>
      </c>
      <c r="D14" s="1904"/>
      <c r="E14" s="1249"/>
      <c r="F14" s="1249"/>
      <c r="G14" s="1249"/>
      <c r="H14" s="1249"/>
      <c r="I14" s="1249"/>
      <c r="J14" s="1249"/>
      <c r="K14" s="1249"/>
      <c r="L14" s="1249"/>
      <c r="M14" s="1249"/>
      <c r="N14" s="1249"/>
      <c r="O14" s="1249"/>
      <c r="P14" s="1249"/>
      <c r="Q14" s="1249"/>
      <c r="R14" s="1249"/>
      <c r="S14" s="1249"/>
      <c r="T14" s="1249"/>
      <c r="U14" s="1249"/>
      <c r="V14" s="1249"/>
      <c r="W14" s="1249"/>
      <c r="X14" s="1249"/>
      <c r="Y14" s="1249"/>
      <c r="Z14" s="1249"/>
      <c r="AA14" s="1249"/>
      <c r="AB14" s="1249"/>
      <c r="AC14" s="1249"/>
      <c r="AD14" s="1249"/>
      <c r="AE14" s="1249"/>
      <c r="AF14" s="1249"/>
      <c r="AG14" s="1249"/>
      <c r="AH14" s="1249"/>
      <c r="AI14" s="1249"/>
      <c r="AJ14" s="1249"/>
      <c r="AK14" s="1249"/>
      <c r="AL14" s="1249"/>
      <c r="AM14" s="1249"/>
      <c r="AN14" s="1249"/>
      <c r="AO14" s="1249"/>
      <c r="AP14" s="1249"/>
      <c r="AQ14" s="1249"/>
      <c r="AR14" s="1249"/>
      <c r="AS14" s="1249"/>
      <c r="AT14" s="1249"/>
      <c r="AU14" s="1249"/>
      <c r="AV14" s="1249"/>
      <c r="AW14" s="1249"/>
      <c r="AX14" s="1249"/>
      <c r="AY14" s="1249"/>
      <c r="AZ14" s="1249"/>
      <c r="BA14" s="1904"/>
      <c r="BB14" s="1904"/>
      <c r="BC14" s="82" t="s">
        <v>41</v>
      </c>
      <c r="BE14" s="82"/>
    </row>
    <row r="15" spans="1:57" outlineLevel="1" x14ac:dyDescent="0.25">
      <c r="A15" s="394">
        <f>ROW()</f>
        <v>15</v>
      </c>
      <c r="B15" s="349" t="s">
        <v>81</v>
      </c>
      <c r="C15" s="350" t="s">
        <v>143</v>
      </c>
      <c r="D15" s="351"/>
      <c r="BA15" s="351"/>
      <c r="BB15" s="351"/>
      <c r="BC15" s="82" t="s">
        <v>41</v>
      </c>
      <c r="BE15" s="82"/>
    </row>
    <row r="16" spans="1:57" outlineLevel="1" x14ac:dyDescent="0.25">
      <c r="A16" s="394">
        <f>ROW()</f>
        <v>16</v>
      </c>
      <c r="B16" s="349" t="s">
        <v>82</v>
      </c>
      <c r="C16" s="350" t="s">
        <v>143</v>
      </c>
      <c r="D16" s="352">
        <v>1320264855.1100001</v>
      </c>
      <c r="E16" s="407">
        <f>'SEF-36 pg 1-33, 37'!E37</f>
        <v>42653066.143237561</v>
      </c>
      <c r="F16" s="407">
        <f>'SEF-36 pg 1-33, 37'!W68</f>
        <v>-727661685.21031713</v>
      </c>
      <c r="G16" s="407">
        <f>'SEF-36 pg 1-33, 37'!AO20</f>
        <v>-480316.00516370451</v>
      </c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407"/>
      <c r="Z16" s="407"/>
      <c r="AA16" s="407"/>
      <c r="AB16" s="407"/>
      <c r="AC16" s="407"/>
      <c r="AD16" s="407"/>
      <c r="AE16" s="407"/>
      <c r="AF16" s="407"/>
      <c r="AG16" s="407"/>
      <c r="AH16" s="407"/>
      <c r="AI16" s="407"/>
      <c r="AJ16" s="407"/>
      <c r="AK16" s="407"/>
      <c r="AL16" s="407"/>
      <c r="AM16" s="407"/>
      <c r="AN16" s="407"/>
      <c r="AO16" s="407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352">
        <f>SUM(E16:AZ16)</f>
        <v>-685488935.07224321</v>
      </c>
      <c r="BB16" s="352">
        <f>+BA16+D16</f>
        <v>634775920.03775692</v>
      </c>
      <c r="BC16" s="82" t="s">
        <v>41</v>
      </c>
      <c r="BD16" s="356"/>
      <c r="BE16" s="82"/>
    </row>
    <row r="17" spans="1:57" outlineLevel="1" x14ac:dyDescent="0.25">
      <c r="A17" s="394">
        <f>ROW()</f>
        <v>17</v>
      </c>
      <c r="B17" s="349" t="s">
        <v>83</v>
      </c>
      <c r="C17" s="350" t="s">
        <v>143</v>
      </c>
      <c r="D17" s="357">
        <v>0</v>
      </c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08"/>
      <c r="V17" s="408"/>
      <c r="W17" s="408"/>
      <c r="X17" s="408"/>
      <c r="Y17" s="408"/>
      <c r="Z17" s="408"/>
      <c r="AA17" s="408"/>
      <c r="AB17" s="408"/>
      <c r="AC17" s="408"/>
      <c r="AD17" s="408"/>
      <c r="AE17" s="408"/>
      <c r="AF17" s="408"/>
      <c r="AG17" s="408"/>
      <c r="AH17" s="408"/>
      <c r="AI17" s="408"/>
      <c r="AJ17" s="408"/>
      <c r="AK17" s="408"/>
      <c r="AL17" s="408"/>
      <c r="AM17" s="408"/>
      <c r="AN17" s="408"/>
      <c r="AO17" s="40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7">
        <f>SUM(E17:AZ17)</f>
        <v>0</v>
      </c>
      <c r="BB17" s="357">
        <f>+BA17+D17</f>
        <v>0</v>
      </c>
      <c r="BC17" s="82" t="s">
        <v>41</v>
      </c>
      <c r="BD17" s="356"/>
      <c r="BE17" s="82"/>
    </row>
    <row r="18" spans="1:57" outlineLevel="1" x14ac:dyDescent="0.25">
      <c r="A18" s="394">
        <f>ROW()</f>
        <v>18</v>
      </c>
      <c r="B18" s="349" t="s">
        <v>84</v>
      </c>
      <c r="C18" s="350" t="s">
        <v>143</v>
      </c>
      <c r="D18" s="357">
        <v>0</v>
      </c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  <c r="AA18" s="408"/>
      <c r="AB18" s="408"/>
      <c r="AC18" s="408"/>
      <c r="AD18" s="408"/>
      <c r="AE18" s="408"/>
      <c r="AF18" s="408"/>
      <c r="AG18" s="408"/>
      <c r="AH18" s="408"/>
      <c r="AI18" s="408"/>
      <c r="AJ18" s="408"/>
      <c r="AK18" s="408"/>
      <c r="AL18" s="408"/>
      <c r="AM18" s="408"/>
      <c r="AN18" s="408"/>
      <c r="AO18" s="408"/>
      <c r="AP18" s="358"/>
      <c r="AQ18" s="358"/>
      <c r="AR18" s="358"/>
      <c r="AS18" s="358"/>
      <c r="AT18" s="358"/>
      <c r="AU18" s="358"/>
      <c r="AV18" s="358"/>
      <c r="AW18" s="358"/>
      <c r="AX18" s="358"/>
      <c r="AY18" s="358"/>
      <c r="AZ18" s="358"/>
      <c r="BA18" s="357">
        <f>SUM(E18:AZ18)</f>
        <v>0</v>
      </c>
      <c r="BB18" s="357">
        <f>+BA18+D18</f>
        <v>0</v>
      </c>
      <c r="BC18" s="82" t="s">
        <v>41</v>
      </c>
      <c r="BD18" s="356"/>
      <c r="BE18" s="82"/>
    </row>
    <row r="19" spans="1:57" outlineLevel="1" x14ac:dyDescent="0.25">
      <c r="A19" s="394">
        <f>ROW()</f>
        <v>19</v>
      </c>
      <c r="B19" s="349" t="s">
        <v>85</v>
      </c>
      <c r="C19" s="350" t="s">
        <v>143</v>
      </c>
      <c r="D19" s="357">
        <v>14367467.789999999</v>
      </c>
      <c r="E19" s="408">
        <f>'SEF-36 pg 1-33, 37'!E54</f>
        <v>111532.00999999978</v>
      </c>
      <c r="F19" s="408">
        <f>'SEF-36 pg 1-33, 37'!W69</f>
        <v>11058338.82</v>
      </c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  <c r="AA19" s="408"/>
      <c r="AB19" s="408">
        <f>+'SEF-36 pg 1-33, 37'!PC38</f>
        <v>-3844168.62</v>
      </c>
      <c r="AC19" s="408"/>
      <c r="AD19" s="408"/>
      <c r="AE19" s="408"/>
      <c r="AF19" s="408"/>
      <c r="AG19" s="408"/>
      <c r="AH19" s="408"/>
      <c r="AI19" s="408"/>
      <c r="AJ19" s="408"/>
      <c r="AK19" s="408">
        <f>'SEF-36 pg 1-33, 37'!UB19</f>
        <v>0</v>
      </c>
      <c r="AL19" s="408"/>
      <c r="AM19" s="408"/>
      <c r="AN19" s="408"/>
      <c r="AO19" s="40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7">
        <f>SUM(E19:AZ19)</f>
        <v>7325702.21</v>
      </c>
      <c r="BB19" s="357">
        <f>+BA19+D19</f>
        <v>21693170</v>
      </c>
      <c r="BC19" s="82" t="s">
        <v>41</v>
      </c>
      <c r="BD19" s="356"/>
      <c r="BE19" s="82"/>
    </row>
    <row r="20" spans="1:57" outlineLevel="1" x14ac:dyDescent="0.25">
      <c r="A20" s="394">
        <f>ROW()</f>
        <v>20</v>
      </c>
      <c r="B20" s="349" t="s">
        <v>86</v>
      </c>
      <c r="C20" s="350" t="s">
        <v>143</v>
      </c>
      <c r="D20" s="359">
        <f t="shared" ref="D20:AI20" si="0">SUM(D16:D19)</f>
        <v>1334632322.9000001</v>
      </c>
      <c r="E20" s="410">
        <f t="shared" si="0"/>
        <v>42764598.153237559</v>
      </c>
      <c r="F20" s="410">
        <f t="shared" si="0"/>
        <v>-716603346.39031708</v>
      </c>
      <c r="G20" s="410">
        <f t="shared" si="0"/>
        <v>-480316.00516370451</v>
      </c>
      <c r="H20" s="410">
        <f t="shared" si="0"/>
        <v>0</v>
      </c>
      <c r="I20" s="410">
        <f t="shared" si="0"/>
        <v>0</v>
      </c>
      <c r="J20" s="410">
        <f t="shared" si="0"/>
        <v>0</v>
      </c>
      <c r="K20" s="410">
        <f t="shared" si="0"/>
        <v>0</v>
      </c>
      <c r="L20" s="410">
        <f t="shared" si="0"/>
        <v>0</v>
      </c>
      <c r="M20" s="410">
        <f t="shared" si="0"/>
        <v>0</v>
      </c>
      <c r="N20" s="410">
        <f t="shared" si="0"/>
        <v>0</v>
      </c>
      <c r="O20" s="410">
        <f t="shared" si="0"/>
        <v>0</v>
      </c>
      <c r="P20" s="410">
        <f t="shared" si="0"/>
        <v>0</v>
      </c>
      <c r="Q20" s="410">
        <f t="shared" si="0"/>
        <v>0</v>
      </c>
      <c r="R20" s="410">
        <f t="shared" si="0"/>
        <v>0</v>
      </c>
      <c r="S20" s="410">
        <f t="shared" si="0"/>
        <v>0</v>
      </c>
      <c r="T20" s="410">
        <f t="shared" si="0"/>
        <v>0</v>
      </c>
      <c r="U20" s="410">
        <f t="shared" si="0"/>
        <v>0</v>
      </c>
      <c r="V20" s="410">
        <f t="shared" si="0"/>
        <v>0</v>
      </c>
      <c r="W20" s="410">
        <f t="shared" si="0"/>
        <v>0</v>
      </c>
      <c r="X20" s="410">
        <f t="shared" si="0"/>
        <v>0</v>
      </c>
      <c r="Y20" s="410">
        <f t="shared" si="0"/>
        <v>0</v>
      </c>
      <c r="Z20" s="410">
        <f t="shared" si="0"/>
        <v>0</v>
      </c>
      <c r="AA20" s="410">
        <f t="shared" si="0"/>
        <v>0</v>
      </c>
      <c r="AB20" s="410">
        <f t="shared" si="0"/>
        <v>-3844168.62</v>
      </c>
      <c r="AC20" s="410">
        <f t="shared" si="0"/>
        <v>0</v>
      </c>
      <c r="AD20" s="410">
        <f t="shared" si="0"/>
        <v>0</v>
      </c>
      <c r="AE20" s="410">
        <f t="shared" si="0"/>
        <v>0</v>
      </c>
      <c r="AF20" s="410">
        <f t="shared" si="0"/>
        <v>0</v>
      </c>
      <c r="AG20" s="410">
        <f t="shared" si="0"/>
        <v>0</v>
      </c>
      <c r="AH20" s="410">
        <f t="shared" si="0"/>
        <v>0</v>
      </c>
      <c r="AI20" s="410">
        <f t="shared" si="0"/>
        <v>0</v>
      </c>
      <c r="AJ20" s="410"/>
      <c r="AK20" s="410">
        <f t="shared" ref="AK20:AS20" si="1">SUM(AK16:AK19)</f>
        <v>0</v>
      </c>
      <c r="AL20" s="410">
        <f t="shared" si="1"/>
        <v>0</v>
      </c>
      <c r="AM20" s="410">
        <f t="shared" si="1"/>
        <v>0</v>
      </c>
      <c r="AN20" s="410">
        <f t="shared" si="1"/>
        <v>0</v>
      </c>
      <c r="AO20" s="410">
        <f t="shared" si="1"/>
        <v>0</v>
      </c>
      <c r="AP20" s="360">
        <f t="shared" si="1"/>
        <v>0</v>
      </c>
      <c r="AQ20" s="360">
        <f t="shared" si="1"/>
        <v>0</v>
      </c>
      <c r="AR20" s="360">
        <f t="shared" si="1"/>
        <v>0</v>
      </c>
      <c r="AS20" s="360">
        <f t="shared" si="1"/>
        <v>0</v>
      </c>
      <c r="AT20" s="360"/>
      <c r="AU20" s="360"/>
      <c r="AV20" s="360"/>
      <c r="AW20" s="360"/>
      <c r="AX20" s="360"/>
      <c r="AY20" s="360"/>
      <c r="AZ20" s="360"/>
      <c r="BA20" s="359">
        <f>SUM(BA16:BA19)</f>
        <v>-678163232.86224318</v>
      </c>
      <c r="BB20" s="359">
        <f>SUM(BB16:BB19)</f>
        <v>656469090.03775692</v>
      </c>
      <c r="BC20" s="82" t="s">
        <v>41</v>
      </c>
      <c r="BD20" s="356"/>
      <c r="BE20" s="82"/>
    </row>
    <row r="21" spans="1:57" s="364" customFormat="1" outlineLevel="1" x14ac:dyDescent="0.25">
      <c r="A21" s="394">
        <f>ROW()</f>
        <v>21</v>
      </c>
      <c r="B21" s="363"/>
      <c r="C21" s="350" t="s">
        <v>143</v>
      </c>
      <c r="D21" s="357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408"/>
      <c r="AG21" s="408"/>
      <c r="AH21" s="408"/>
      <c r="AI21" s="408"/>
      <c r="AJ21" s="408"/>
      <c r="AK21" s="408"/>
      <c r="AL21" s="408"/>
      <c r="AM21" s="408"/>
      <c r="AN21" s="408"/>
      <c r="AO21" s="40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7"/>
      <c r="BB21" s="357"/>
      <c r="BC21" s="82" t="s">
        <v>41</v>
      </c>
      <c r="BD21" s="356"/>
      <c r="BE21" s="82"/>
    </row>
    <row r="22" spans="1:57" outlineLevel="1" x14ac:dyDescent="0.25">
      <c r="A22" s="394">
        <f>ROW()</f>
        <v>22</v>
      </c>
      <c r="B22" s="349" t="s">
        <v>87</v>
      </c>
      <c r="C22" s="350" t="s">
        <v>143</v>
      </c>
      <c r="D22" s="35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BA22" s="351"/>
      <c r="BB22" s="351"/>
      <c r="BC22" s="82" t="s">
        <v>41</v>
      </c>
      <c r="BD22" s="356"/>
      <c r="BE22" s="82"/>
    </row>
    <row r="23" spans="1:57" outlineLevel="1" x14ac:dyDescent="0.25">
      <c r="A23" s="394">
        <f>ROW()</f>
        <v>23</v>
      </c>
      <c r="B23" s="365"/>
      <c r="C23" s="350" t="s">
        <v>143</v>
      </c>
      <c r="D23" s="35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BA23" s="351"/>
      <c r="BB23" s="351"/>
      <c r="BC23" s="82" t="s">
        <v>41</v>
      </c>
      <c r="BD23" s="356"/>
      <c r="BE23" s="82"/>
    </row>
    <row r="24" spans="1:57" outlineLevel="1" x14ac:dyDescent="0.25">
      <c r="A24" s="394">
        <f>ROW()</f>
        <v>24</v>
      </c>
      <c r="B24" s="349" t="s">
        <v>88</v>
      </c>
      <c r="C24" s="350" t="s">
        <v>143</v>
      </c>
      <c r="D24" s="35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BA24" s="351"/>
      <c r="BB24" s="351"/>
      <c r="BC24" s="82" t="s">
        <v>41</v>
      </c>
      <c r="BD24" s="356"/>
      <c r="BE24" s="82"/>
    </row>
    <row r="25" spans="1:57" outlineLevel="1" x14ac:dyDescent="0.25">
      <c r="A25" s="394">
        <f>ROW()</f>
        <v>25</v>
      </c>
      <c r="B25" s="349" t="s">
        <v>89</v>
      </c>
      <c r="C25" s="350" t="s">
        <v>143</v>
      </c>
      <c r="D25" s="366">
        <v>0</v>
      </c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  <c r="AH25" s="412"/>
      <c r="AI25" s="412"/>
      <c r="AJ25" s="412"/>
      <c r="AK25" s="412"/>
      <c r="AL25" s="412"/>
      <c r="AM25" s="412"/>
      <c r="AN25" s="412"/>
      <c r="AO25" s="412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66">
        <f>SUM(E25:AZ25)</f>
        <v>0</v>
      </c>
      <c r="BB25" s="366">
        <f>+BA25+D25</f>
        <v>0</v>
      </c>
      <c r="BC25" s="82" t="s">
        <v>41</v>
      </c>
      <c r="BD25" s="356"/>
      <c r="BE25" s="82"/>
    </row>
    <row r="26" spans="1:57" outlineLevel="1" x14ac:dyDescent="0.25">
      <c r="A26" s="394">
        <f>ROW()</f>
        <v>26</v>
      </c>
      <c r="B26" s="349" t="s">
        <v>90</v>
      </c>
      <c r="C26" s="350" t="s">
        <v>143</v>
      </c>
      <c r="D26" s="357">
        <v>710474541.38000011</v>
      </c>
      <c r="E26" s="408">
        <f>'SEF-36 pg 1-33, 37'!E62</f>
        <v>0</v>
      </c>
      <c r="F26" s="408">
        <f>'SEF-36 pg 1-33, 37'!W72</f>
        <v>-581461939.38</v>
      </c>
      <c r="G26" s="408"/>
      <c r="H26" s="408"/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8">
        <f>'SEF-36 pg 1-33, 37'!UB32</f>
        <v>-129012602</v>
      </c>
      <c r="AL26" s="408"/>
      <c r="AM26" s="408"/>
      <c r="AN26" s="408"/>
      <c r="AO26" s="40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7">
        <f>SUM(E26:AZ26)</f>
        <v>-710474541.38</v>
      </c>
      <c r="BB26" s="357">
        <f>+BA26+D26</f>
        <v>0</v>
      </c>
      <c r="BC26" s="82" t="s">
        <v>41</v>
      </c>
      <c r="BD26" s="356"/>
      <c r="BE26" s="82"/>
    </row>
    <row r="27" spans="1:57" outlineLevel="1" x14ac:dyDescent="0.25">
      <c r="A27" s="394">
        <f>ROW()</f>
        <v>27</v>
      </c>
      <c r="B27" s="349" t="s">
        <v>91</v>
      </c>
      <c r="C27" s="350" t="s">
        <v>143</v>
      </c>
      <c r="D27" s="357">
        <v>0</v>
      </c>
      <c r="E27" s="408"/>
      <c r="F27" s="408"/>
      <c r="G27" s="408"/>
      <c r="H27" s="408"/>
      <c r="I27" s="408"/>
      <c r="J27" s="408"/>
      <c r="K27" s="408"/>
      <c r="L27" s="408"/>
      <c r="M27" s="408"/>
      <c r="N27" s="408"/>
      <c r="O27" s="408"/>
      <c r="P27" s="408"/>
      <c r="Q27" s="408"/>
      <c r="R27" s="408"/>
      <c r="S27" s="408"/>
      <c r="T27" s="408"/>
      <c r="U27" s="408"/>
      <c r="V27" s="408"/>
      <c r="W27" s="408"/>
      <c r="X27" s="408"/>
      <c r="Y27" s="408"/>
      <c r="Z27" s="408"/>
      <c r="AA27" s="408"/>
      <c r="AB27" s="408"/>
      <c r="AC27" s="408"/>
      <c r="AD27" s="408"/>
      <c r="AE27" s="408"/>
      <c r="AF27" s="408"/>
      <c r="AG27" s="408"/>
      <c r="AH27" s="408"/>
      <c r="AI27" s="408"/>
      <c r="AJ27" s="408"/>
      <c r="AK27" s="408"/>
      <c r="AL27" s="408"/>
      <c r="AM27" s="408"/>
      <c r="AN27" s="408"/>
      <c r="AO27" s="40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7">
        <f>SUM(E27:AZ27)</f>
        <v>0</v>
      </c>
      <c r="BB27" s="357">
        <f>+BA27+D27</f>
        <v>0</v>
      </c>
      <c r="BC27" s="82" t="s">
        <v>41</v>
      </c>
      <c r="BD27" s="356"/>
      <c r="BE27" s="82"/>
    </row>
    <row r="28" spans="1:57" outlineLevel="1" x14ac:dyDescent="0.25">
      <c r="A28" s="394">
        <f>ROW()</f>
        <v>28</v>
      </c>
      <c r="B28" s="365" t="s">
        <v>92</v>
      </c>
      <c r="C28" s="350" t="s">
        <v>143</v>
      </c>
      <c r="D28" s="357">
        <v>0</v>
      </c>
      <c r="E28" s="408"/>
      <c r="F28" s="408"/>
      <c r="G28" s="408"/>
      <c r="H28" s="408"/>
      <c r="I28" s="408"/>
      <c r="J28" s="408"/>
      <c r="K28" s="408"/>
      <c r="L28" s="408"/>
      <c r="M28" s="408"/>
      <c r="N28" s="408"/>
      <c r="O28" s="408"/>
      <c r="P28" s="408"/>
      <c r="Q28" s="408"/>
      <c r="R28" s="408"/>
      <c r="S28" s="408"/>
      <c r="T28" s="408"/>
      <c r="U28" s="408"/>
      <c r="V28" s="408"/>
      <c r="W28" s="408"/>
      <c r="X28" s="408"/>
      <c r="Y28" s="408"/>
      <c r="Z28" s="408"/>
      <c r="AA28" s="408"/>
      <c r="AB28" s="408"/>
      <c r="AC28" s="408"/>
      <c r="AD28" s="408"/>
      <c r="AE28" s="408"/>
      <c r="AF28" s="408"/>
      <c r="AG28" s="408"/>
      <c r="AH28" s="408"/>
      <c r="AI28" s="408"/>
      <c r="AJ28" s="408"/>
      <c r="AK28" s="408"/>
      <c r="AL28" s="408"/>
      <c r="AM28" s="408"/>
      <c r="AN28" s="408"/>
      <c r="AO28" s="40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7">
        <f>SUM(E28:AZ28)</f>
        <v>0</v>
      </c>
      <c r="BB28" s="357">
        <f>+BA28+D28</f>
        <v>0</v>
      </c>
      <c r="BC28" s="82" t="s">
        <v>41</v>
      </c>
      <c r="BD28" s="356"/>
      <c r="BE28" s="82"/>
    </row>
    <row r="29" spans="1:57" outlineLevel="1" x14ac:dyDescent="0.25">
      <c r="A29" s="394">
        <f>ROW()</f>
        <v>29</v>
      </c>
      <c r="B29" s="349" t="s">
        <v>93</v>
      </c>
      <c r="C29" s="350" t="s">
        <v>143</v>
      </c>
      <c r="D29" s="367">
        <f t="shared" ref="D29:AD29" si="2">SUM(D24:D28)</f>
        <v>710474541.38000011</v>
      </c>
      <c r="E29" s="409">
        <f t="shared" si="2"/>
        <v>0</v>
      </c>
      <c r="F29" s="368">
        <f t="shared" si="2"/>
        <v>-581461939.38</v>
      </c>
      <c r="G29" s="368">
        <f t="shared" si="2"/>
        <v>0</v>
      </c>
      <c r="H29" s="368">
        <f t="shared" si="2"/>
        <v>0</v>
      </c>
      <c r="I29" s="368">
        <f t="shared" si="2"/>
        <v>0</v>
      </c>
      <c r="J29" s="368">
        <f t="shared" si="2"/>
        <v>0</v>
      </c>
      <c r="K29" s="368">
        <f t="shared" si="2"/>
        <v>0</v>
      </c>
      <c r="L29" s="368">
        <f t="shared" si="2"/>
        <v>0</v>
      </c>
      <c r="M29" s="368">
        <f t="shared" si="2"/>
        <v>0</v>
      </c>
      <c r="N29" s="368">
        <f t="shared" si="2"/>
        <v>0</v>
      </c>
      <c r="O29" s="368">
        <f t="shared" si="2"/>
        <v>0</v>
      </c>
      <c r="P29" s="368">
        <f t="shared" si="2"/>
        <v>0</v>
      </c>
      <c r="Q29" s="368">
        <f t="shared" si="2"/>
        <v>0</v>
      </c>
      <c r="R29" s="368">
        <f t="shared" si="2"/>
        <v>0</v>
      </c>
      <c r="S29" s="368">
        <f t="shared" si="2"/>
        <v>0</v>
      </c>
      <c r="T29" s="368">
        <f t="shared" si="2"/>
        <v>0</v>
      </c>
      <c r="U29" s="368">
        <f t="shared" si="2"/>
        <v>0</v>
      </c>
      <c r="V29" s="368">
        <f t="shared" si="2"/>
        <v>0</v>
      </c>
      <c r="W29" s="368">
        <f t="shared" si="2"/>
        <v>0</v>
      </c>
      <c r="X29" s="368">
        <f t="shared" si="2"/>
        <v>0</v>
      </c>
      <c r="Y29" s="368">
        <f t="shared" si="2"/>
        <v>0</v>
      </c>
      <c r="Z29" s="368">
        <f t="shared" si="2"/>
        <v>0</v>
      </c>
      <c r="AA29" s="368">
        <f t="shared" si="2"/>
        <v>0</v>
      </c>
      <c r="AB29" s="368">
        <f t="shared" si="2"/>
        <v>0</v>
      </c>
      <c r="AC29" s="368">
        <f t="shared" si="2"/>
        <v>0</v>
      </c>
      <c r="AD29" s="368">
        <f t="shared" si="2"/>
        <v>0</v>
      </c>
      <c r="AE29" s="368"/>
      <c r="AF29" s="368"/>
      <c r="AG29" s="368"/>
      <c r="AH29" s="368"/>
      <c r="AI29" s="368">
        <f>SUM(AI24:AI28)</f>
        <v>0</v>
      </c>
      <c r="AJ29" s="368"/>
      <c r="AK29" s="368">
        <f t="shared" ref="AK29:AS29" si="3">SUM(AK24:AK28)</f>
        <v>-129012602</v>
      </c>
      <c r="AL29" s="368">
        <f t="shared" si="3"/>
        <v>0</v>
      </c>
      <c r="AM29" s="368">
        <f t="shared" si="3"/>
        <v>0</v>
      </c>
      <c r="AN29" s="368">
        <f t="shared" si="3"/>
        <v>0</v>
      </c>
      <c r="AO29" s="368">
        <f t="shared" si="3"/>
        <v>0</v>
      </c>
      <c r="AP29" s="368">
        <f t="shared" si="3"/>
        <v>0</v>
      </c>
      <c r="AQ29" s="368">
        <f t="shared" si="3"/>
        <v>0</v>
      </c>
      <c r="AR29" s="368">
        <f t="shared" si="3"/>
        <v>0</v>
      </c>
      <c r="AS29" s="368">
        <f t="shared" si="3"/>
        <v>0</v>
      </c>
      <c r="AT29" s="368"/>
      <c r="AU29" s="368"/>
      <c r="AV29" s="368"/>
      <c r="AW29" s="368"/>
      <c r="AX29" s="368"/>
      <c r="AY29" s="368"/>
      <c r="AZ29" s="368"/>
      <c r="BA29" s="367">
        <f>SUM(BA24:BA28)</f>
        <v>-710474541.38</v>
      </c>
      <c r="BB29" s="367">
        <f>SUM(BB24:BB28)</f>
        <v>0</v>
      </c>
      <c r="BC29" s="82" t="s">
        <v>41</v>
      </c>
      <c r="BD29" s="356"/>
      <c r="BE29" s="82"/>
    </row>
    <row r="30" spans="1:57" outlineLevel="1" x14ac:dyDescent="0.25">
      <c r="A30" s="394">
        <f>ROW()</f>
        <v>30</v>
      </c>
      <c r="B30" s="349"/>
      <c r="C30" s="350" t="s">
        <v>143</v>
      </c>
      <c r="D30" s="366"/>
      <c r="E30" s="412"/>
      <c r="F30" s="356"/>
      <c r="G30" s="356"/>
      <c r="H30" s="356"/>
      <c r="I30" s="356"/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/>
      <c r="AW30" s="356"/>
      <c r="AX30" s="356"/>
      <c r="AY30" s="356"/>
      <c r="AZ30" s="356"/>
      <c r="BA30" s="366"/>
      <c r="BB30" s="366"/>
      <c r="BC30" s="82" t="s">
        <v>41</v>
      </c>
      <c r="BD30" s="356"/>
      <c r="BE30" s="82"/>
    </row>
    <row r="31" spans="1:57" outlineLevel="1" x14ac:dyDescent="0.25">
      <c r="A31" s="394">
        <f>ROW()</f>
        <v>31</v>
      </c>
      <c r="B31" s="369" t="s">
        <v>94</v>
      </c>
      <c r="C31" s="350" t="s">
        <v>143</v>
      </c>
      <c r="D31" s="357">
        <v>7668314.0300000003</v>
      </c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>
        <f>'SEF-36 pg 1-33, 37'!GC18+'SEF-36 pg 1-33, 37'!GC17+'SEF-36 pg 1-33, 37'!GC19</f>
        <v>-102343.12273683809</v>
      </c>
      <c r="P31" s="408"/>
      <c r="Q31" s="408"/>
      <c r="R31" s="408"/>
      <c r="S31" s="408"/>
      <c r="T31" s="408"/>
      <c r="U31" s="408"/>
      <c r="V31" s="408">
        <f>'SEF-36 pg 1-33, 37'!KY17+'SEF-36 pg 1-33, 37'!KY18+'SEF-36 pg 1-33, 37'!KY19</f>
        <v>285393.51245643897</v>
      </c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408"/>
      <c r="AP31" s="356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66">
        <f t="shared" ref="BA31:BA44" si="4">SUM(E31:AZ31)</f>
        <v>183050.38971960088</v>
      </c>
      <c r="BB31" s="366">
        <f t="shared" ref="BB31:BB44" si="5">+BA31+D31</f>
        <v>7851364.4197196011</v>
      </c>
      <c r="BC31" s="82" t="s">
        <v>41</v>
      </c>
      <c r="BD31" s="356"/>
      <c r="BE31" s="82"/>
    </row>
    <row r="32" spans="1:57" outlineLevel="1" x14ac:dyDescent="0.25">
      <c r="A32" s="394">
        <f>ROW()</f>
        <v>32</v>
      </c>
      <c r="B32" s="349" t="s">
        <v>95</v>
      </c>
      <c r="C32" s="350" t="s">
        <v>143</v>
      </c>
      <c r="D32" s="357">
        <v>0</v>
      </c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>
        <f>+'SEF-36 pg 1-33, 37'!KY20</f>
        <v>0</v>
      </c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8"/>
      <c r="AH32" s="408"/>
      <c r="AI32" s="408"/>
      <c r="AJ32" s="408"/>
      <c r="AK32" s="408"/>
      <c r="AL32" s="408"/>
      <c r="AM32" s="408"/>
      <c r="AN32" s="408"/>
      <c r="AO32" s="408"/>
      <c r="AP32" s="358"/>
      <c r="AQ32" s="358"/>
      <c r="AR32" s="358"/>
      <c r="AS32" s="358"/>
      <c r="AT32" s="358"/>
      <c r="AU32" s="358"/>
      <c r="AV32" s="358"/>
      <c r="AW32" s="358"/>
      <c r="AX32" s="358"/>
      <c r="AY32" s="358"/>
      <c r="AZ32" s="358"/>
      <c r="BA32" s="357">
        <f t="shared" si="4"/>
        <v>0</v>
      </c>
      <c r="BB32" s="357">
        <f t="shared" si="5"/>
        <v>0</v>
      </c>
      <c r="BC32" s="82" t="s">
        <v>41</v>
      </c>
      <c r="BD32" s="356"/>
      <c r="BE32" s="82"/>
    </row>
    <row r="33" spans="1:57" outlineLevel="1" x14ac:dyDescent="0.25">
      <c r="A33" s="394">
        <f>ROW()</f>
        <v>33</v>
      </c>
      <c r="B33" s="349" t="s">
        <v>96</v>
      </c>
      <c r="C33" s="350" t="s">
        <v>143</v>
      </c>
      <c r="D33" s="357">
        <v>64058520.619999997</v>
      </c>
      <c r="E33" s="408"/>
      <c r="F33" s="408"/>
      <c r="G33" s="408"/>
      <c r="H33" s="408"/>
      <c r="I33" s="408"/>
      <c r="J33" s="408"/>
      <c r="K33" s="408"/>
      <c r="L33" s="408"/>
      <c r="M33" s="408"/>
      <c r="N33" s="408"/>
      <c r="O33" s="408">
        <f>'SEF-36 pg 1-33, 37'!GC21</f>
        <v>-663619.96648559347</v>
      </c>
      <c r="P33" s="408"/>
      <c r="Q33" s="408"/>
      <c r="R33" s="408"/>
      <c r="S33" s="408"/>
      <c r="T33" s="408"/>
      <c r="U33" s="408"/>
      <c r="V33" s="408">
        <f>+'SEF-36 pg 1-33, 37'!KY21</f>
        <v>949028.27199034393</v>
      </c>
      <c r="W33" s="408"/>
      <c r="X33" s="408"/>
      <c r="Y33" s="408"/>
      <c r="Z33" s="408"/>
      <c r="AA33" s="408"/>
      <c r="AB33" s="408"/>
      <c r="AC33" s="408"/>
      <c r="AD33" s="408"/>
      <c r="AE33" s="408"/>
      <c r="AF33" s="408"/>
      <c r="AG33" s="408"/>
      <c r="AH33" s="408"/>
      <c r="AI33" s="408"/>
      <c r="AJ33" s="408"/>
      <c r="AK33" s="408"/>
      <c r="AL33" s="408"/>
      <c r="AM33" s="408"/>
      <c r="AN33" s="408"/>
      <c r="AO33" s="40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7">
        <f t="shared" si="4"/>
        <v>285408.30550475046</v>
      </c>
      <c r="BB33" s="357">
        <f t="shared" si="5"/>
        <v>64343928.925504744</v>
      </c>
      <c r="BC33" s="82" t="s">
        <v>41</v>
      </c>
      <c r="BD33" s="356"/>
      <c r="BE33" s="82"/>
    </row>
    <row r="34" spans="1:57" outlineLevel="1" x14ac:dyDescent="0.25">
      <c r="A34" s="394">
        <f>ROW()</f>
        <v>34</v>
      </c>
      <c r="B34" s="349" t="s">
        <v>97</v>
      </c>
      <c r="C34" s="350" t="s">
        <v>143</v>
      </c>
      <c r="D34" s="357">
        <v>25951482.239999998</v>
      </c>
      <c r="E34" s="408">
        <f>'SEF-36 pg 1-33, 37'!E64</f>
        <v>123632.45326100978</v>
      </c>
      <c r="F34" s="408">
        <f>'SEF-36 pg 1-33, 37'!W73</f>
        <v>-2072558.6235161237</v>
      </c>
      <c r="G34" s="408">
        <f>'SEF-36 pg 1-33, 37'!AO22</f>
        <v>-1388.5935709282696</v>
      </c>
      <c r="H34" s="408"/>
      <c r="I34" s="408"/>
      <c r="J34" s="408">
        <f>'SEF-36 pg 1-33, 37'!CQ17</f>
        <v>-269672.36803698959</v>
      </c>
      <c r="K34" s="408"/>
      <c r="L34" s="408"/>
      <c r="M34" s="408"/>
      <c r="N34" s="408"/>
      <c r="O34" s="408">
        <f>'SEF-36 pg 1-33, 37'!GC22</f>
        <v>-149741.13523320132</v>
      </c>
      <c r="P34" s="408"/>
      <c r="Q34" s="408"/>
      <c r="R34" s="408"/>
      <c r="S34" s="408"/>
      <c r="T34" s="408"/>
      <c r="U34" s="408"/>
      <c r="V34" s="408">
        <f>+'SEF-36 pg 1-33, 37'!KY22</f>
        <v>191846.74656400736</v>
      </c>
      <c r="W34" s="408"/>
      <c r="X34" s="408"/>
      <c r="Y34" s="408"/>
      <c r="Z34" s="408"/>
      <c r="AA34" s="408"/>
      <c r="AB34" s="408">
        <f>'SEF-36 pg 1-33, 37'!PC41</f>
        <v>-11113.49148042</v>
      </c>
      <c r="AC34" s="408"/>
      <c r="AD34" s="408"/>
      <c r="AE34" s="408"/>
      <c r="AF34" s="408"/>
      <c r="AG34" s="408"/>
      <c r="AH34" s="408"/>
      <c r="AI34" s="408"/>
      <c r="AJ34" s="408"/>
      <c r="AK34" s="408">
        <f>'SEF-36 pg 1-33, 37'!UB21</f>
        <v>0</v>
      </c>
      <c r="AL34" s="408"/>
      <c r="AM34" s="408"/>
      <c r="AN34" s="408"/>
      <c r="AO34" s="40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7">
        <f t="shared" si="4"/>
        <v>-2188995.0120126451</v>
      </c>
      <c r="BB34" s="357">
        <f t="shared" si="5"/>
        <v>23762487.227987353</v>
      </c>
      <c r="BC34" s="82" t="s">
        <v>41</v>
      </c>
      <c r="BD34" s="356"/>
      <c r="BE34" s="82"/>
    </row>
    <row r="35" spans="1:57" outlineLevel="1" x14ac:dyDescent="0.25">
      <c r="A35" s="394">
        <f>ROW()</f>
        <v>35</v>
      </c>
      <c r="B35" s="349" t="s">
        <v>98</v>
      </c>
      <c r="C35" s="350" t="s">
        <v>143</v>
      </c>
      <c r="D35" s="357">
        <v>4633246.5</v>
      </c>
      <c r="E35" s="408"/>
      <c r="F35" s="408">
        <f>'SEF-36 pg 1-33, 37'!W74</f>
        <v>-2874088.03</v>
      </c>
      <c r="G35" s="408"/>
      <c r="H35" s="408"/>
      <c r="I35" s="408"/>
      <c r="J35" s="408"/>
      <c r="K35" s="408"/>
      <c r="L35" s="408"/>
      <c r="M35" s="408"/>
      <c r="N35" s="408"/>
      <c r="O35" s="408">
        <f>'SEF-36 pg 1-33, 37'!GC23+'SEF-36 pg 1-33, 37'!GC24</f>
        <v>-22685.764463297979</v>
      </c>
      <c r="P35" s="408"/>
      <c r="Q35" s="408">
        <f>'SEF-36 pg 1-33, 37'!HM16</f>
        <v>30503.742766919091</v>
      </c>
      <c r="R35" s="408">
        <f>'SEF-36 pg 1-33, 37'!IE18</f>
        <v>550639.31938240037</v>
      </c>
      <c r="S35" s="408"/>
      <c r="T35" s="408"/>
      <c r="U35" s="408"/>
      <c r="V35" s="408">
        <f>+'SEF-36 pg 1-33, 37'!KY23</f>
        <v>78515.927254621871</v>
      </c>
      <c r="W35" s="408"/>
      <c r="X35" s="408"/>
      <c r="Y35" s="408"/>
      <c r="Z35" s="408"/>
      <c r="AA35" s="408"/>
      <c r="AB35" s="408"/>
      <c r="AC35" s="408"/>
      <c r="AD35" s="408"/>
      <c r="AE35" s="408"/>
      <c r="AF35" s="408"/>
      <c r="AG35" s="408"/>
      <c r="AH35" s="408"/>
      <c r="AI35" s="408"/>
      <c r="AJ35" s="408"/>
      <c r="AK35" s="408"/>
      <c r="AL35" s="408"/>
      <c r="AM35" s="408"/>
      <c r="AN35" s="408"/>
      <c r="AO35" s="40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7">
        <f t="shared" si="4"/>
        <v>-2237114.8050593566</v>
      </c>
      <c r="BB35" s="357">
        <f t="shared" si="5"/>
        <v>2396131.6949406434</v>
      </c>
      <c r="BC35" s="82" t="s">
        <v>41</v>
      </c>
      <c r="BD35" s="356"/>
      <c r="BE35" s="82"/>
    </row>
    <row r="36" spans="1:57" outlineLevel="1" x14ac:dyDescent="0.25">
      <c r="A36" s="394">
        <f>ROW()</f>
        <v>36</v>
      </c>
      <c r="B36" s="349" t="s">
        <v>99</v>
      </c>
      <c r="C36" s="350" t="s">
        <v>143</v>
      </c>
      <c r="D36" s="357">
        <v>22395680.359999999</v>
      </c>
      <c r="E36" s="408"/>
      <c r="F36" s="408">
        <f>'SEF-36 pg 1-33, 37'!W75</f>
        <v>-22395680.359999999</v>
      </c>
      <c r="G36" s="408"/>
      <c r="H36" s="408"/>
      <c r="I36" s="408"/>
      <c r="J36" s="408"/>
      <c r="K36" s="408"/>
      <c r="L36" s="408"/>
      <c r="M36" s="408"/>
      <c r="N36" s="408"/>
      <c r="O36" s="408"/>
      <c r="P36" s="408"/>
      <c r="Q36" s="408"/>
      <c r="R36" s="408"/>
      <c r="S36" s="408"/>
      <c r="T36" s="408"/>
      <c r="U36" s="408"/>
      <c r="V36" s="408">
        <f>+'SEF-36 pg 1-33, 37'!KY24</f>
        <v>0</v>
      </c>
      <c r="W36" s="408"/>
      <c r="X36" s="408"/>
      <c r="Y36" s="408"/>
      <c r="Z36" s="408"/>
      <c r="AA36" s="408"/>
      <c r="AB36" s="408"/>
      <c r="AC36" s="408"/>
      <c r="AD36" s="408"/>
      <c r="AE36" s="408"/>
      <c r="AF36" s="408"/>
      <c r="AG36" s="408"/>
      <c r="AH36" s="408"/>
      <c r="AI36" s="408"/>
      <c r="AJ36" s="408"/>
      <c r="AK36" s="408"/>
      <c r="AL36" s="408"/>
      <c r="AM36" s="408"/>
      <c r="AN36" s="408"/>
      <c r="AO36" s="408"/>
      <c r="AP36" s="358"/>
      <c r="AQ36" s="358"/>
      <c r="AR36" s="358"/>
      <c r="AS36" s="358"/>
      <c r="AT36" s="358"/>
      <c r="AU36" s="358"/>
      <c r="AV36" s="358"/>
      <c r="AW36" s="358"/>
      <c r="AX36" s="408"/>
      <c r="AY36" s="358"/>
      <c r="AZ36" s="358"/>
      <c r="BA36" s="357">
        <f t="shared" si="4"/>
        <v>-22395680.359999999</v>
      </c>
      <c r="BB36" s="357">
        <f t="shared" si="5"/>
        <v>0</v>
      </c>
      <c r="BC36" s="82" t="s">
        <v>41</v>
      </c>
      <c r="BD36" s="356"/>
      <c r="BE36" s="82"/>
    </row>
    <row r="37" spans="1:57" outlineLevel="1" x14ac:dyDescent="0.25">
      <c r="A37" s="394">
        <f>ROW()</f>
        <v>37</v>
      </c>
      <c r="B37" s="349" t="s">
        <v>100</v>
      </c>
      <c r="C37" s="350" t="s">
        <v>143</v>
      </c>
      <c r="D37" s="357">
        <v>73412663.579999998</v>
      </c>
      <c r="E37" s="370">
        <f>'SEF-36 pg 1-33, 37'!E65</f>
        <v>213822.99076618781</v>
      </c>
      <c r="F37" s="370">
        <f>'SEF-36 pg 1-33, 37'!W76</f>
        <v>-3609862.5113250152</v>
      </c>
      <c r="G37" s="370">
        <f>'SEF-36 pg 1-33, 37'!AO23</f>
        <v>-2401.5800258185227</v>
      </c>
      <c r="H37" s="408"/>
      <c r="I37" s="408"/>
      <c r="J37" s="408"/>
      <c r="K37" s="408">
        <f>'SEF-36 pg 1-33, 37'!DI19</f>
        <v>232169.01142999995</v>
      </c>
      <c r="L37" s="408"/>
      <c r="M37" s="408">
        <f>'SEF-36 pg 1-33, 37'!ES23</f>
        <v>-17289.176081915386</v>
      </c>
      <c r="N37" s="408">
        <f>'SEF-36 pg 1-33, 37'!FK20</f>
        <v>-24042.600429258582</v>
      </c>
      <c r="O37" s="408">
        <f>'SEF-36 pg 1-33, 37'!GC25</f>
        <v>-347581.16605476255</v>
      </c>
      <c r="P37" s="408">
        <f>'SEF-36 pg 1-33, 37'!GU32</f>
        <v>191286.54157686234</v>
      </c>
      <c r="Q37" s="408"/>
      <c r="R37" s="408"/>
      <c r="S37" s="408"/>
      <c r="T37" s="408">
        <f>'SEF-36 pg 1-33, 37'!JO20</f>
        <v>-16580.372792206952</v>
      </c>
      <c r="U37" s="408">
        <f>'SEF-36 pg 1-33, 37'!KG17</f>
        <v>1414165.1287299758</v>
      </c>
      <c r="V37" s="408">
        <f>+'SEF-36 pg 1-33, 37'!KY25</f>
        <v>2036434.6902016662</v>
      </c>
      <c r="W37" s="408"/>
      <c r="X37" s="408"/>
      <c r="Y37" s="370">
        <f>'SEF-36 pg 1-33, 37'!NA20</f>
        <v>1301961.3655500002</v>
      </c>
      <c r="Z37" s="408"/>
      <c r="AA37" s="408"/>
      <c r="AB37" s="370">
        <f>'SEF-36 pg 1-33, 37'!PC42</f>
        <v>-19220.843100000002</v>
      </c>
      <c r="AC37" s="408"/>
      <c r="AD37" s="408"/>
      <c r="AE37" s="408"/>
      <c r="AF37" s="408"/>
      <c r="AG37" s="408"/>
      <c r="AH37" s="408"/>
      <c r="AI37" s="408"/>
      <c r="AJ37" s="408"/>
      <c r="AK37" s="408">
        <f>'SEF-36 pg 1-33, 37'!UB22</f>
        <v>0</v>
      </c>
      <c r="AL37" s="408"/>
      <c r="AM37" s="408">
        <f>'SEF-36 pg 1-33, 37'!TI18</f>
        <v>-87457</v>
      </c>
      <c r="AN37" s="408"/>
      <c r="AO37" s="408"/>
      <c r="AP37" s="358"/>
      <c r="AQ37" s="358"/>
      <c r="AR37" s="358"/>
      <c r="AS37" s="358"/>
      <c r="AT37" s="358"/>
      <c r="AU37" s="358"/>
      <c r="AV37" s="358"/>
      <c r="AW37" s="358"/>
      <c r="AX37" s="408"/>
      <c r="AY37" s="358"/>
      <c r="AZ37" s="358"/>
      <c r="BA37" s="371">
        <f t="shared" si="4"/>
        <v>1265404.4784457146</v>
      </c>
      <c r="BB37" s="371">
        <f t="shared" si="5"/>
        <v>74678068.058445707</v>
      </c>
      <c r="BC37" s="82" t="s">
        <v>41</v>
      </c>
      <c r="BD37" s="356"/>
      <c r="BE37" s="82"/>
    </row>
    <row r="38" spans="1:57" outlineLevel="1" x14ac:dyDescent="0.25">
      <c r="A38" s="394">
        <f>ROW()</f>
        <v>38</v>
      </c>
      <c r="B38" s="349" t="s">
        <v>101</v>
      </c>
      <c r="C38" s="350" t="s">
        <v>143</v>
      </c>
      <c r="D38" s="357">
        <v>164838105.41999999</v>
      </c>
      <c r="E38" s="408"/>
      <c r="F38" s="408"/>
      <c r="G38" s="408"/>
      <c r="H38" s="408"/>
      <c r="I38" s="408"/>
      <c r="J38" s="408"/>
      <c r="K38" s="408"/>
      <c r="L38" s="408"/>
      <c r="M38" s="408"/>
      <c r="N38" s="408"/>
      <c r="O38" s="408"/>
      <c r="P38" s="408"/>
      <c r="Q38" s="408"/>
      <c r="R38" s="408"/>
      <c r="S38" s="408"/>
      <c r="T38" s="408"/>
      <c r="U38" s="408"/>
      <c r="V38" s="408"/>
      <c r="W38" s="408"/>
      <c r="X38" s="408">
        <f>'SEF-36 pg 1-33, 37'!MI16+'SEF-36 pg 1-33, 37'!MI17+'SEF-36 pg 1-33, 37'!MI21+'SEF-36 pg 1-33, 37'!MI22</f>
        <v>12682496.739731345</v>
      </c>
      <c r="Y38" s="408"/>
      <c r="Z38" s="408"/>
      <c r="AA38" s="408">
        <f>'SEF-36 pg 1-33, 37'!OK32</f>
        <v>0</v>
      </c>
      <c r="AB38" s="408"/>
      <c r="AC38" s="408"/>
      <c r="AD38" s="408"/>
      <c r="AE38" s="408"/>
      <c r="AF38" s="408">
        <f>'SEF-36 pg 1-33, 37'!RX16+'SEF-36 pg 1-33, 37'!RX17</f>
        <v>0</v>
      </c>
      <c r="AG38" s="408"/>
      <c r="AH38" s="408"/>
      <c r="AI38" s="408"/>
      <c r="AJ38" s="408"/>
      <c r="AK38" s="408"/>
      <c r="AL38" s="408"/>
      <c r="AM38" s="408"/>
      <c r="AN38" s="408"/>
      <c r="AO38" s="408"/>
      <c r="AP38" s="356"/>
      <c r="AQ38" s="356"/>
      <c r="AR38" s="356">
        <f>'SEF-36 pg 34-36'!CQ25</f>
        <v>-689507.20602600183</v>
      </c>
      <c r="AS38" s="356"/>
      <c r="AT38" s="356"/>
      <c r="AU38" s="356"/>
      <c r="AV38" s="356"/>
      <c r="AW38" s="356"/>
      <c r="AX38" s="412"/>
      <c r="AY38" s="356"/>
      <c r="AZ38" s="356"/>
      <c r="BA38" s="357">
        <f t="shared" si="4"/>
        <v>11992989.533705343</v>
      </c>
      <c r="BB38" s="357">
        <f t="shared" si="5"/>
        <v>176831094.95370534</v>
      </c>
      <c r="BC38" s="82" t="s">
        <v>41</v>
      </c>
      <c r="BD38" s="356"/>
      <c r="BE38" s="82"/>
    </row>
    <row r="39" spans="1:57" outlineLevel="1" x14ac:dyDescent="0.25">
      <c r="A39" s="394">
        <f>ROW()</f>
        <v>39</v>
      </c>
      <c r="B39" s="349" t="s">
        <v>102</v>
      </c>
      <c r="C39" s="350" t="s">
        <v>143</v>
      </c>
      <c r="D39" s="357">
        <v>29349151.43</v>
      </c>
      <c r="E39" s="408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408"/>
      <c r="Q39" s="408"/>
      <c r="R39" s="408"/>
      <c r="S39" s="408"/>
      <c r="T39" s="408"/>
      <c r="U39" s="408"/>
      <c r="V39" s="408"/>
      <c r="W39" s="408"/>
      <c r="X39" s="408">
        <f>'SEF-36 pg 1-33, 37'!MI18+'SEF-36 pg 1-33, 37'!MI19+'SEF-36 pg 1-33, 37'!MI23+'SEF-36 pg 1-33, 37'!MI24</f>
        <v>-4044078.1971255038</v>
      </c>
      <c r="Y39" s="408"/>
      <c r="Z39" s="408"/>
      <c r="AA39" s="408"/>
      <c r="AB39" s="408"/>
      <c r="AC39" s="408"/>
      <c r="AD39" s="408"/>
      <c r="AE39" s="408"/>
      <c r="AF39" s="408">
        <f>'SEF-36 pg 1-33, 37'!RX18+'SEF-36 pg 1-33, 37'!RX19</f>
        <v>0</v>
      </c>
      <c r="AG39" s="408"/>
      <c r="AH39" s="408"/>
      <c r="AI39" s="408"/>
      <c r="AJ39" s="408"/>
      <c r="AK39" s="408"/>
      <c r="AL39" s="408"/>
      <c r="AM39" s="408"/>
      <c r="AN39" s="408"/>
      <c r="AO39" s="408"/>
      <c r="AP39" s="358"/>
      <c r="AQ39" s="358"/>
      <c r="AR39" s="358">
        <f>'SEF-36 pg 34-36'!CQ26</f>
        <v>-149248.62199999983</v>
      </c>
      <c r="AS39" s="358"/>
      <c r="AT39" s="358"/>
      <c r="AU39" s="358"/>
      <c r="AV39" s="358"/>
      <c r="AW39" s="358"/>
      <c r="AX39" s="408"/>
      <c r="AY39" s="358"/>
      <c r="AZ39" s="358"/>
      <c r="BA39" s="357">
        <f t="shared" si="4"/>
        <v>-4193326.8191255038</v>
      </c>
      <c r="BB39" s="357">
        <f t="shared" si="5"/>
        <v>25155824.610874496</v>
      </c>
      <c r="BC39" s="82" t="s">
        <v>41</v>
      </c>
      <c r="BD39" s="356"/>
      <c r="BE39" s="82"/>
    </row>
    <row r="40" spans="1:57" outlineLevel="1" x14ac:dyDescent="0.25">
      <c r="A40" s="394">
        <f>ROW()</f>
        <v>40</v>
      </c>
      <c r="B40" s="369" t="s">
        <v>103</v>
      </c>
      <c r="C40" s="350" t="s">
        <v>143</v>
      </c>
      <c r="D40" s="357">
        <v>0</v>
      </c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  <c r="AA40" s="408"/>
      <c r="AB40" s="408"/>
      <c r="AC40" s="408"/>
      <c r="AD40" s="408"/>
      <c r="AE40" s="408"/>
      <c r="AF40" s="408"/>
      <c r="AG40" s="408"/>
      <c r="AH40" s="408"/>
      <c r="AI40" s="408"/>
      <c r="AJ40" s="408"/>
      <c r="AK40" s="408"/>
      <c r="AL40" s="408"/>
      <c r="AM40" s="408"/>
      <c r="AN40" s="408"/>
      <c r="AO40" s="408"/>
      <c r="AP40" s="358"/>
      <c r="AQ40" s="358"/>
      <c r="AR40" s="358"/>
      <c r="AS40" s="358"/>
      <c r="AT40" s="358"/>
      <c r="AU40" s="358"/>
      <c r="AV40" s="358"/>
      <c r="AW40" s="358"/>
      <c r="AX40" s="408"/>
      <c r="AY40" s="358"/>
      <c r="AZ40" s="358"/>
      <c r="BA40" s="357">
        <f t="shared" si="4"/>
        <v>0</v>
      </c>
      <c r="BB40" s="357">
        <f t="shared" si="5"/>
        <v>0</v>
      </c>
      <c r="BC40" s="82" t="s">
        <v>41</v>
      </c>
      <c r="BD40" s="356"/>
      <c r="BE40" s="82"/>
    </row>
    <row r="41" spans="1:57" outlineLevel="1" x14ac:dyDescent="0.25">
      <c r="A41" s="394">
        <f>ROW()</f>
        <v>41</v>
      </c>
      <c r="B41" s="349" t="s">
        <v>104</v>
      </c>
      <c r="C41" s="350" t="s">
        <v>143</v>
      </c>
      <c r="D41" s="357">
        <v>-124060557.32999998</v>
      </c>
      <c r="E41" s="408"/>
      <c r="F41" s="408"/>
      <c r="G41" s="408"/>
      <c r="H41" s="408"/>
      <c r="I41" s="408"/>
      <c r="J41" s="408"/>
      <c r="K41" s="408"/>
      <c r="L41" s="408"/>
      <c r="M41" s="408"/>
      <c r="N41" s="408"/>
      <c r="O41" s="408"/>
      <c r="P41" s="408"/>
      <c r="Q41" s="408"/>
      <c r="R41" s="408"/>
      <c r="S41" s="408">
        <f>'SEF-36 pg 1-33, 37'!IW18</f>
        <v>984867.936666667</v>
      </c>
      <c r="T41" s="408"/>
      <c r="U41" s="408"/>
      <c r="V41" s="408"/>
      <c r="W41" s="408"/>
      <c r="X41" s="408"/>
      <c r="Y41" s="408"/>
      <c r="Z41" s="408"/>
      <c r="AA41" s="408"/>
      <c r="AB41" s="408"/>
      <c r="AC41" s="408">
        <f>'SEF-36 pg 1-33, 37'!PU17</f>
        <v>338867.23404892068</v>
      </c>
      <c r="AD41" s="408"/>
      <c r="AE41" s="408"/>
      <c r="AF41" s="408"/>
      <c r="AG41" s="408"/>
      <c r="AH41" s="408"/>
      <c r="AI41" s="408"/>
      <c r="AJ41" s="408"/>
      <c r="AK41" s="408">
        <f>'SEF-36 pg 1-33, 37'!UB34-'SEF-36 pg 1-33, 37'!UB32</f>
        <v>131168189.513</v>
      </c>
      <c r="AL41" s="408">
        <f>'SEF-36 pg 1-33, 37'!UU24</f>
        <v>1614927.4900000002</v>
      </c>
      <c r="AM41" s="408"/>
      <c r="AN41" s="408">
        <f>'SEF-36 pg 1-33, 37'!VN17</f>
        <v>0</v>
      </c>
      <c r="AO41" s="408"/>
      <c r="AP41" s="358">
        <f>'SEF-36 pg 34-36'!BG38</f>
        <v>0</v>
      </c>
      <c r="AQ41" s="358">
        <f>'SEF-36 pg 34-36'!BY44</f>
        <v>0</v>
      </c>
      <c r="AR41" s="358"/>
      <c r="AS41" s="358"/>
      <c r="AT41" s="358"/>
      <c r="AU41" s="358"/>
      <c r="AV41" s="358"/>
      <c r="AW41" s="358"/>
      <c r="AX41" s="408"/>
      <c r="AY41" s="358"/>
      <c r="AZ41" s="358"/>
      <c r="BA41" s="357">
        <f t="shared" si="4"/>
        <v>134106852.17371558</v>
      </c>
      <c r="BB41" s="357">
        <f t="shared" si="5"/>
        <v>10046294.843715593</v>
      </c>
      <c r="BC41" s="82" t="s">
        <v>41</v>
      </c>
      <c r="BD41" s="356"/>
      <c r="BE41" s="82"/>
    </row>
    <row r="42" spans="1:57" outlineLevel="1" x14ac:dyDescent="0.25">
      <c r="A42" s="394">
        <f>ROW()</f>
        <v>42</v>
      </c>
      <c r="B42" s="349" t="s">
        <v>105</v>
      </c>
      <c r="C42" s="350" t="s">
        <v>143</v>
      </c>
      <c r="D42" s="357">
        <v>136186547.91999999</v>
      </c>
      <c r="E42" s="408">
        <f>'SEF-36 pg 1-33, 37'!E66</f>
        <v>1642545.4504677013</v>
      </c>
      <c r="F42" s="408">
        <f>'SEF-36 pg 1-33, 37'!W77</f>
        <v>-107544614.3024285</v>
      </c>
      <c r="G42" s="408">
        <f>'SEF-36 pg 1-33, 37'!AO24</f>
        <v>-18448.457442332725</v>
      </c>
      <c r="H42" s="408"/>
      <c r="I42" s="358"/>
      <c r="J42" s="408"/>
      <c r="K42" s="408"/>
      <c r="L42" s="408">
        <f>'SEF-36 pg 1-33, 37'!EA19</f>
        <v>858.74887999892235</v>
      </c>
      <c r="M42" s="408"/>
      <c r="N42" s="408"/>
      <c r="O42" s="408">
        <f>'SEF-36 pg 1-33, 37'!GC28</f>
        <v>-113036.86452218764</v>
      </c>
      <c r="P42" s="408"/>
      <c r="Q42" s="408"/>
      <c r="R42" s="408"/>
      <c r="S42" s="408"/>
      <c r="T42" s="408"/>
      <c r="U42" s="408"/>
      <c r="V42" s="408">
        <f>+'SEF-36 pg 1-33, 37'!KY28</f>
        <v>161103.54499382243</v>
      </c>
      <c r="W42" s="408"/>
      <c r="X42" s="408"/>
      <c r="Y42" s="408"/>
      <c r="Z42" s="408"/>
      <c r="AA42" s="408"/>
      <c r="AB42" s="408">
        <f>'SEF-36 pg 1-33, 37'!PC43</f>
        <v>-147650.67252558001</v>
      </c>
      <c r="AC42" s="408"/>
      <c r="AD42" s="408"/>
      <c r="AE42" s="408"/>
      <c r="AF42" s="408"/>
      <c r="AG42" s="408"/>
      <c r="AH42" s="408"/>
      <c r="AI42" s="408"/>
      <c r="AJ42" s="408"/>
      <c r="AK42" s="408">
        <f>'SEF-36 pg 1-33, 37'!UB23</f>
        <v>0</v>
      </c>
      <c r="AL42" s="408"/>
      <c r="AM42" s="408"/>
      <c r="AN42" s="408"/>
      <c r="AO42" s="408"/>
      <c r="AP42" s="358"/>
      <c r="AQ42" s="358"/>
      <c r="AR42" s="358"/>
      <c r="AS42" s="358"/>
      <c r="AT42" s="358"/>
      <c r="AU42" s="358"/>
      <c r="AV42" s="358"/>
      <c r="AW42" s="358"/>
      <c r="AX42" s="408"/>
      <c r="AY42" s="358"/>
      <c r="AZ42" s="358"/>
      <c r="BA42" s="357">
        <f t="shared" si="4"/>
        <v>-106019242.55257708</v>
      </c>
      <c r="BB42" s="357">
        <f t="shared" si="5"/>
        <v>30167305.367422909</v>
      </c>
      <c r="BC42" s="82" t="s">
        <v>41</v>
      </c>
      <c r="BD42" s="356"/>
      <c r="BE42" s="82"/>
    </row>
    <row r="43" spans="1:57" outlineLevel="1" x14ac:dyDescent="0.25">
      <c r="A43" s="394">
        <f>ROW()</f>
        <v>43</v>
      </c>
      <c r="B43" s="349" t="s">
        <v>106</v>
      </c>
      <c r="C43" s="350" t="s">
        <v>143</v>
      </c>
      <c r="D43" s="357">
        <v>45229648.609999999</v>
      </c>
      <c r="E43" s="370">
        <f>'SEF-36 pg 1-33, 37'!E70</f>
        <v>8564765.4243359584</v>
      </c>
      <c r="F43" s="370">
        <f>'SEF-36 pg 1-33, 37'!W78</f>
        <v>704633.33155999298</v>
      </c>
      <c r="G43" s="370">
        <f>'SEF-36 pg 1-33, 37'!AO29</f>
        <v>-96196.248566171242</v>
      </c>
      <c r="H43" s="408">
        <f>+'SEF-36 pg 1-33, 37'!BG16</f>
        <v>1966089.9118269086</v>
      </c>
      <c r="I43" s="408">
        <f>+'SEF-36 pg 1-33, 37'!BY23</f>
        <v>-16074542.57656165</v>
      </c>
      <c r="J43" s="408">
        <f>'SEF-36 pg 1-33, 37'!CQ19</f>
        <v>56631.197287767813</v>
      </c>
      <c r="K43" s="408">
        <f>'SEF-36 pg 1-33, 37'!DI21</f>
        <v>-48755.492400299991</v>
      </c>
      <c r="L43" s="408">
        <f>'SEF-36 pg 1-33, 37'!EA20</f>
        <v>-180.33726479977369</v>
      </c>
      <c r="M43" s="408">
        <f>'SEF-36 pg 1-33, 37'!ES25</f>
        <v>3630.726977202231</v>
      </c>
      <c r="N43" s="408">
        <f>'SEF-36 pg 1-33, 37'!FK21</f>
        <v>5048.9460901443017</v>
      </c>
      <c r="O43" s="408">
        <f>'SEF-36 pg 1-33, 37'!GC31</f>
        <v>293791.68409413501</v>
      </c>
      <c r="P43" s="408">
        <f>'SEF-36 pg 1-33, 37'!GU34</f>
        <v>-40170.173731141091</v>
      </c>
      <c r="Q43" s="408"/>
      <c r="R43" s="408">
        <f>'SEF-36 pg 1-33, 37'!IE20</f>
        <v>-115634.25707030407</v>
      </c>
      <c r="S43" s="408">
        <f>'SEF-36 pg 1-33, 37'!IW21</f>
        <v>-206822.26670000007</v>
      </c>
      <c r="T43" s="408">
        <f>'SEF-36 pg 1-33, 37'!JO22</f>
        <v>3481.8782863634588</v>
      </c>
      <c r="U43" s="408">
        <f>'SEF-36 pg 1-33, 37'!KG19</f>
        <v>-296974.67703329492</v>
      </c>
      <c r="V43" s="408">
        <f>+'SEF-36 pg 1-33, 37'!KY32</f>
        <v>-777487.76562678919</v>
      </c>
      <c r="W43" s="408"/>
      <c r="X43" s="408">
        <f>'SEF-36 pg 1-33, 37'!MI29</f>
        <v>-1814067.8939472267</v>
      </c>
      <c r="Y43" s="370">
        <f>'SEF-36 pg 1-33, 37'!NA21</f>
        <v>-273411.88676550006</v>
      </c>
      <c r="Z43" s="408"/>
      <c r="AA43" s="408">
        <f>'SEF-36 pg 1-33, 37'!OK34</f>
        <v>0</v>
      </c>
      <c r="AB43" s="370">
        <f>+'SEF-36 pg 1-33, 37'!PC52</f>
        <v>-769898.55870773993</v>
      </c>
      <c r="AC43" s="408">
        <f>'SEF-36 pg 1-33, 37'!PU20</f>
        <v>-71162.119150273342</v>
      </c>
      <c r="AD43" s="408"/>
      <c r="AE43" s="408"/>
      <c r="AF43" s="408">
        <f>'SEF-36 pg 1-33, 37'!RX28</f>
        <v>0</v>
      </c>
      <c r="AG43" s="408"/>
      <c r="AH43" s="408"/>
      <c r="AI43" s="408"/>
      <c r="AJ43" s="408"/>
      <c r="AK43" s="408">
        <f>'SEF-36 pg 1-33, 37'!UB37</f>
        <v>-452673.37772999925</v>
      </c>
      <c r="AL43" s="408">
        <f>'SEF-36 pg 1-33, 37'!UU26</f>
        <v>-339134.77290000004</v>
      </c>
      <c r="AM43" s="408">
        <f>'SEF-36 pg 1-33, 37'!TI23</f>
        <v>18365.969999999998</v>
      </c>
      <c r="AN43" s="408">
        <f>'SEF-36 pg 1-33, 37'!VN31</f>
        <v>0</v>
      </c>
      <c r="AO43" s="408"/>
      <c r="AP43" s="385">
        <f>'SEF-36 pg 34-36'!BG48</f>
        <v>0</v>
      </c>
      <c r="AQ43" s="385">
        <f>'SEF-36 pg 34-36'!BY46</f>
        <v>0</v>
      </c>
      <c r="AR43" s="385">
        <f>'SEF-36 pg 34-36'!CQ29</f>
        <v>176138.72388546035</v>
      </c>
      <c r="AS43" s="385"/>
      <c r="AT43" s="385"/>
      <c r="AU43" s="385"/>
      <c r="AV43" s="385"/>
      <c r="AW43" s="385"/>
      <c r="AX43" s="416"/>
      <c r="AY43" s="385"/>
      <c r="AZ43" s="385"/>
      <c r="BA43" s="371">
        <f t="shared" si="4"/>
        <v>-9584534.6098112557</v>
      </c>
      <c r="BB43" s="371">
        <f t="shared" si="5"/>
        <v>35645114.000188746</v>
      </c>
      <c r="BC43" s="82" t="s">
        <v>41</v>
      </c>
      <c r="BD43" s="356"/>
      <c r="BE43" s="82"/>
    </row>
    <row r="44" spans="1:57" outlineLevel="1" x14ac:dyDescent="0.25">
      <c r="A44" s="394">
        <f>ROW()</f>
        <v>44</v>
      </c>
      <c r="B44" s="365" t="s">
        <v>107</v>
      </c>
      <c r="C44" s="350" t="s">
        <v>143</v>
      </c>
      <c r="D44" s="357">
        <v>-7579228.4499999881</v>
      </c>
      <c r="E44" s="408"/>
      <c r="F44" s="408"/>
      <c r="G44" s="408"/>
      <c r="H44" s="408">
        <v>425511.86349998927</v>
      </c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08"/>
      <c r="T44" s="408"/>
      <c r="U44" s="408"/>
      <c r="V44" s="408"/>
      <c r="W44" s="408"/>
      <c r="X44" s="408"/>
      <c r="Y44" s="408"/>
      <c r="Z44" s="408"/>
      <c r="AA44" s="408"/>
      <c r="AB44" s="408"/>
      <c r="AC44" s="408"/>
      <c r="AD44" s="408"/>
      <c r="AE44" s="408"/>
      <c r="AF44" s="408"/>
      <c r="AG44" s="408"/>
      <c r="AH44" s="408"/>
      <c r="AI44" s="408"/>
      <c r="AJ44" s="408"/>
      <c r="AK44" s="408"/>
      <c r="AL44" s="408"/>
      <c r="AM44" s="408"/>
      <c r="AN44" s="408"/>
      <c r="AO44" s="408"/>
      <c r="AP44" s="358"/>
      <c r="AQ44" s="358"/>
      <c r="AR44" s="358"/>
      <c r="AS44" s="358"/>
      <c r="AT44" s="358"/>
      <c r="AU44" s="358"/>
      <c r="AV44" s="358"/>
      <c r="AW44" s="358"/>
      <c r="AX44" s="408"/>
      <c r="AY44" s="358"/>
      <c r="AZ44" s="358"/>
      <c r="BA44" s="357">
        <f t="shared" si="4"/>
        <v>425511.86349998927</v>
      </c>
      <c r="BB44" s="357">
        <f t="shared" si="5"/>
        <v>-7153716.5864999983</v>
      </c>
      <c r="BC44" s="82" t="s">
        <v>41</v>
      </c>
      <c r="BD44" s="356"/>
      <c r="BE44" s="82"/>
    </row>
    <row r="45" spans="1:57" outlineLevel="1" x14ac:dyDescent="0.25">
      <c r="A45" s="394">
        <f>ROW()</f>
        <v>45</v>
      </c>
      <c r="B45" s="349" t="s">
        <v>109</v>
      </c>
      <c r="C45" s="350" t="s">
        <v>143</v>
      </c>
      <c r="D45" s="367">
        <f t="shared" ref="D45:AB45" si="6">SUM(D29:D44)</f>
        <v>1152558116.3100002</v>
      </c>
      <c r="E45" s="372">
        <f t="shared" si="6"/>
        <v>10544766.318830857</v>
      </c>
      <c r="F45" s="372">
        <f t="shared" si="6"/>
        <v>-719254109.87570953</v>
      </c>
      <c r="G45" s="372">
        <f t="shared" si="6"/>
        <v>-118434.87960525075</v>
      </c>
      <c r="H45" s="368">
        <f t="shared" si="6"/>
        <v>2391601.7753268979</v>
      </c>
      <c r="I45" s="368">
        <f t="shared" si="6"/>
        <v>-16074542.57656165</v>
      </c>
      <c r="J45" s="368">
        <f t="shared" si="6"/>
        <v>-213041.17074922178</v>
      </c>
      <c r="K45" s="368">
        <f t="shared" si="6"/>
        <v>183413.51902969996</v>
      </c>
      <c r="L45" s="368">
        <f t="shared" si="6"/>
        <v>678.41161519914863</v>
      </c>
      <c r="M45" s="368">
        <f t="shared" si="6"/>
        <v>-13658.449104713156</v>
      </c>
      <c r="N45" s="368">
        <f t="shared" si="6"/>
        <v>-18993.65433911428</v>
      </c>
      <c r="O45" s="368">
        <f t="shared" si="6"/>
        <v>-1105216.3354017462</v>
      </c>
      <c r="P45" s="368">
        <f t="shared" si="6"/>
        <v>151116.36784572125</v>
      </c>
      <c r="Q45" s="368">
        <f t="shared" si="6"/>
        <v>30503.742766919091</v>
      </c>
      <c r="R45" s="368">
        <f t="shared" si="6"/>
        <v>435005.0623120963</v>
      </c>
      <c r="S45" s="368">
        <f t="shared" si="6"/>
        <v>778045.66996666696</v>
      </c>
      <c r="T45" s="368">
        <f t="shared" si="6"/>
        <v>-13098.494505843493</v>
      </c>
      <c r="U45" s="368">
        <f t="shared" si="6"/>
        <v>1117190.4516966809</v>
      </c>
      <c r="V45" s="368">
        <f t="shared" si="6"/>
        <v>2924834.9278341117</v>
      </c>
      <c r="W45" s="368">
        <f t="shared" si="6"/>
        <v>0</v>
      </c>
      <c r="X45" s="368">
        <f t="shared" si="6"/>
        <v>6824350.6486586146</v>
      </c>
      <c r="Y45" s="372">
        <f t="shared" si="6"/>
        <v>1028549.4787845002</v>
      </c>
      <c r="Z45" s="368">
        <f t="shared" si="6"/>
        <v>0</v>
      </c>
      <c r="AA45" s="368">
        <f t="shared" si="6"/>
        <v>0</v>
      </c>
      <c r="AB45" s="372">
        <f t="shared" si="6"/>
        <v>-947883.5658137399</v>
      </c>
      <c r="AC45" s="368">
        <f>SUM(AC40:AC44)</f>
        <v>267705.11489864736</v>
      </c>
      <c r="AD45" s="368">
        <f>SUM(AD40:AD44)</f>
        <v>0</v>
      </c>
      <c r="AE45" s="368"/>
      <c r="AF45" s="368">
        <f>SUM(AF29:AF44)</f>
        <v>0</v>
      </c>
      <c r="AG45" s="368"/>
      <c r="AH45" s="368"/>
      <c r="AI45" s="368">
        <f>SUM(AI29:AI44)</f>
        <v>0</v>
      </c>
      <c r="AJ45" s="368"/>
      <c r="AK45" s="368">
        <f t="shared" ref="AK45:AS45" si="7">SUM(AK29:AK44)</f>
        <v>1702914.1352699972</v>
      </c>
      <c r="AL45" s="368">
        <f t="shared" si="7"/>
        <v>1275792.7171000002</v>
      </c>
      <c r="AM45" s="368">
        <f t="shared" si="7"/>
        <v>-69091.03</v>
      </c>
      <c r="AN45" s="368">
        <f t="shared" si="7"/>
        <v>0</v>
      </c>
      <c r="AO45" s="368">
        <f t="shared" si="7"/>
        <v>0</v>
      </c>
      <c r="AP45" s="368">
        <f t="shared" si="7"/>
        <v>0</v>
      </c>
      <c r="AQ45" s="368">
        <f t="shared" si="7"/>
        <v>0</v>
      </c>
      <c r="AR45" s="368">
        <f t="shared" si="7"/>
        <v>-662617.10414054128</v>
      </c>
      <c r="AS45" s="368">
        <f t="shared" si="7"/>
        <v>0</v>
      </c>
      <c r="AT45" s="368"/>
      <c r="AU45" s="368"/>
      <c r="AV45" s="368"/>
      <c r="AW45" s="368"/>
      <c r="AX45" s="409"/>
      <c r="AY45" s="368"/>
      <c r="AZ45" s="368"/>
      <c r="BA45" s="373">
        <f>SUM(BA29:BA44)</f>
        <v>-708834218.79399478</v>
      </c>
      <c r="BB45" s="373">
        <f>SUM(BB29:BB44)</f>
        <v>443723897.51600516</v>
      </c>
      <c r="BC45" s="82" t="s">
        <v>41</v>
      </c>
      <c r="BD45" s="356"/>
      <c r="BE45" s="82"/>
    </row>
    <row r="46" spans="1:57" outlineLevel="1" x14ac:dyDescent="0.25">
      <c r="A46" s="394">
        <f>ROW()</f>
        <v>46</v>
      </c>
      <c r="B46" s="365"/>
      <c r="C46" s="350" t="s">
        <v>143</v>
      </c>
      <c r="D46" s="374"/>
      <c r="E46" s="417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75"/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75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  <c r="AS46" s="375"/>
      <c r="AT46" s="375"/>
      <c r="AU46" s="375"/>
      <c r="AV46" s="375"/>
      <c r="AW46" s="375"/>
      <c r="AX46" s="417"/>
      <c r="AY46" s="375"/>
      <c r="AZ46" s="375"/>
      <c r="BA46" s="374"/>
      <c r="BB46" s="374"/>
      <c r="BC46" s="82" t="s">
        <v>41</v>
      </c>
      <c r="BD46" s="356"/>
      <c r="BE46" s="82"/>
    </row>
    <row r="47" spans="1:57" ht="15.75" outlineLevel="1" thickBot="1" x14ac:dyDescent="0.3">
      <c r="A47" s="394">
        <f>ROW()</f>
        <v>47</v>
      </c>
      <c r="B47" s="365" t="s">
        <v>110</v>
      </c>
      <c r="C47" s="350" t="s">
        <v>143</v>
      </c>
      <c r="D47" s="376">
        <f t="shared" ref="D47:AD47" si="8">+D20-D45</f>
        <v>182074206.58999991</v>
      </c>
      <c r="E47" s="377">
        <f t="shared" si="8"/>
        <v>32219831.834406704</v>
      </c>
      <c r="F47" s="377">
        <f t="shared" si="8"/>
        <v>2650763.4853924513</v>
      </c>
      <c r="G47" s="377">
        <f t="shared" si="8"/>
        <v>-361881.12555845373</v>
      </c>
      <c r="H47" s="378">
        <f t="shared" si="8"/>
        <v>-2391601.7753268979</v>
      </c>
      <c r="I47" s="378">
        <f t="shared" si="8"/>
        <v>16074542.57656165</v>
      </c>
      <c r="J47" s="378">
        <f t="shared" si="8"/>
        <v>213041.17074922178</v>
      </c>
      <c r="K47" s="378">
        <f t="shared" si="8"/>
        <v>-183413.51902969996</v>
      </c>
      <c r="L47" s="378">
        <f t="shared" si="8"/>
        <v>-678.41161519914863</v>
      </c>
      <c r="M47" s="378">
        <f t="shared" si="8"/>
        <v>13658.449104713156</v>
      </c>
      <c r="N47" s="378">
        <f t="shared" si="8"/>
        <v>18993.65433911428</v>
      </c>
      <c r="O47" s="378">
        <f t="shared" si="8"/>
        <v>1105216.3354017462</v>
      </c>
      <c r="P47" s="378">
        <f t="shared" si="8"/>
        <v>-151116.36784572125</v>
      </c>
      <c r="Q47" s="378">
        <f t="shared" si="8"/>
        <v>-30503.742766919091</v>
      </c>
      <c r="R47" s="378">
        <f t="shared" si="8"/>
        <v>-435005.0623120963</v>
      </c>
      <c r="S47" s="378">
        <f t="shared" si="8"/>
        <v>-778045.66996666696</v>
      </c>
      <c r="T47" s="378">
        <f t="shared" si="8"/>
        <v>13098.494505843493</v>
      </c>
      <c r="U47" s="378">
        <f t="shared" si="8"/>
        <v>-1117190.4516966809</v>
      </c>
      <c r="V47" s="378">
        <f t="shared" si="8"/>
        <v>-2924834.9278341117</v>
      </c>
      <c r="W47" s="378">
        <f t="shared" si="8"/>
        <v>0</v>
      </c>
      <c r="X47" s="378">
        <f t="shared" si="8"/>
        <v>-6824350.6486586146</v>
      </c>
      <c r="Y47" s="377">
        <f t="shared" si="8"/>
        <v>-1028549.4787845002</v>
      </c>
      <c r="Z47" s="378">
        <f t="shared" si="8"/>
        <v>0</v>
      </c>
      <c r="AA47" s="378">
        <f t="shared" si="8"/>
        <v>0</v>
      </c>
      <c r="AB47" s="377">
        <f t="shared" si="8"/>
        <v>-2896285.0541862603</v>
      </c>
      <c r="AC47" s="378">
        <f t="shared" si="8"/>
        <v>-267705.11489864736</v>
      </c>
      <c r="AD47" s="378">
        <f t="shared" si="8"/>
        <v>0</v>
      </c>
      <c r="AE47" s="378"/>
      <c r="AF47" s="378">
        <f>+AF20-AF45</f>
        <v>0</v>
      </c>
      <c r="AG47" s="378"/>
      <c r="AH47" s="378"/>
      <c r="AI47" s="378">
        <f>+AI20-AI45</f>
        <v>0</v>
      </c>
      <c r="AJ47" s="378"/>
      <c r="AK47" s="378">
        <f t="shared" ref="AK47:AS47" si="9">+AK20-AK45</f>
        <v>-1702914.1352699972</v>
      </c>
      <c r="AL47" s="378">
        <f t="shared" si="9"/>
        <v>-1275792.7171000002</v>
      </c>
      <c r="AM47" s="378">
        <f t="shared" si="9"/>
        <v>69091.03</v>
      </c>
      <c r="AN47" s="378">
        <f t="shared" si="9"/>
        <v>0</v>
      </c>
      <c r="AO47" s="378">
        <f t="shared" si="9"/>
        <v>0</v>
      </c>
      <c r="AP47" s="378">
        <f t="shared" si="9"/>
        <v>0</v>
      </c>
      <c r="AQ47" s="378">
        <f t="shared" si="9"/>
        <v>0</v>
      </c>
      <c r="AR47" s="378">
        <f t="shared" si="9"/>
        <v>662617.10414054128</v>
      </c>
      <c r="AS47" s="378">
        <f t="shared" si="9"/>
        <v>0</v>
      </c>
      <c r="AT47" s="378"/>
      <c r="AU47" s="378"/>
      <c r="AV47" s="378"/>
      <c r="AW47" s="378"/>
      <c r="AX47" s="419"/>
      <c r="AY47" s="378"/>
      <c r="AZ47" s="378"/>
      <c r="BA47" s="379">
        <f>+BA20-BA45</f>
        <v>30670985.931751609</v>
      </c>
      <c r="BB47" s="379">
        <f>+BB20-BB45</f>
        <v>212745192.52175176</v>
      </c>
      <c r="BC47" s="82" t="s">
        <v>41</v>
      </c>
      <c r="BD47" s="356"/>
      <c r="BE47" s="82"/>
    </row>
    <row r="48" spans="1:57" ht="15.75" outlineLevel="1" thickTop="1" x14ac:dyDescent="0.25">
      <c r="A48" s="394">
        <f>ROW()</f>
        <v>48</v>
      </c>
      <c r="B48" s="18"/>
      <c r="C48" s="350" t="s">
        <v>143</v>
      </c>
      <c r="D48" s="380"/>
      <c r="E48" s="420"/>
      <c r="F48" s="38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381"/>
      <c r="AH48" s="381"/>
      <c r="AI48" s="381"/>
      <c r="AJ48" s="381"/>
      <c r="AK48" s="381"/>
      <c r="AL48" s="381"/>
      <c r="AM48" s="381"/>
      <c r="AN48" s="381"/>
      <c r="AO48" s="381"/>
      <c r="AP48" s="381"/>
      <c r="AQ48" s="381"/>
      <c r="AR48" s="381"/>
      <c r="AS48" s="381"/>
      <c r="AT48" s="381"/>
      <c r="AU48" s="381"/>
      <c r="AV48" s="381"/>
      <c r="AW48" s="381"/>
      <c r="AX48" s="420"/>
      <c r="AY48" s="381"/>
      <c r="AZ48" s="381"/>
      <c r="BA48" s="380"/>
      <c r="BB48" s="380"/>
      <c r="BC48" s="82" t="s">
        <v>41</v>
      </c>
      <c r="BD48" s="356"/>
      <c r="BE48" s="82"/>
    </row>
    <row r="49" spans="1:57" s="382" customFormat="1" outlineLevel="1" x14ac:dyDescent="0.25">
      <c r="A49" s="394">
        <f>ROW()</f>
        <v>49</v>
      </c>
      <c r="B49" s="349" t="s">
        <v>145</v>
      </c>
      <c r="C49" s="350" t="s">
        <v>143</v>
      </c>
      <c r="D49" s="366">
        <f t="shared" ref="D49:AD49" si="10">D60</f>
        <v>2948894387.0453196</v>
      </c>
      <c r="E49" s="412">
        <f t="shared" si="10"/>
        <v>0</v>
      </c>
      <c r="F49" s="356">
        <f t="shared" si="10"/>
        <v>0</v>
      </c>
      <c r="G49" s="356">
        <f t="shared" si="10"/>
        <v>0</v>
      </c>
      <c r="H49" s="356">
        <f t="shared" si="10"/>
        <v>0</v>
      </c>
      <c r="I49" s="356">
        <f t="shared" si="10"/>
        <v>0</v>
      </c>
      <c r="J49" s="356">
        <f t="shared" si="10"/>
        <v>0</v>
      </c>
      <c r="K49" s="356">
        <f t="shared" si="10"/>
        <v>0</v>
      </c>
      <c r="L49" s="356">
        <f t="shared" si="10"/>
        <v>0</v>
      </c>
      <c r="M49" s="356">
        <f t="shared" si="10"/>
        <v>0</v>
      </c>
      <c r="N49" s="356">
        <f t="shared" si="10"/>
        <v>0</v>
      </c>
      <c r="O49" s="356">
        <f t="shared" si="10"/>
        <v>0</v>
      </c>
      <c r="P49" s="356">
        <f t="shared" si="10"/>
        <v>0</v>
      </c>
      <c r="Q49" s="356">
        <f t="shared" si="10"/>
        <v>0</v>
      </c>
      <c r="R49" s="356">
        <f t="shared" si="10"/>
        <v>0</v>
      </c>
      <c r="S49" s="356">
        <f t="shared" si="10"/>
        <v>0</v>
      </c>
      <c r="T49" s="356">
        <f t="shared" si="10"/>
        <v>0</v>
      </c>
      <c r="U49" s="356">
        <f t="shared" si="10"/>
        <v>0</v>
      </c>
      <c r="V49" s="356">
        <f t="shared" si="10"/>
        <v>0</v>
      </c>
      <c r="W49" s="356">
        <f t="shared" si="10"/>
        <v>50455434.08198075</v>
      </c>
      <c r="X49" s="356">
        <f t="shared" si="10"/>
        <v>-6824350.6486586146</v>
      </c>
      <c r="Y49" s="356">
        <f t="shared" si="10"/>
        <v>0</v>
      </c>
      <c r="Z49" s="356">
        <f t="shared" si="10"/>
        <v>0</v>
      </c>
      <c r="AA49" s="356">
        <f t="shared" si="10"/>
        <v>0</v>
      </c>
      <c r="AB49" s="356">
        <f t="shared" si="10"/>
        <v>-57834387.276298791</v>
      </c>
      <c r="AC49" s="356">
        <f t="shared" si="10"/>
        <v>0</v>
      </c>
      <c r="AD49" s="356">
        <f t="shared" si="10"/>
        <v>0</v>
      </c>
      <c r="AE49" s="356"/>
      <c r="AF49" s="356">
        <f>AF60</f>
        <v>0</v>
      </c>
      <c r="AG49" s="356"/>
      <c r="AH49" s="356"/>
      <c r="AI49" s="356"/>
      <c r="AJ49" s="356"/>
      <c r="AK49" s="356"/>
      <c r="AL49" s="356">
        <f>AL60</f>
        <v>0</v>
      </c>
      <c r="AM49" s="356">
        <f>AM60</f>
        <v>0</v>
      </c>
      <c r="AN49" s="356">
        <f>AN60</f>
        <v>0</v>
      </c>
      <c r="AO49" s="356"/>
      <c r="AP49" s="356">
        <f>AP60</f>
        <v>0</v>
      </c>
      <c r="AQ49" s="356"/>
      <c r="AR49" s="356">
        <f>AR60</f>
        <v>-24218047.431628965</v>
      </c>
      <c r="AS49" s="356"/>
      <c r="AT49" s="356"/>
      <c r="AU49" s="356"/>
      <c r="AV49" s="356"/>
      <c r="AW49" s="356"/>
      <c r="AX49" s="412"/>
      <c r="AY49" s="356"/>
      <c r="AZ49" s="356"/>
      <c r="BA49" s="366">
        <f>BA60</f>
        <v>-38421351.274605609</v>
      </c>
      <c r="BB49" s="366">
        <f>BB60</f>
        <v>2910473035.7707138</v>
      </c>
      <c r="BC49" s="82" t="s">
        <v>41</v>
      </c>
      <c r="BD49" s="356"/>
      <c r="BE49" s="82"/>
    </row>
    <row r="50" spans="1:57" outlineLevel="1" x14ac:dyDescent="0.25">
      <c r="A50" s="394">
        <f>ROW()</f>
        <v>50</v>
      </c>
      <c r="B50" s="365"/>
      <c r="C50" s="350" t="s">
        <v>143</v>
      </c>
      <c r="D50" s="351"/>
      <c r="E50" s="411"/>
      <c r="G50" s="18"/>
      <c r="H50" s="18"/>
      <c r="I50" s="18"/>
      <c r="J50" s="1900"/>
      <c r="K50" s="1900"/>
      <c r="L50" s="1900"/>
      <c r="M50" s="1900"/>
      <c r="N50" s="1900"/>
      <c r="O50" s="1900"/>
      <c r="P50" s="1900"/>
      <c r="Q50" s="1900"/>
      <c r="R50" s="1900"/>
      <c r="S50" s="1900"/>
      <c r="T50" s="1900"/>
      <c r="U50" s="1900"/>
      <c r="V50" s="1900"/>
      <c r="W50" s="1900"/>
      <c r="X50" s="1900"/>
      <c r="Y50" s="1900"/>
      <c r="Z50" s="1900"/>
      <c r="AA50" s="1900"/>
      <c r="AB50" s="1900"/>
      <c r="AC50" s="1900"/>
      <c r="AD50" s="1900"/>
      <c r="AE50" s="1900"/>
      <c r="AF50" s="1900"/>
      <c r="AG50" s="1900"/>
      <c r="AH50" s="1900"/>
      <c r="AI50" s="1900"/>
      <c r="AJ50" s="1900"/>
      <c r="AK50" s="1900"/>
      <c r="AL50" s="1900"/>
      <c r="AM50" s="1900"/>
      <c r="AN50" s="1900"/>
      <c r="AO50" s="1900"/>
      <c r="AP50" s="1900"/>
      <c r="AQ50" s="1900"/>
      <c r="AR50" s="1900"/>
      <c r="AS50" s="1900"/>
      <c r="AT50" s="1900"/>
      <c r="AU50" s="1900"/>
      <c r="AV50" s="1900"/>
      <c r="AW50" s="1900"/>
      <c r="AX50" s="411"/>
      <c r="BA50" s="351"/>
      <c r="BB50" s="351"/>
      <c r="BC50" s="82" t="s">
        <v>41</v>
      </c>
      <c r="BD50" s="356"/>
      <c r="BE50" s="82"/>
    </row>
    <row r="51" spans="1:57" outlineLevel="1" x14ac:dyDescent="0.25">
      <c r="A51" s="394">
        <f>ROW()</f>
        <v>51</v>
      </c>
      <c r="B51" s="349" t="s">
        <v>18</v>
      </c>
      <c r="C51" s="350" t="s">
        <v>143</v>
      </c>
      <c r="D51" s="383">
        <f>+D47/D49</f>
        <v>6.1743210401112865E-2</v>
      </c>
      <c r="E51" s="408"/>
      <c r="F51" s="358"/>
      <c r="G51" s="18"/>
      <c r="H51" s="18"/>
      <c r="I51" s="18"/>
      <c r="J51" s="353"/>
      <c r="K51" s="1899"/>
      <c r="L51" s="1899"/>
      <c r="M51" s="1899"/>
      <c r="N51" s="1899"/>
      <c r="O51" s="1899"/>
      <c r="P51" s="1899"/>
      <c r="Q51" s="1899"/>
      <c r="R51" s="1899"/>
      <c r="S51" s="1899"/>
      <c r="T51" s="1899"/>
      <c r="U51" s="1899"/>
      <c r="V51" s="1899"/>
      <c r="W51" s="1899"/>
      <c r="X51" s="1899"/>
      <c r="Y51" s="1899"/>
      <c r="Z51" s="1899"/>
      <c r="AA51" s="1899"/>
      <c r="AB51" s="1899"/>
      <c r="AC51" s="1899"/>
      <c r="AD51" s="1899"/>
      <c r="AE51" s="1899"/>
      <c r="AF51" s="1899"/>
      <c r="AG51" s="1899"/>
      <c r="AH51" s="1899"/>
      <c r="AI51" s="1899"/>
      <c r="AJ51" s="1899"/>
      <c r="AK51" s="1899"/>
      <c r="AL51" s="1899"/>
      <c r="AM51" s="1899"/>
      <c r="AN51" s="1899"/>
      <c r="AO51" s="1899"/>
      <c r="AP51" s="1899"/>
      <c r="AQ51" s="1899"/>
      <c r="AR51" s="1899"/>
      <c r="AS51" s="1899"/>
      <c r="AT51" s="1899"/>
      <c r="AU51" s="1899"/>
      <c r="AV51" s="1899"/>
      <c r="AW51" s="1899"/>
      <c r="AX51" s="408"/>
      <c r="AY51" s="358"/>
      <c r="AZ51" s="358"/>
      <c r="BA51" s="403"/>
      <c r="BB51" s="403">
        <f>+BB47/BB49</f>
        <v>7.309643137285253E-2</v>
      </c>
      <c r="BC51" s="82" t="s">
        <v>41</v>
      </c>
      <c r="BD51" s="356"/>
      <c r="BE51" s="82"/>
    </row>
    <row r="52" spans="1:57" outlineLevel="1" x14ac:dyDescent="0.25">
      <c r="A52" s="394">
        <f>ROW()</f>
        <v>52</v>
      </c>
      <c r="B52" s="365"/>
      <c r="C52" s="350" t="s">
        <v>143</v>
      </c>
      <c r="D52" s="357"/>
      <c r="E52" s="408"/>
      <c r="F52" s="358"/>
      <c r="G52" s="18"/>
      <c r="H52" s="18"/>
      <c r="I52" s="1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358"/>
      <c r="AD52" s="358"/>
      <c r="AE52" s="358"/>
      <c r="AF52" s="358"/>
      <c r="AG52" s="358"/>
      <c r="AH52" s="358"/>
      <c r="AI52" s="358"/>
      <c r="AJ52" s="358"/>
      <c r="AK52" s="358"/>
      <c r="AL52" s="358"/>
      <c r="AM52" s="358"/>
      <c r="AN52" s="358"/>
      <c r="AO52" s="358"/>
      <c r="AP52" s="358"/>
      <c r="AQ52" s="358"/>
      <c r="AR52" s="358"/>
      <c r="AS52" s="358"/>
      <c r="AT52" s="358"/>
      <c r="AU52" s="358"/>
      <c r="AV52" s="358"/>
      <c r="AW52" s="358"/>
      <c r="AX52" s="408"/>
      <c r="AY52" s="358"/>
      <c r="AZ52" s="358"/>
      <c r="BA52" s="357"/>
      <c r="BB52" s="357"/>
      <c r="BC52" s="82" t="s">
        <v>41</v>
      </c>
      <c r="BD52" s="356"/>
      <c r="BE52" s="82"/>
    </row>
    <row r="53" spans="1:57" outlineLevel="1" x14ac:dyDescent="0.25">
      <c r="A53" s="394">
        <f>ROW()</f>
        <v>53</v>
      </c>
      <c r="B53" s="365" t="s">
        <v>146</v>
      </c>
      <c r="C53" s="350" t="s">
        <v>143</v>
      </c>
      <c r="D53" s="357"/>
      <c r="E53" s="408"/>
      <c r="F53" s="358"/>
      <c r="G53" s="18"/>
      <c r="H53" s="18"/>
      <c r="I53" s="1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8"/>
      <c r="V53" s="358"/>
      <c r="W53" s="358"/>
      <c r="X53" s="358"/>
      <c r="Y53" s="358"/>
      <c r="Z53" s="358"/>
      <c r="AA53" s="358"/>
      <c r="AB53" s="358"/>
      <c r="AC53" s="358"/>
      <c r="AD53" s="358"/>
      <c r="AE53" s="358"/>
      <c r="AF53" s="358"/>
      <c r="AG53" s="358"/>
      <c r="AH53" s="358"/>
      <c r="AI53" s="358"/>
      <c r="AJ53" s="358"/>
      <c r="AK53" s="358"/>
      <c r="AL53" s="358"/>
      <c r="AM53" s="358"/>
      <c r="AN53" s="358"/>
      <c r="AO53" s="358"/>
      <c r="AP53" s="358"/>
      <c r="AQ53" s="358"/>
      <c r="AR53" s="358"/>
      <c r="AS53" s="358"/>
      <c r="AT53" s="358"/>
      <c r="AU53" s="358"/>
      <c r="AV53" s="358"/>
      <c r="AW53" s="358"/>
      <c r="AX53" s="408"/>
      <c r="AY53" s="358"/>
      <c r="AZ53" s="358"/>
      <c r="BA53" s="357"/>
      <c r="BB53" s="357"/>
      <c r="BC53" s="82" t="s">
        <v>41</v>
      </c>
      <c r="BD53" s="356"/>
      <c r="BE53" s="82"/>
    </row>
    <row r="54" spans="1:57" outlineLevel="1" x14ac:dyDescent="0.25">
      <c r="A54" s="394">
        <f>ROW()</f>
        <v>54</v>
      </c>
      <c r="B54" s="384" t="s">
        <v>112</v>
      </c>
      <c r="C54" s="350" t="s">
        <v>143</v>
      </c>
      <c r="D54" s="366">
        <v>5489997433.7842302</v>
      </c>
      <c r="E54" s="408"/>
      <c r="F54" s="356"/>
      <c r="G54" s="356"/>
      <c r="H54" s="356"/>
      <c r="I54" s="356"/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408">
        <f>'SEF-36 pg 1-33, 37'!LQ16</f>
        <v>89690639.215544701</v>
      </c>
      <c r="X54" s="408"/>
      <c r="Y54" s="408"/>
      <c r="Z54" s="408"/>
      <c r="AA54" s="408">
        <f>'SEF-36 pg 1-33, 37'!OK18</f>
        <v>0</v>
      </c>
      <c r="AB54" s="408">
        <f>+'SEF-36 pg 1-33, 37'!PC21</f>
        <v>-75215094.712953344</v>
      </c>
      <c r="AC54" s="356"/>
      <c r="AD54" s="356"/>
      <c r="AE54" s="356"/>
      <c r="AF54" s="356"/>
      <c r="AG54" s="356"/>
      <c r="AH54" s="356"/>
      <c r="AI54" s="356"/>
      <c r="AJ54" s="356"/>
      <c r="AK54" s="356"/>
      <c r="AL54" s="356"/>
      <c r="AM54" s="356"/>
      <c r="AN54" s="356"/>
      <c r="AO54" s="356"/>
      <c r="AP54" s="356">
        <f>'SEF-36 pg 34-36'!BG19</f>
        <v>0</v>
      </c>
      <c r="AQ54" s="356"/>
      <c r="AR54" s="356">
        <f>'SEF-36 pg 34-36'!CQ18</f>
        <v>-30085058.84</v>
      </c>
      <c r="AS54" s="356"/>
      <c r="AT54" s="356"/>
      <c r="AU54" s="356"/>
      <c r="AV54" s="356"/>
      <c r="AW54" s="356"/>
      <c r="AX54" s="412"/>
      <c r="AY54" s="356"/>
      <c r="AZ54" s="356"/>
      <c r="BA54" s="366">
        <f t="shared" ref="BA54:BA59" si="11">SUM(E54:AZ54)</f>
        <v>-15609514.337408643</v>
      </c>
      <c r="BB54" s="366">
        <f t="shared" ref="BB54:BB59" si="12">+BA54+D54</f>
        <v>5474387919.4468212</v>
      </c>
      <c r="BC54" s="82" t="s">
        <v>41</v>
      </c>
      <c r="BD54" s="356"/>
      <c r="BE54" s="82"/>
    </row>
    <row r="55" spans="1:57" outlineLevel="1" x14ac:dyDescent="0.25">
      <c r="A55" s="394">
        <f>ROW()</f>
        <v>55</v>
      </c>
      <c r="B55" s="384" t="s">
        <v>113</v>
      </c>
      <c r="C55" s="350" t="s">
        <v>143</v>
      </c>
      <c r="D55" s="357">
        <v>-2082138429.1273692</v>
      </c>
      <c r="E55" s="408"/>
      <c r="F55" s="385"/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408">
        <f>'SEF-36 pg 1-33, 37'!LQ17</f>
        <v>-37040806.652540684</v>
      </c>
      <c r="X55" s="385">
        <f>'SEF-36 pg 1-33, 37'!MI34</f>
        <v>-8638418.5426058415</v>
      </c>
      <c r="Y55" s="385"/>
      <c r="Z55" s="385"/>
      <c r="AA55" s="385">
        <f>'SEF-36 pg 1-33, 37'!OK19</f>
        <v>0</v>
      </c>
      <c r="AB55" s="385">
        <f>+'SEF-36 pg 1-33, 37'!PC27</f>
        <v>9233476.6029253639</v>
      </c>
      <c r="AC55" s="385"/>
      <c r="AD55" s="385"/>
      <c r="AE55" s="385"/>
      <c r="AF55" s="385">
        <f>'SEF-36 pg 1-33, 37'!RX33</f>
        <v>0</v>
      </c>
      <c r="AG55" s="385"/>
      <c r="AH55" s="385"/>
      <c r="AI55" s="385"/>
      <c r="AJ55" s="385"/>
      <c r="AK55" s="385"/>
      <c r="AL55" s="385"/>
      <c r="AM55" s="385"/>
      <c r="AN55" s="385"/>
      <c r="AO55" s="385"/>
      <c r="AP55" s="356">
        <f>'SEF-36 pg 34-36'!BG20</f>
        <v>0</v>
      </c>
      <c r="AQ55" s="385"/>
      <c r="AR55" s="385">
        <f>'SEF-36 pg 34-36'!CQ19+'SEF-36 pg 34-36'!CQ20</f>
        <v>4426961.4667480709</v>
      </c>
      <c r="AS55" s="385"/>
      <c r="AT55" s="385"/>
      <c r="AU55" s="385"/>
      <c r="AV55" s="385"/>
      <c r="AW55" s="385"/>
      <c r="AX55" s="416"/>
      <c r="AY55" s="385"/>
      <c r="AZ55" s="385"/>
      <c r="BA55" s="357">
        <f t="shared" si="11"/>
        <v>-32018787.125473086</v>
      </c>
      <c r="BB55" s="357">
        <f t="shared" si="12"/>
        <v>-2114157216.2528422</v>
      </c>
      <c r="BC55" s="82" t="s">
        <v>41</v>
      </c>
      <c r="BD55" s="356"/>
      <c r="BE55" s="82"/>
    </row>
    <row r="56" spans="1:57" outlineLevel="1" x14ac:dyDescent="0.25">
      <c r="A56" s="394">
        <f>ROW()</f>
        <v>56</v>
      </c>
      <c r="B56" s="365" t="s">
        <v>147</v>
      </c>
      <c r="C56" s="350" t="s">
        <v>143</v>
      </c>
      <c r="D56" s="357">
        <v>18088017.405854166</v>
      </c>
      <c r="E56" s="408"/>
      <c r="F56" s="385"/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408">
        <f>'SEF-36 pg 1-33, 37'!LQ18</f>
        <v>-1424002.515854165</v>
      </c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>
        <f>'SEF-36 pg 1-33, 37'!UU17</f>
        <v>0</v>
      </c>
      <c r="AM56" s="385"/>
      <c r="AN56" s="385"/>
      <c r="AO56" s="385"/>
      <c r="AP56" s="356">
        <f>'SEF-36 pg 34-36'!BG25+'SEF-36 pg 34-36'!BG26</f>
        <v>0</v>
      </c>
      <c r="AQ56" s="385">
        <f>'SEF-36 pg 34-36'!BY25</f>
        <v>0</v>
      </c>
      <c r="AR56" s="385"/>
      <c r="AS56" s="385"/>
      <c r="AT56" s="385"/>
      <c r="AU56" s="385"/>
      <c r="AV56" s="385"/>
      <c r="AW56" s="385"/>
      <c r="AX56" s="416"/>
      <c r="AY56" s="385"/>
      <c r="AZ56" s="385"/>
      <c r="BA56" s="357">
        <f t="shared" si="11"/>
        <v>-1424002.515854165</v>
      </c>
      <c r="BB56" s="357">
        <f t="shared" si="12"/>
        <v>16664014.890000001</v>
      </c>
      <c r="BC56" s="82" t="s">
        <v>41</v>
      </c>
      <c r="BD56" s="356"/>
      <c r="BE56" s="82"/>
    </row>
    <row r="57" spans="1:57" outlineLevel="1" x14ac:dyDescent="0.25">
      <c r="A57" s="394">
        <f>ROW()</f>
        <v>57</v>
      </c>
      <c r="B57" s="365" t="s">
        <v>148</v>
      </c>
      <c r="C57" s="350" t="s">
        <v>143</v>
      </c>
      <c r="D57" s="357">
        <v>-602543825.29567158</v>
      </c>
      <c r="E57" s="408"/>
      <c r="F57" s="385"/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408">
        <f>'SEF-36 pg 1-33, 37'!LQ19</f>
        <v>6893324.6005116701</v>
      </c>
      <c r="X57" s="385">
        <f>'SEF-36 pg 1-33, 37'!MI35</f>
        <v>1814067.8939472267</v>
      </c>
      <c r="Y57" s="385"/>
      <c r="Z57" s="385"/>
      <c r="AA57" s="385">
        <f>'SEF-36 pg 1-33, 37'!OK20</f>
        <v>0</v>
      </c>
      <c r="AB57" s="385">
        <f>+'SEF-36 pg 1-33, 37'!PC33</f>
        <v>8147230.8337291926</v>
      </c>
      <c r="AC57" s="385"/>
      <c r="AD57" s="385"/>
      <c r="AE57" s="385"/>
      <c r="AF57" s="385">
        <f>'SEF-36 pg 1-33, 37'!RX34</f>
        <v>0</v>
      </c>
      <c r="AG57" s="385"/>
      <c r="AH57" s="385"/>
      <c r="AI57" s="1898"/>
      <c r="AJ57" s="1898"/>
      <c r="AK57" s="1898"/>
      <c r="AL57" s="382">
        <f>'SEF-36 pg 1-33, 37'!UU18</f>
        <v>0</v>
      </c>
      <c r="AM57" s="1898"/>
      <c r="AN57" s="1898"/>
      <c r="AO57" s="1898"/>
      <c r="AP57" s="356">
        <f>'SEF-36 pg 34-36'!BG21+'SEF-36 pg 34-36'!BG29+'SEF-36 pg 34-36'!BG30</f>
        <v>0</v>
      </c>
      <c r="AQ57" s="382">
        <f>'SEF-36 pg 34-36'!BY26</f>
        <v>0</v>
      </c>
      <c r="AR57" s="1898">
        <f>'SEF-36 pg 34-36'!CQ21</f>
        <v>1440049.9416229667</v>
      </c>
      <c r="AS57" s="385"/>
      <c r="AT57" s="382"/>
      <c r="AU57" s="1898"/>
      <c r="AV57" s="1898"/>
      <c r="AW57" s="1898"/>
      <c r="AX57" s="1672"/>
      <c r="AY57" s="1898"/>
      <c r="AZ57" s="1898"/>
      <c r="BA57" s="357">
        <f t="shared" si="11"/>
        <v>18294673.269811057</v>
      </c>
      <c r="BB57" s="357">
        <f t="shared" si="12"/>
        <v>-584249152.02586055</v>
      </c>
      <c r="BC57" s="82" t="s">
        <v>41</v>
      </c>
      <c r="BD57" s="356"/>
      <c r="BE57" s="82"/>
    </row>
    <row r="58" spans="1:57" outlineLevel="1" x14ac:dyDescent="0.25">
      <c r="A58" s="394">
        <f>ROW()</f>
        <v>58</v>
      </c>
      <c r="B58" s="365" t="s">
        <v>149</v>
      </c>
      <c r="C58" s="350" t="s">
        <v>143</v>
      </c>
      <c r="D58" s="386">
        <v>127273380.60826026</v>
      </c>
      <c r="E58" s="408"/>
      <c r="F58" s="385"/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408">
        <f>'SEF-36 pg 1-33, 37'!LQ20</f>
        <v>-8245213.3162603527</v>
      </c>
      <c r="X58" s="385"/>
      <c r="Y58" s="385"/>
      <c r="Z58" s="385"/>
      <c r="AA58" s="385"/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56"/>
      <c r="AQ58" s="385"/>
      <c r="AR58" s="385"/>
      <c r="AS58" s="385"/>
      <c r="AT58" s="385"/>
      <c r="AU58" s="385"/>
      <c r="AV58" s="385"/>
      <c r="AW58" s="385"/>
      <c r="AX58" s="385"/>
      <c r="AY58" s="385"/>
      <c r="AZ58" s="385"/>
      <c r="BA58" s="357">
        <f t="shared" si="11"/>
        <v>-8245213.3162603527</v>
      </c>
      <c r="BB58" s="357">
        <f t="shared" si="12"/>
        <v>119028167.29199991</v>
      </c>
      <c r="BC58" s="82" t="s">
        <v>41</v>
      </c>
      <c r="BD58" s="356"/>
      <c r="BE58" s="82"/>
    </row>
    <row r="59" spans="1:57" outlineLevel="1" x14ac:dyDescent="0.25">
      <c r="A59" s="394">
        <f>ROW()</f>
        <v>59</v>
      </c>
      <c r="B59" s="365" t="s">
        <v>150</v>
      </c>
      <c r="C59" s="350" t="s">
        <v>143</v>
      </c>
      <c r="D59" s="357">
        <v>-1782190.3299845832</v>
      </c>
      <c r="E59" s="408"/>
      <c r="F59" s="385"/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408">
        <f>'SEF-36 pg 1-33, 37'!LQ21</f>
        <v>581492.75057958323</v>
      </c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56"/>
      <c r="AQ59" s="385"/>
      <c r="AR59" s="385"/>
      <c r="AS59" s="385"/>
      <c r="AT59" s="385"/>
      <c r="AU59" s="385"/>
      <c r="AV59" s="385"/>
      <c r="AW59" s="385"/>
      <c r="AX59" s="385"/>
      <c r="AY59" s="385"/>
      <c r="AZ59" s="385"/>
      <c r="BA59" s="357">
        <f t="shared" si="11"/>
        <v>581492.75057958323</v>
      </c>
      <c r="BB59" s="357">
        <f t="shared" si="12"/>
        <v>-1200697.579405</v>
      </c>
      <c r="BC59" s="82" t="s">
        <v>41</v>
      </c>
      <c r="BD59" s="356"/>
      <c r="BE59" s="82"/>
    </row>
    <row r="60" spans="1:57" ht="15.75" outlineLevel="1" thickBot="1" x14ac:dyDescent="0.3">
      <c r="A60" s="394">
        <f>ROW()</f>
        <v>60</v>
      </c>
      <c r="B60" s="365" t="s">
        <v>118</v>
      </c>
      <c r="C60" s="350" t="s">
        <v>143</v>
      </c>
      <c r="D60" s="388">
        <f t="shared" ref="D60:AD60" si="13">SUM(D54:D59)</f>
        <v>2948894387.0453196</v>
      </c>
      <c r="E60" s="389">
        <f t="shared" si="13"/>
        <v>0</v>
      </c>
      <c r="F60" s="389">
        <f t="shared" si="13"/>
        <v>0</v>
      </c>
      <c r="G60" s="389">
        <f t="shared" si="13"/>
        <v>0</v>
      </c>
      <c r="H60" s="389">
        <f t="shared" si="13"/>
        <v>0</v>
      </c>
      <c r="I60" s="389">
        <f t="shared" si="13"/>
        <v>0</v>
      </c>
      <c r="J60" s="389">
        <f t="shared" si="13"/>
        <v>0</v>
      </c>
      <c r="K60" s="389">
        <f t="shared" si="13"/>
        <v>0</v>
      </c>
      <c r="L60" s="389">
        <f t="shared" si="13"/>
        <v>0</v>
      </c>
      <c r="M60" s="389">
        <f t="shared" si="13"/>
        <v>0</v>
      </c>
      <c r="N60" s="389">
        <f t="shared" si="13"/>
        <v>0</v>
      </c>
      <c r="O60" s="389">
        <f t="shared" si="13"/>
        <v>0</v>
      </c>
      <c r="P60" s="389">
        <f t="shared" si="13"/>
        <v>0</v>
      </c>
      <c r="Q60" s="389">
        <f t="shared" si="13"/>
        <v>0</v>
      </c>
      <c r="R60" s="389">
        <f t="shared" si="13"/>
        <v>0</v>
      </c>
      <c r="S60" s="389">
        <f t="shared" si="13"/>
        <v>0</v>
      </c>
      <c r="T60" s="389">
        <f t="shared" si="13"/>
        <v>0</v>
      </c>
      <c r="U60" s="389">
        <f t="shared" si="13"/>
        <v>0</v>
      </c>
      <c r="V60" s="389">
        <f t="shared" si="13"/>
        <v>0</v>
      </c>
      <c r="W60" s="389">
        <f t="shared" si="13"/>
        <v>50455434.08198075</v>
      </c>
      <c r="X60" s="389">
        <f t="shared" si="13"/>
        <v>-6824350.6486586146</v>
      </c>
      <c r="Y60" s="389">
        <f t="shared" si="13"/>
        <v>0</v>
      </c>
      <c r="Z60" s="389">
        <f t="shared" si="13"/>
        <v>0</v>
      </c>
      <c r="AA60" s="389">
        <f t="shared" si="13"/>
        <v>0</v>
      </c>
      <c r="AB60" s="389">
        <f t="shared" si="13"/>
        <v>-57834387.276298791</v>
      </c>
      <c r="AC60" s="389">
        <f t="shared" si="13"/>
        <v>0</v>
      </c>
      <c r="AD60" s="389">
        <f t="shared" si="13"/>
        <v>0</v>
      </c>
      <c r="AE60" s="389"/>
      <c r="AF60" s="389">
        <f>SUM(AF54:AF59)</f>
        <v>0</v>
      </c>
      <c r="AG60" s="389"/>
      <c r="AH60" s="389"/>
      <c r="AI60" s="389">
        <f>SUM(AI54:AI59)</f>
        <v>0</v>
      </c>
      <c r="AJ60" s="389"/>
      <c r="AK60" s="389"/>
      <c r="AL60" s="389">
        <f t="shared" ref="AL60:AS60" si="14">SUM(AL54:AL59)</f>
        <v>0</v>
      </c>
      <c r="AM60" s="389">
        <f t="shared" si="14"/>
        <v>0</v>
      </c>
      <c r="AN60" s="389">
        <f t="shared" si="14"/>
        <v>0</v>
      </c>
      <c r="AO60" s="389">
        <f t="shared" si="14"/>
        <v>0</v>
      </c>
      <c r="AP60" s="389">
        <f t="shared" si="14"/>
        <v>0</v>
      </c>
      <c r="AQ60" s="389">
        <f t="shared" si="14"/>
        <v>0</v>
      </c>
      <c r="AR60" s="389">
        <f t="shared" si="14"/>
        <v>-24218047.431628965</v>
      </c>
      <c r="AS60" s="389">
        <f t="shared" si="14"/>
        <v>0</v>
      </c>
      <c r="AT60" s="389"/>
      <c r="AU60" s="389"/>
      <c r="AV60" s="389"/>
      <c r="AW60" s="389"/>
      <c r="AX60" s="389"/>
      <c r="AY60" s="389"/>
      <c r="AZ60" s="389"/>
      <c r="BA60" s="388">
        <f>SUM(BA54:BA59)</f>
        <v>-38421351.274605609</v>
      </c>
      <c r="BB60" s="388">
        <f>SUM(BB54:BB59)</f>
        <v>2910473035.7707138</v>
      </c>
      <c r="BC60" s="82" t="s">
        <v>41</v>
      </c>
      <c r="BD60" s="356"/>
      <c r="BE60" s="82"/>
    </row>
    <row r="61" spans="1:57" ht="16.5" outlineLevel="1" thickTop="1" thickBot="1" x14ac:dyDescent="0.3">
      <c r="A61" s="394">
        <f>ROW()</f>
        <v>61</v>
      </c>
      <c r="B61" s="65" t="s">
        <v>30</v>
      </c>
      <c r="C61" s="350" t="s">
        <v>143</v>
      </c>
      <c r="H61" s="1897"/>
      <c r="BA61" s="351"/>
      <c r="BB61" s="351"/>
      <c r="BC61" s="82" t="s">
        <v>41</v>
      </c>
      <c r="BD61" s="356"/>
      <c r="BE61" s="82"/>
    </row>
    <row r="62" spans="1:57" ht="15.75" outlineLevel="1" thickBot="1" x14ac:dyDescent="0.3">
      <c r="A62" s="394">
        <f>ROW()</f>
        <v>62</v>
      </c>
      <c r="B62" s="365" t="s">
        <v>119</v>
      </c>
      <c r="C62" s="350" t="s">
        <v>143</v>
      </c>
      <c r="D62" s="81">
        <f>+'SEF-33 pg 1-2'!C13</f>
        <v>7.6499999999999999E-2</v>
      </c>
      <c r="E62" s="80">
        <f>+'SEF-33 pg 1-2'!C13</f>
        <v>7.6499999999999999E-2</v>
      </c>
      <c r="F62" s="80">
        <f>+'SEF-33 pg 1-2'!C13</f>
        <v>7.6499999999999999E-2</v>
      </c>
      <c r="G62" s="80">
        <f>+'SEF-33 pg 1-2'!C13</f>
        <v>7.6499999999999999E-2</v>
      </c>
      <c r="H62" s="1944"/>
      <c r="I62" s="80">
        <f>+'SEF-33 pg 1-2'!C13</f>
        <v>7.6499999999999999E-2</v>
      </c>
      <c r="J62" s="80">
        <f>+'SEF-33 pg 1-2'!C13</f>
        <v>7.6499999999999999E-2</v>
      </c>
      <c r="K62" s="80">
        <f>+'SEF-33 pg 1-2'!C13</f>
        <v>7.6499999999999999E-2</v>
      </c>
      <c r="L62" s="80">
        <f>+'SEF-33 pg 1-2'!C13</f>
        <v>7.6499999999999999E-2</v>
      </c>
      <c r="M62" s="80">
        <f>+'SEF-33 pg 1-2'!C13</f>
        <v>7.6499999999999999E-2</v>
      </c>
      <c r="N62" s="80">
        <f>+'SEF-33 pg 1-2'!C13</f>
        <v>7.6499999999999999E-2</v>
      </c>
      <c r="O62" s="80">
        <f>+'SEF-33 pg 1-2'!C13</f>
        <v>7.6499999999999999E-2</v>
      </c>
      <c r="P62" s="80">
        <f>+'SEF-33 pg 1-2'!C13</f>
        <v>7.6499999999999999E-2</v>
      </c>
      <c r="Q62" s="80">
        <f>+'SEF-33 pg 1-2'!C13</f>
        <v>7.6499999999999999E-2</v>
      </c>
      <c r="R62" s="80">
        <f>+'SEF-33 pg 1-2'!C13</f>
        <v>7.6499999999999999E-2</v>
      </c>
      <c r="S62" s="80">
        <f>+'SEF-33 pg 1-2'!C13</f>
        <v>7.6499999999999999E-2</v>
      </c>
      <c r="T62" s="80">
        <f>+'SEF-33 pg 1-2'!C13</f>
        <v>7.6499999999999999E-2</v>
      </c>
      <c r="U62" s="80">
        <f>+'SEF-33 pg 1-2'!C13</f>
        <v>7.6499999999999999E-2</v>
      </c>
      <c r="V62" s="80">
        <f>+'SEF-33 pg 1-2'!C13</f>
        <v>7.6499999999999999E-2</v>
      </c>
      <c r="W62" s="80">
        <f>+'SEF-33 pg 1-2'!C13</f>
        <v>7.6499999999999999E-2</v>
      </c>
      <c r="X62" s="80">
        <f>+'SEF-33 pg 1-2'!C13</f>
        <v>7.6499999999999999E-2</v>
      </c>
      <c r="Y62" s="80">
        <f>+'SEF-33 pg 1-2'!C13</f>
        <v>7.6499999999999999E-2</v>
      </c>
      <c r="Z62" s="80">
        <f>+'SEF-33 pg 1-2'!C13</f>
        <v>7.6499999999999999E-2</v>
      </c>
      <c r="AA62" s="80">
        <f>+'SEF-33 pg 1-2'!C13</f>
        <v>7.6499999999999999E-2</v>
      </c>
      <c r="AB62" s="80">
        <f>+'SEF-33 pg 1-2'!C13</f>
        <v>7.6499999999999999E-2</v>
      </c>
      <c r="AC62" s="80">
        <f>+'SEF-33 pg 1-2'!C13</f>
        <v>7.6499999999999999E-2</v>
      </c>
      <c r="AD62" s="80">
        <f>+'SEF-33 pg 1-2'!C13</f>
        <v>7.6499999999999999E-2</v>
      </c>
      <c r="AE62" s="80"/>
      <c r="AF62" s="80"/>
      <c r="AG62" s="80"/>
      <c r="AH62" s="80"/>
      <c r="AI62" s="80">
        <f>+'SEF-33 pg 1-2'!C13</f>
        <v>7.6499999999999999E-2</v>
      </c>
      <c r="AJ62" s="80"/>
      <c r="AK62" s="80">
        <f>+'SEF-33 pg 1-2'!C13</f>
        <v>7.6499999999999999E-2</v>
      </c>
      <c r="AL62" s="80">
        <f>+'SEF-33 pg 1-2'!C13</f>
        <v>7.6499999999999999E-2</v>
      </c>
      <c r="AM62" s="80">
        <f>+'SEF-33 pg 1-2'!$C$13</f>
        <v>7.6499999999999999E-2</v>
      </c>
      <c r="AN62" s="80">
        <f>+'SEF-33 pg 1-2'!$C$13</f>
        <v>7.6499999999999999E-2</v>
      </c>
      <c r="AO62" s="80">
        <f>+'SEF-33 pg 1-2'!$C$13</f>
        <v>7.6499999999999999E-2</v>
      </c>
      <c r="AP62" s="80">
        <f>+'SEF-33 pg 1-2'!C13</f>
        <v>7.6499999999999999E-2</v>
      </c>
      <c r="AQ62" s="80">
        <f>+'SEF-33 pg 1-2'!C13</f>
        <v>7.6499999999999999E-2</v>
      </c>
      <c r="AR62" s="80">
        <f>+'SEF-33 pg 1-2'!C13</f>
        <v>7.6499999999999999E-2</v>
      </c>
      <c r="AS62" s="80"/>
      <c r="AT62" s="80"/>
      <c r="AU62" s="80"/>
      <c r="AV62" s="80"/>
      <c r="AW62" s="80"/>
      <c r="AX62" s="80"/>
      <c r="AY62" s="80"/>
      <c r="AZ62" s="80"/>
      <c r="BA62" s="81">
        <f>+'SEF-33 pg 1-2'!C13</f>
        <v>7.6499999999999999E-2</v>
      </c>
      <c r="BB62" s="81">
        <f>+'SEF-33 pg 1-2'!C13</f>
        <v>7.6499999999999999E-2</v>
      </c>
      <c r="BC62" s="82" t="s">
        <v>41</v>
      </c>
      <c r="BD62" s="356"/>
      <c r="BE62" s="82"/>
    </row>
    <row r="63" spans="1:57" outlineLevel="1" x14ac:dyDescent="0.25">
      <c r="A63" s="394">
        <f>ROW()</f>
        <v>63</v>
      </c>
      <c r="B63" s="365" t="s">
        <v>3</v>
      </c>
      <c r="C63" s="350" t="s">
        <v>143</v>
      </c>
      <c r="D63" s="390">
        <f>+'SEF-35'!E20</f>
        <v>0.75342299999999995</v>
      </c>
      <c r="E63" s="391">
        <f>+'SEF-35'!E20</f>
        <v>0.75342299999999995</v>
      </c>
      <c r="F63" s="391">
        <f>+'SEF-35'!E20</f>
        <v>0.75342299999999995</v>
      </c>
      <c r="G63" s="391">
        <f>+'SEF-35'!E20</f>
        <v>0.75342299999999995</v>
      </c>
      <c r="H63" s="391">
        <f>+'SEF-35'!E20</f>
        <v>0.75342299999999995</v>
      </c>
      <c r="I63" s="391">
        <f>+'SEF-35'!E20</f>
        <v>0.75342299999999995</v>
      </c>
      <c r="J63" s="391">
        <f>+'SEF-35'!E20</f>
        <v>0.75342299999999995</v>
      </c>
      <c r="K63" s="391">
        <f>+'SEF-35'!E20</f>
        <v>0.75342299999999995</v>
      </c>
      <c r="L63" s="391">
        <f>+'SEF-35'!E20</f>
        <v>0.75342299999999995</v>
      </c>
      <c r="M63" s="391">
        <f>+'SEF-35'!E20</f>
        <v>0.75342299999999995</v>
      </c>
      <c r="N63" s="391">
        <f>+'SEF-35'!E20</f>
        <v>0.75342299999999995</v>
      </c>
      <c r="O63" s="391">
        <f>+'SEF-35'!E20</f>
        <v>0.75342299999999995</v>
      </c>
      <c r="P63" s="391">
        <f>+'SEF-35'!E20</f>
        <v>0.75342299999999995</v>
      </c>
      <c r="Q63" s="391">
        <f>+'SEF-35'!E20</f>
        <v>0.75342299999999995</v>
      </c>
      <c r="R63" s="391">
        <f>+'SEF-35'!E20</f>
        <v>0.75342299999999995</v>
      </c>
      <c r="S63" s="391">
        <f>+'SEF-35'!E20</f>
        <v>0.75342299999999995</v>
      </c>
      <c r="T63" s="391">
        <f>+'SEF-35'!E20</f>
        <v>0.75342299999999995</v>
      </c>
      <c r="U63" s="391">
        <f>+'SEF-35'!E20</f>
        <v>0.75342299999999995</v>
      </c>
      <c r="V63" s="391">
        <f>+'SEF-35'!E20</f>
        <v>0.75342299999999995</v>
      </c>
      <c r="W63" s="391">
        <f>+'SEF-35'!E20</f>
        <v>0.75342299999999995</v>
      </c>
      <c r="X63" s="391">
        <f>+'SEF-35'!E20</f>
        <v>0.75342299999999995</v>
      </c>
      <c r="Y63" s="391">
        <f>+'SEF-35'!E20</f>
        <v>0.75342299999999995</v>
      </c>
      <c r="Z63" s="391">
        <f>+'SEF-35'!E20</f>
        <v>0.75342299999999995</v>
      </c>
      <c r="AA63" s="391">
        <f>+'SEF-35'!E20</f>
        <v>0.75342299999999995</v>
      </c>
      <c r="AB63" s="391">
        <f>+'SEF-35'!E20</f>
        <v>0.75342299999999995</v>
      </c>
      <c r="AC63" s="391">
        <f>+'SEF-35'!E20</f>
        <v>0.75342299999999995</v>
      </c>
      <c r="AD63" s="391">
        <f>+'SEF-35'!E20</f>
        <v>0.75342299999999995</v>
      </c>
      <c r="AE63" s="391"/>
      <c r="AF63" s="391"/>
      <c r="AG63" s="391"/>
      <c r="AH63" s="391"/>
      <c r="AI63" s="391">
        <f>+'SEF-35'!E20</f>
        <v>0.75342299999999995</v>
      </c>
      <c r="AJ63" s="391"/>
      <c r="AK63" s="391">
        <f>+'SEF-35'!E20</f>
        <v>0.75342299999999995</v>
      </c>
      <c r="AL63" s="391">
        <f>+'SEF-35'!E20</f>
        <v>0.75342299999999995</v>
      </c>
      <c r="AM63" s="391">
        <f>+'SEF-35'!$E$20</f>
        <v>0.75342299999999995</v>
      </c>
      <c r="AN63" s="391">
        <f>+'SEF-35'!$E$20</f>
        <v>0.75342299999999995</v>
      </c>
      <c r="AO63" s="391">
        <f>+'SEF-35'!$E$20</f>
        <v>0.75342299999999995</v>
      </c>
      <c r="AP63" s="391">
        <f>+'SEF-35'!E20</f>
        <v>0.75342299999999995</v>
      </c>
      <c r="AQ63" s="391">
        <f>+'SEF-35'!E20</f>
        <v>0.75342299999999995</v>
      </c>
      <c r="AR63" s="391">
        <f>+'SEF-35'!E20</f>
        <v>0.75342299999999995</v>
      </c>
      <c r="AS63" s="391"/>
      <c r="AT63" s="391"/>
      <c r="AU63" s="391"/>
      <c r="AV63" s="391"/>
      <c r="AW63" s="391"/>
      <c r="AX63" s="391"/>
      <c r="AY63" s="391"/>
      <c r="AZ63" s="391"/>
      <c r="BA63" s="390">
        <f>+'SEF-35'!E20</f>
        <v>0.75342299999999995</v>
      </c>
      <c r="BB63" s="390">
        <f>+'SEF-35'!E20</f>
        <v>0.75342299999999995</v>
      </c>
      <c r="BC63" s="82" t="s">
        <v>41</v>
      </c>
      <c r="BD63" s="356"/>
      <c r="BE63" s="82"/>
    </row>
    <row r="64" spans="1:57" outlineLevel="1" x14ac:dyDescent="0.25">
      <c r="A64" s="394">
        <f>ROW()</f>
        <v>64</v>
      </c>
      <c r="B64" s="365" t="s">
        <v>152</v>
      </c>
      <c r="C64" s="350" t="s">
        <v>143</v>
      </c>
      <c r="D64" s="357">
        <f t="shared" ref="D64:AD64" si="15">+D47-(D60*D62)</f>
        <v>-43516214.018967032</v>
      </c>
      <c r="E64" s="392">
        <f t="shared" si="15"/>
        <v>32219831.834406704</v>
      </c>
      <c r="F64" s="392">
        <f t="shared" si="15"/>
        <v>2650763.4853924513</v>
      </c>
      <c r="G64" s="392">
        <f t="shared" si="15"/>
        <v>-361881.12555845373</v>
      </c>
      <c r="H64" s="382">
        <f t="shared" si="15"/>
        <v>-2391601.7753268979</v>
      </c>
      <c r="I64" s="382">
        <f t="shared" si="15"/>
        <v>16074542.57656165</v>
      </c>
      <c r="J64" s="382">
        <f t="shared" si="15"/>
        <v>213041.17074922178</v>
      </c>
      <c r="K64" s="382">
        <f t="shared" si="15"/>
        <v>-183413.51902969996</v>
      </c>
      <c r="L64" s="382">
        <f t="shared" si="15"/>
        <v>-678.41161519914863</v>
      </c>
      <c r="M64" s="382">
        <f t="shared" si="15"/>
        <v>13658.449104713156</v>
      </c>
      <c r="N64" s="382">
        <f t="shared" si="15"/>
        <v>18993.65433911428</v>
      </c>
      <c r="O64" s="382">
        <f t="shared" si="15"/>
        <v>1105216.3354017462</v>
      </c>
      <c r="P64" s="382">
        <f t="shared" si="15"/>
        <v>-151116.36784572125</v>
      </c>
      <c r="Q64" s="382">
        <f t="shared" si="15"/>
        <v>-30503.742766919091</v>
      </c>
      <c r="R64" s="382">
        <f t="shared" si="15"/>
        <v>-435005.0623120963</v>
      </c>
      <c r="S64" s="382">
        <f t="shared" si="15"/>
        <v>-778045.66996666696</v>
      </c>
      <c r="T64" s="382">
        <f t="shared" si="15"/>
        <v>13098.494505843493</v>
      </c>
      <c r="U64" s="382">
        <f t="shared" si="15"/>
        <v>-1117190.4516966809</v>
      </c>
      <c r="V64" s="382">
        <f t="shared" si="15"/>
        <v>-2924834.9278341117</v>
      </c>
      <c r="W64" s="382">
        <f t="shared" si="15"/>
        <v>-3859840.7072715275</v>
      </c>
      <c r="X64" s="382">
        <f t="shared" si="15"/>
        <v>-6302287.8240362303</v>
      </c>
      <c r="Y64" s="382">
        <f t="shared" si="15"/>
        <v>-1028549.4787845002</v>
      </c>
      <c r="Z64" s="382">
        <f t="shared" si="15"/>
        <v>0</v>
      </c>
      <c r="AA64" s="382">
        <f t="shared" si="15"/>
        <v>0</v>
      </c>
      <c r="AB64" s="382">
        <f t="shared" si="15"/>
        <v>1528045.5724505968</v>
      </c>
      <c r="AC64" s="382">
        <f t="shared" si="15"/>
        <v>-267705.11489864736</v>
      </c>
      <c r="AD64" s="382">
        <f t="shared" si="15"/>
        <v>0</v>
      </c>
      <c r="AE64" s="382"/>
      <c r="AF64" s="382"/>
      <c r="AG64" s="382"/>
      <c r="AH64" s="382"/>
      <c r="AI64" s="382">
        <f>+AI47-(AI60*AI62)</f>
        <v>0</v>
      </c>
      <c r="AJ64" s="382"/>
      <c r="AK64" s="382">
        <f t="shared" ref="AK64:AR64" si="16">+AK47-(AK60*AK62)</f>
        <v>-1702914.1352699972</v>
      </c>
      <c r="AL64" s="382">
        <f t="shared" si="16"/>
        <v>-1275792.7171000002</v>
      </c>
      <c r="AM64" s="382">
        <f t="shared" si="16"/>
        <v>69091.03</v>
      </c>
      <c r="AN64" s="382">
        <f t="shared" si="16"/>
        <v>0</v>
      </c>
      <c r="AO64" s="382">
        <f t="shared" si="16"/>
        <v>0</v>
      </c>
      <c r="AP64" s="382">
        <f t="shared" si="16"/>
        <v>0</v>
      </c>
      <c r="AQ64" s="382">
        <f t="shared" si="16"/>
        <v>0</v>
      </c>
      <c r="AR64" s="382">
        <f t="shared" si="16"/>
        <v>2515297.7326601571</v>
      </c>
      <c r="AS64" s="382"/>
      <c r="AT64" s="382"/>
      <c r="AU64" s="382"/>
      <c r="AV64" s="382"/>
      <c r="AW64" s="382"/>
      <c r="AX64" s="382"/>
      <c r="AY64" s="382"/>
      <c r="AZ64" s="382"/>
      <c r="BA64" s="371">
        <f>SUM(E64:AZ64)</f>
        <v>33610219.304258853</v>
      </c>
      <c r="BB64" s="371">
        <f>+BB47-(BB60*BB62)</f>
        <v>-9905994.7147078514</v>
      </c>
      <c r="BC64" s="82" t="s">
        <v>41</v>
      </c>
      <c r="BD64" s="356"/>
      <c r="BE64" s="82"/>
    </row>
    <row r="65" spans="1:57" outlineLevel="1" x14ac:dyDescent="0.25">
      <c r="A65" s="394">
        <f>ROW()</f>
        <v>65</v>
      </c>
      <c r="B65" s="365" t="s">
        <v>153</v>
      </c>
      <c r="C65" s="350" t="s">
        <v>143</v>
      </c>
      <c r="D65" s="371">
        <f t="shared" ref="D65:AD65" si="17">-D64/D63</f>
        <v>57758011.12916255</v>
      </c>
      <c r="E65" s="382">
        <f t="shared" si="17"/>
        <v>-42764598.153237566</v>
      </c>
      <c r="F65" s="392">
        <f t="shared" si="17"/>
        <v>-3518293.8208582052</v>
      </c>
      <c r="G65" s="382">
        <f t="shared" si="17"/>
        <v>480316.00516370451</v>
      </c>
      <c r="H65" s="392">
        <f t="shared" si="17"/>
        <v>3174314.7943809759</v>
      </c>
      <c r="I65" s="392">
        <f t="shared" si="17"/>
        <v>-21335348.90302214</v>
      </c>
      <c r="J65" s="392">
        <f t="shared" si="17"/>
        <v>-282764.35780328157</v>
      </c>
      <c r="K65" s="392">
        <f t="shared" si="17"/>
        <v>243440.29718989198</v>
      </c>
      <c r="L65" s="392">
        <f t="shared" si="17"/>
        <v>900.43921568514452</v>
      </c>
      <c r="M65" s="392">
        <f t="shared" si="17"/>
        <v>-18128.526876287498</v>
      </c>
      <c r="N65" s="392">
        <f t="shared" si="17"/>
        <v>-25209.814857144367</v>
      </c>
      <c r="O65" s="392">
        <f t="shared" si="17"/>
        <v>-1466926.7269538443</v>
      </c>
      <c r="P65" s="392">
        <f t="shared" si="17"/>
        <v>200573.074946904</v>
      </c>
      <c r="Q65" s="392">
        <f t="shared" si="17"/>
        <v>40486.874925399272</v>
      </c>
      <c r="R65" s="392">
        <f t="shared" si="17"/>
        <v>577371.62564999517</v>
      </c>
      <c r="S65" s="392">
        <f t="shared" si="17"/>
        <v>1032681.0702177489</v>
      </c>
      <c r="T65" s="392">
        <f t="shared" si="17"/>
        <v>-17385.312773625832</v>
      </c>
      <c r="U65" s="392">
        <f t="shared" si="17"/>
        <v>1482819.6799097995</v>
      </c>
      <c r="V65" s="392">
        <f t="shared" si="17"/>
        <v>3882062.1720256908</v>
      </c>
      <c r="W65" s="392">
        <f t="shared" si="17"/>
        <v>5123072.5731382342</v>
      </c>
      <c r="X65" s="392">
        <f t="shared" si="17"/>
        <v>8364873.1509872023</v>
      </c>
      <c r="Y65" s="392">
        <f t="shared" si="17"/>
        <v>1365168.6752123311</v>
      </c>
      <c r="Z65" s="382">
        <f t="shared" si="17"/>
        <v>0</v>
      </c>
      <c r="AA65" s="382">
        <f t="shared" si="17"/>
        <v>0</v>
      </c>
      <c r="AB65" s="382">
        <f t="shared" si="17"/>
        <v>-2028137.6762464072</v>
      </c>
      <c r="AC65" s="382">
        <f t="shared" si="17"/>
        <v>355318.47965704178</v>
      </c>
      <c r="AD65" s="382">
        <f t="shared" si="17"/>
        <v>0</v>
      </c>
      <c r="AE65" s="382"/>
      <c r="AF65" s="382"/>
      <c r="AG65" s="382"/>
      <c r="AH65" s="382"/>
      <c r="AI65" s="382">
        <f>-AI64/AI63</f>
        <v>0</v>
      </c>
      <c r="AJ65" s="382"/>
      <c r="AK65" s="392">
        <f t="shared" ref="AK65:AR65" si="18">-AK64/AK63</f>
        <v>2260236.4611513019</v>
      </c>
      <c r="AL65" s="392">
        <f t="shared" si="18"/>
        <v>1693328.6043829301</v>
      </c>
      <c r="AM65" s="392">
        <f t="shared" si="18"/>
        <v>-91702.841564433271</v>
      </c>
      <c r="AN65" s="382">
        <f t="shared" si="18"/>
        <v>0</v>
      </c>
      <c r="AO65" s="382">
        <f t="shared" si="18"/>
        <v>0</v>
      </c>
      <c r="AP65" s="382">
        <f t="shared" si="18"/>
        <v>0</v>
      </c>
      <c r="AQ65" s="382">
        <f t="shared" si="18"/>
        <v>0</v>
      </c>
      <c r="AR65" s="392">
        <f t="shared" si="18"/>
        <v>-3338493.4262162917</v>
      </c>
      <c r="AS65" s="392"/>
      <c r="AT65" s="392"/>
      <c r="AU65" s="392"/>
      <c r="AV65" s="392"/>
      <c r="AW65" s="392"/>
      <c r="AX65" s="392"/>
      <c r="AY65" s="392"/>
      <c r="AZ65" s="392"/>
      <c r="BA65" s="371">
        <f>-BA64/BA63</f>
        <v>-44610025.582254395</v>
      </c>
      <c r="BB65" s="371">
        <f>-BB64/BB63</f>
        <v>13147985.546907715</v>
      </c>
      <c r="BC65" s="82" t="s">
        <v>41</v>
      </c>
      <c r="BD65" s="356"/>
      <c r="BE65" s="82"/>
    </row>
    <row r="66" spans="1:57" outlineLevel="1" x14ac:dyDescent="0.25">
      <c r="A66" s="394">
        <f>ROW()</f>
        <v>66</v>
      </c>
      <c r="B66" s="365" t="s">
        <v>128</v>
      </c>
      <c r="C66" s="350" t="s">
        <v>143</v>
      </c>
      <c r="D66" s="357"/>
      <c r="E66" s="382"/>
      <c r="F66" s="382"/>
      <c r="G66" s="382"/>
      <c r="H66" s="382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2"/>
      <c r="AF66" s="382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57"/>
      <c r="BB66" s="357"/>
      <c r="BC66" s="82" t="s">
        <v>41</v>
      </c>
      <c r="BE66" s="82"/>
    </row>
    <row r="67" spans="1:57" outlineLevel="1" x14ac:dyDescent="0.25">
      <c r="A67" s="394">
        <f>ROW()</f>
        <v>67</v>
      </c>
      <c r="B67" s="365" t="s">
        <v>129</v>
      </c>
      <c r="C67" s="350" t="s">
        <v>143</v>
      </c>
      <c r="D67" s="357"/>
      <c r="E67" s="382"/>
      <c r="F67" s="382"/>
      <c r="G67" s="382"/>
      <c r="H67" s="382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2"/>
      <c r="T67" s="382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2"/>
      <c r="AF67" s="382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2"/>
      <c r="AZ67" s="382"/>
      <c r="BA67" s="357"/>
      <c r="BB67" s="357"/>
      <c r="BC67" s="82" t="s">
        <v>41</v>
      </c>
      <c r="BE67" s="82"/>
    </row>
    <row r="68" spans="1:57" outlineLevel="1" x14ac:dyDescent="0.25">
      <c r="A68" s="394">
        <f>ROW()</f>
        <v>68</v>
      </c>
      <c r="B68" s="365"/>
      <c r="C68" s="350" t="s">
        <v>143</v>
      </c>
      <c r="D68" s="393"/>
      <c r="E68" s="382"/>
      <c r="F68" s="382"/>
      <c r="G68" s="382"/>
      <c r="H68" s="382"/>
      <c r="I68" s="382"/>
      <c r="J68" s="382"/>
      <c r="K68" s="382"/>
      <c r="L68" s="382"/>
      <c r="M68" s="382"/>
      <c r="N68" s="382"/>
      <c r="O68" s="382"/>
      <c r="P68" s="382"/>
      <c r="Q68" s="382"/>
      <c r="R68" s="382"/>
      <c r="S68" s="382"/>
      <c r="T68" s="382"/>
      <c r="U68" s="382"/>
      <c r="V68" s="382"/>
      <c r="W68" s="382"/>
      <c r="X68" s="382"/>
      <c r="Y68" s="382"/>
      <c r="Z68" s="382"/>
      <c r="AA68" s="382"/>
      <c r="AB68" s="382"/>
      <c r="AC68" s="382"/>
      <c r="AD68" s="382"/>
      <c r="AE68" s="382"/>
      <c r="AF68" s="382"/>
      <c r="AG68" s="382"/>
      <c r="AH68" s="382"/>
      <c r="AI68" s="382"/>
      <c r="AJ68" s="382"/>
      <c r="AK68" s="382"/>
      <c r="AL68" s="382"/>
      <c r="AM68" s="382"/>
      <c r="AN68" s="382"/>
      <c r="AO68" s="382"/>
      <c r="AP68" s="382"/>
      <c r="AQ68" s="382"/>
      <c r="AR68" s="382"/>
      <c r="AS68" s="382"/>
      <c r="AT68" s="382"/>
      <c r="AU68" s="382"/>
      <c r="AV68" s="382"/>
      <c r="AW68" s="382"/>
      <c r="AX68" s="382"/>
      <c r="AY68" s="382"/>
      <c r="AZ68" s="382"/>
      <c r="BA68" s="393"/>
      <c r="BB68" s="393"/>
      <c r="BC68" s="82" t="s">
        <v>41</v>
      </c>
      <c r="BE68" s="82"/>
    </row>
    <row r="69" spans="1:57" outlineLevel="1" x14ac:dyDescent="0.25">
      <c r="A69" s="394">
        <f>ROW()</f>
        <v>69</v>
      </c>
      <c r="B69" s="365"/>
      <c r="C69" s="350" t="s">
        <v>143</v>
      </c>
      <c r="D69" s="1910"/>
      <c r="E69" s="1943"/>
      <c r="BA69" s="351"/>
      <c r="BB69" s="351"/>
      <c r="BC69" s="82" t="s">
        <v>41</v>
      </c>
      <c r="BE69" s="82"/>
    </row>
    <row r="70" spans="1:57" s="399" customFormat="1" outlineLevel="1" x14ac:dyDescent="0.25">
      <c r="A70" s="394">
        <f>ROW()</f>
        <v>70</v>
      </c>
      <c r="B70" s="395" t="s">
        <v>154</v>
      </c>
      <c r="C70" s="350" t="s">
        <v>143</v>
      </c>
      <c r="D70" s="1909"/>
      <c r="E70" s="429">
        <f>ROUND('SEF-36 pg 1-33, 37'!E$71-E47,0)+E49</f>
        <v>0</v>
      </c>
      <c r="F70" s="429">
        <f>ROUND('SEF-36 pg 1-33, 37'!W$65-F47,0)+F49</f>
        <v>0</v>
      </c>
      <c r="G70" s="429">
        <f>ROUND('SEF-36 pg 1-33, 37'!AO$30-G47,0)+G49</f>
        <v>0</v>
      </c>
      <c r="H70" s="429">
        <f>ROUND('SEF-36 pg 1-33, 37'!BG$22-H47,0)+H49</f>
        <v>0</v>
      </c>
      <c r="I70" s="429">
        <f>ROUND('SEF-36 pg 1-33, 37'!BY$24-I47,0)+I49</f>
        <v>0</v>
      </c>
      <c r="J70" s="429">
        <f>ROUND('SEF-36 pg 1-33, 37'!CQ$20-J47,0)+J49</f>
        <v>0</v>
      </c>
      <c r="K70" s="429">
        <f>ROUND('SEF-36 pg 1-33, 37'!DI$22-K47,0)+K49</f>
        <v>0</v>
      </c>
      <c r="L70" s="429">
        <f>ROUND('SEF-36 pg 1-33, 37'!EA$21-L47,0)+L49</f>
        <v>0</v>
      </c>
      <c r="M70" s="429">
        <f>ROUND('SEF-36 pg 1-33, 37'!ES$27-M47,0)+M49</f>
        <v>0</v>
      </c>
      <c r="N70" s="429">
        <f>ROUND('SEF-36 pg 1-33, 37'!FK$23-N47,0)+N49</f>
        <v>0</v>
      </c>
      <c r="O70" s="429">
        <f>ROUND('SEF-36 pg 1-33, 37'!GC$32-O47,0)+O49</f>
        <v>0</v>
      </c>
      <c r="P70" s="429">
        <f>ROUND('SEF-36 pg 1-33, 37'!GU$36-P47,0)+P49</f>
        <v>0</v>
      </c>
      <c r="Q70" s="429">
        <f>ROUND('SEF-36 pg 1-33, 37'!HM$18-Q47,0)+Q49</f>
        <v>0</v>
      </c>
      <c r="R70" s="429">
        <f>ROUND('SEF-36 pg 1-33, 37'!IE$21-R47,0)+R49</f>
        <v>0</v>
      </c>
      <c r="S70" s="429">
        <f>ROUND('SEF-36 pg 1-33, 37'!IW$22-S47,0)+S49</f>
        <v>0</v>
      </c>
      <c r="T70" s="429">
        <f>ROUND('SEF-36 pg 1-33, 37'!JO$23-T47,0)+T49</f>
        <v>0</v>
      </c>
      <c r="U70" s="429">
        <f>ROUND('SEF-36 pg 1-33, 37'!KG$20-U47,0)+U49</f>
        <v>0</v>
      </c>
      <c r="V70" s="429">
        <f>ROUND('SEF-36 pg 1-33, 37'!KY$33-V47,0)+V49</f>
        <v>0</v>
      </c>
      <c r="W70" s="429">
        <f>ROUND('SEF-36 pg 1-33, 37'!LQ$22-W49,0)+W47</f>
        <v>0</v>
      </c>
      <c r="X70" s="429">
        <f>ROUND('SEF-36 pg 1-33, 37'!MI$31-X47,0)+ROUND('SEF-36 pg 1-33, 37'!MI$36-X49,0)</f>
        <v>0</v>
      </c>
      <c r="Y70" s="429">
        <f>ROUND('SEF-36 pg 1-33, 37'!NA$22-Y47,0)+Y49</f>
        <v>0</v>
      </c>
      <c r="Z70" s="429">
        <f>ROUND('SEF-36 pg 1-33, 37'!NS$31-Z47,0)+Z49</f>
        <v>0</v>
      </c>
      <c r="AA70" s="429">
        <f>ROUND('SEF-36 pg 1-33, 37'!OK$35-AA47,0)+ROUND('SEF-36 pg 1-33, 37'!OK$24-AA49,0)</f>
        <v>0</v>
      </c>
      <c r="AB70" s="429">
        <f>ROUND('SEF-36 pg 1-33, 37'!PC$53-AB47,0)+ROUND('SEF-36 pg 1-33, 37'!PC$35-AB49,0)</f>
        <v>0</v>
      </c>
      <c r="AC70" s="429">
        <f>ROUND('SEF-36 pg 1-33, 37'!PU$21-AC47,0)+AC49</f>
        <v>0</v>
      </c>
      <c r="AD70" s="429">
        <f>ROUND('SEF-36 pg 1-33, 37'!RW$30-AD47,0)+ROUND('SEF-36 pg 1-33, 37'!RW$35-AD49,0)</f>
        <v>0</v>
      </c>
      <c r="AE70" s="429">
        <f>ROUND('SEF-36 pg 1-33, 37'!RF$31-AE47,0)+ROUND('SEF-36 pg 1-33, 37'!RF$36-AE49,0)</f>
        <v>0</v>
      </c>
      <c r="AF70" s="429">
        <f>ROUND('SEF-36 pg 1-33, 37'!RX30-AF47,0)+ROUND('SEF-36 pg 1-33, 37'!RX35-AF49,0)</f>
        <v>0</v>
      </c>
      <c r="AG70" s="429">
        <f>ROUND('SEF-36 pg 1-33, 37'!SP$62-AG47,0)+ROUND('SEF-36 pg 1-33, 37'!SP$67-AG49,0)</f>
        <v>0</v>
      </c>
      <c r="AH70" s="429">
        <f>ROUND('SEF-36 pg 1-33, 37'!SP$80-AH47,0)+ROUND('SEF-36 pg 1-33, 37'!SP$85-AH49,0)</f>
        <v>0</v>
      </c>
      <c r="AI70" s="429">
        <f>ROUND('SEF-36 pg 1-33, 37'!SP$98-AI47,0)+ROUND('SEF-36 pg 1-33, 37'!SP$103-AI49,0)</f>
        <v>0</v>
      </c>
      <c r="AJ70" s="429">
        <f>ROUND('SEF-36 pg 1-33, 37'!SQ$98-AJ47,0)+ROUND('SEF-36 pg 1-33, 37'!SQ$103-AJ49,0)</f>
        <v>0</v>
      </c>
      <c r="AK70" s="429">
        <f>ROUND('SEF-36 pg 1-33, 37'!UB$38-AK47,0)</f>
        <v>0</v>
      </c>
      <c r="AL70" s="429">
        <f>ROUND('SEF-36 pg 1-33, 37'!UU$27-AL47,0)</f>
        <v>0</v>
      </c>
      <c r="AM70" s="429">
        <f>ROUND('SEF-36 pg 1-33, 37'!TI$25-AM47,0)</f>
        <v>0</v>
      </c>
      <c r="AN70" s="429">
        <f>AN47-'SEF-36 pg 1-33, 37'!VN32</f>
        <v>0</v>
      </c>
      <c r="AO70" s="429">
        <f>ROUND('SEF-36 pg 1-33, 37'!TK$25-AO47,0)</f>
        <v>0</v>
      </c>
      <c r="AP70" s="429">
        <f>(AP49-'SEF-36 pg 34-36'!BG33)+(AP47-'SEF-36 pg 34-36'!BG49)</f>
        <v>0</v>
      </c>
      <c r="AQ70" s="429">
        <f>ROUND('SEF-36 pg 34-36'!BY$53-AQ49,0)+AQ47</f>
        <v>0</v>
      </c>
      <c r="AR70" s="429">
        <f>ROUND('SEF-36 pg 34-36'!CQ22-AR47+'SEF-36 pg 34-36'!CQ31-AR49,0)</f>
        <v>0</v>
      </c>
      <c r="AS70" s="1890"/>
      <c r="AT70" s="1890"/>
      <c r="AU70" s="1889"/>
      <c r="AV70" s="1888"/>
      <c r="AW70" s="1888"/>
      <c r="AX70" s="1888"/>
      <c r="AY70" s="1888"/>
      <c r="AZ70" s="1888"/>
      <c r="BA70" s="1942"/>
      <c r="BB70" s="1942"/>
      <c r="BC70" s="82" t="s">
        <v>41</v>
      </c>
      <c r="BE70" s="82"/>
    </row>
    <row r="71" spans="1:57" outlineLevel="1" x14ac:dyDescent="0.25">
      <c r="A71" s="394">
        <f>ROW()</f>
        <v>71</v>
      </c>
      <c r="B71" s="395" t="s">
        <v>155</v>
      </c>
      <c r="C71" s="350" t="s">
        <v>143</v>
      </c>
      <c r="D71" s="1941">
        <f>'SEF-34 pg 1'!C47-D47</f>
        <v>0</v>
      </c>
      <c r="BA71" s="1940"/>
      <c r="BB71" s="1940">
        <f>'SEF-34 pg 1'!E47-BB47</f>
        <v>0</v>
      </c>
      <c r="BC71" s="1919" t="s">
        <v>41</v>
      </c>
      <c r="BE71" s="82"/>
    </row>
    <row r="72" spans="1:57" outlineLevel="1" x14ac:dyDescent="0.25">
      <c r="A72" s="394">
        <f>ROW()</f>
        <v>72</v>
      </c>
      <c r="B72" s="395" t="s">
        <v>156</v>
      </c>
      <c r="C72" s="350" t="s">
        <v>143</v>
      </c>
      <c r="D72" s="1941">
        <f>'SEF-34 pg 1'!C58-D60</f>
        <v>0</v>
      </c>
      <c r="BA72" s="1940"/>
      <c r="BB72" s="1940">
        <f>'SEF-34 pg 1'!E58-BB60</f>
        <v>0</v>
      </c>
      <c r="BC72" s="1919" t="s">
        <v>41</v>
      </c>
      <c r="BE72" s="82"/>
    </row>
    <row r="73" spans="1:57" x14ac:dyDescent="0.25">
      <c r="A73" s="394">
        <f>ROW()</f>
        <v>73</v>
      </c>
      <c r="B73" s="461"/>
      <c r="C73" s="350"/>
      <c r="D73" s="1906"/>
      <c r="BA73" s="1904"/>
      <c r="BB73" s="1904"/>
      <c r="BC73" s="82" t="s">
        <v>41</v>
      </c>
      <c r="BE73" s="82"/>
    </row>
    <row r="74" spans="1:57" outlineLevel="1" x14ac:dyDescent="0.25">
      <c r="A74" s="394">
        <f>ROW()</f>
        <v>74</v>
      </c>
      <c r="B74" s="399"/>
      <c r="C74" s="1250" t="s">
        <v>157</v>
      </c>
      <c r="D74" s="1906"/>
      <c r="E74" s="326">
        <v>45261</v>
      </c>
      <c r="F74" s="326">
        <v>45261</v>
      </c>
      <c r="G74" s="326">
        <v>45261</v>
      </c>
      <c r="H74" s="326">
        <v>45261</v>
      </c>
      <c r="I74" s="326">
        <v>45261</v>
      </c>
      <c r="J74" s="326">
        <v>45261</v>
      </c>
      <c r="K74" s="326">
        <v>45261</v>
      </c>
      <c r="L74" s="326">
        <v>45261</v>
      </c>
      <c r="M74" s="326">
        <v>45261</v>
      </c>
      <c r="N74" s="326">
        <v>45261</v>
      </c>
      <c r="O74" s="326">
        <v>45261</v>
      </c>
      <c r="P74" s="326">
        <v>45261</v>
      </c>
      <c r="Q74" s="326">
        <v>45261</v>
      </c>
      <c r="R74" s="326">
        <v>45261</v>
      </c>
      <c r="S74" s="326">
        <v>45261</v>
      </c>
      <c r="T74" s="326">
        <v>45261</v>
      </c>
      <c r="U74" s="326">
        <v>45261</v>
      </c>
      <c r="V74" s="326">
        <v>45261</v>
      </c>
      <c r="W74" s="326">
        <v>45261</v>
      </c>
      <c r="X74" s="326">
        <v>45261</v>
      </c>
      <c r="Y74" s="326">
        <v>45261</v>
      </c>
      <c r="Z74" s="326">
        <v>45261</v>
      </c>
      <c r="AA74" s="326">
        <v>45261</v>
      </c>
      <c r="AB74" s="326">
        <v>45261</v>
      </c>
      <c r="AC74" s="326">
        <v>45261</v>
      </c>
      <c r="AD74" s="326">
        <v>45261</v>
      </c>
      <c r="AE74" s="326">
        <v>45261</v>
      </c>
      <c r="AF74" s="326">
        <v>45261</v>
      </c>
      <c r="AG74" s="326">
        <v>45261</v>
      </c>
      <c r="AH74" s="326">
        <v>45261</v>
      </c>
      <c r="AI74" s="326">
        <v>45261</v>
      </c>
      <c r="AJ74" s="326">
        <v>45261</v>
      </c>
      <c r="AK74" s="326">
        <v>45261</v>
      </c>
      <c r="AL74" s="326">
        <v>45261</v>
      </c>
      <c r="AM74" s="326">
        <v>45261</v>
      </c>
      <c r="AN74" s="326">
        <v>45261</v>
      </c>
      <c r="AO74" s="326">
        <v>45261</v>
      </c>
      <c r="AP74" s="326">
        <v>45261</v>
      </c>
      <c r="AQ74" s="326">
        <v>45261</v>
      </c>
      <c r="AR74" s="326">
        <v>45261</v>
      </c>
      <c r="AS74" s="326">
        <v>45261</v>
      </c>
      <c r="AT74" s="326">
        <v>45261</v>
      </c>
      <c r="AU74" s="326">
        <v>45261</v>
      </c>
      <c r="AV74" s="326">
        <v>45261</v>
      </c>
      <c r="AW74" s="326">
        <v>45261</v>
      </c>
      <c r="AX74" s="326">
        <v>45261</v>
      </c>
      <c r="AY74" s="326">
        <v>45261</v>
      </c>
      <c r="AZ74" s="326">
        <v>45261</v>
      </c>
      <c r="BA74" s="1905">
        <v>45261</v>
      </c>
      <c r="BB74" s="1905">
        <v>45261</v>
      </c>
      <c r="BC74" s="82" t="s">
        <v>41</v>
      </c>
      <c r="BE74" s="82"/>
    </row>
    <row r="75" spans="1:57" outlineLevel="1" x14ac:dyDescent="0.25">
      <c r="A75" s="394">
        <f>ROW()</f>
        <v>75</v>
      </c>
      <c r="B75" s="399"/>
      <c r="C75" s="1251"/>
      <c r="D75" s="1906"/>
      <c r="E75" s="1249"/>
      <c r="F75" s="1249"/>
      <c r="G75" s="1249"/>
      <c r="H75" s="1249"/>
      <c r="I75" s="1249"/>
      <c r="J75" s="1249"/>
      <c r="K75" s="1249"/>
      <c r="L75" s="1249"/>
      <c r="M75" s="1249"/>
      <c r="N75" s="1249"/>
      <c r="O75" s="1249"/>
      <c r="P75" s="1249"/>
      <c r="Q75" s="1249"/>
      <c r="R75" s="1249"/>
      <c r="S75" s="1249"/>
      <c r="T75" s="1249"/>
      <c r="U75" s="1249"/>
      <c r="V75" s="1249"/>
      <c r="W75" s="1249"/>
      <c r="X75" s="1249"/>
      <c r="Y75" s="1249"/>
      <c r="Z75" s="1249"/>
      <c r="AA75" s="1249"/>
      <c r="AB75" s="1249"/>
      <c r="AC75" s="1249"/>
      <c r="AD75" s="1249"/>
      <c r="AE75" s="1249"/>
      <c r="AF75" s="1249"/>
      <c r="AG75" s="1249"/>
      <c r="AH75" s="1249"/>
      <c r="AI75" s="1249"/>
      <c r="AJ75" s="1249"/>
      <c r="AK75" s="1249"/>
      <c r="AL75" s="1249"/>
      <c r="AM75" s="1249"/>
      <c r="AN75" s="1249"/>
      <c r="AO75" s="1249"/>
      <c r="AP75" s="1249"/>
      <c r="AQ75" s="1249"/>
      <c r="AR75" s="1249"/>
      <c r="AS75" s="1249"/>
      <c r="AT75" s="1249"/>
      <c r="AU75" s="1249"/>
      <c r="AV75" s="1249"/>
      <c r="AW75" s="1249"/>
      <c r="AX75" s="1249"/>
      <c r="AY75" s="1249"/>
      <c r="AZ75" s="1249"/>
      <c r="BA75" s="1904"/>
      <c r="BB75" s="1904"/>
      <c r="BC75" s="82" t="s">
        <v>41</v>
      </c>
      <c r="BE75" s="82"/>
    </row>
    <row r="76" spans="1:57" outlineLevel="1" x14ac:dyDescent="0.25">
      <c r="A76" s="394">
        <f>ROW()</f>
        <v>76</v>
      </c>
      <c r="B76" s="349" t="s">
        <v>81</v>
      </c>
      <c r="C76" s="402">
        <v>45291</v>
      </c>
      <c r="D76" s="352"/>
      <c r="E76" s="1939"/>
      <c r="F76" s="402"/>
      <c r="G76" s="402"/>
      <c r="H76" s="402"/>
      <c r="I76" s="402"/>
      <c r="J76" s="402"/>
      <c r="K76" s="402"/>
      <c r="L76" s="402"/>
      <c r="M76" s="402"/>
      <c r="N76" s="402"/>
      <c r="O76" s="402"/>
      <c r="P76" s="402"/>
      <c r="Q76" s="402"/>
      <c r="R76" s="402"/>
      <c r="S76" s="402"/>
      <c r="T76" s="402"/>
      <c r="U76" s="402"/>
      <c r="V76" s="402"/>
      <c r="W76" s="402"/>
      <c r="X76" s="402"/>
      <c r="Y76" s="402"/>
      <c r="Z76" s="402"/>
      <c r="AA76" s="402"/>
      <c r="AB76" s="402"/>
      <c r="AC76" s="402"/>
      <c r="AD76" s="402"/>
      <c r="AE76" s="402"/>
      <c r="AF76" s="402"/>
      <c r="AG76" s="402"/>
      <c r="AH76" s="402"/>
      <c r="AI76" s="402"/>
      <c r="AJ76" s="402"/>
      <c r="AK76" s="402"/>
      <c r="AL76" s="402"/>
      <c r="AN76" s="402"/>
      <c r="AO76" s="402"/>
      <c r="AP76" s="402"/>
      <c r="BA76" s="352"/>
      <c r="BB76" s="352"/>
      <c r="BC76" s="82" t="s">
        <v>41</v>
      </c>
      <c r="BE76" s="82"/>
    </row>
    <row r="77" spans="1:57" outlineLevel="1" x14ac:dyDescent="0.25">
      <c r="A77" s="394">
        <f>ROW()</f>
        <v>77</v>
      </c>
      <c r="B77" s="349" t="s">
        <v>82</v>
      </c>
      <c r="C77" s="402">
        <v>45291</v>
      </c>
      <c r="D77" s="352">
        <f>+BB16</f>
        <v>634775920.03775692</v>
      </c>
      <c r="E77" s="408">
        <f>'SEF-36 pg 1-33, 37'!G37</f>
        <v>-57533887.225894623</v>
      </c>
      <c r="F77" s="408"/>
      <c r="G77" s="408">
        <f>'SEF-36 pg 1-33, 37'!AQ20</f>
        <v>-23455855.920842838</v>
      </c>
      <c r="H77" s="408"/>
      <c r="I77" s="408"/>
      <c r="J77" s="408"/>
      <c r="K77" s="408"/>
      <c r="L77" s="408"/>
      <c r="M77" s="408"/>
      <c r="N77" s="408"/>
      <c r="O77" s="408"/>
      <c r="P77" s="408"/>
      <c r="Q77" s="408"/>
      <c r="R77" s="408"/>
      <c r="S77" s="408"/>
      <c r="T77" s="408"/>
      <c r="U77" s="408"/>
      <c r="V77" s="408"/>
      <c r="W77" s="408"/>
      <c r="X77" s="408"/>
      <c r="Y77" s="408"/>
      <c r="Z77" s="408"/>
      <c r="AA77" s="408"/>
      <c r="AB77" s="408"/>
      <c r="AC77" s="353"/>
      <c r="AD77" s="353"/>
      <c r="AE77" s="353"/>
      <c r="AF77" s="353"/>
      <c r="AG77" s="353"/>
      <c r="AH77" s="353"/>
      <c r="AI77" s="353"/>
      <c r="AJ77" s="353"/>
      <c r="AK77" s="353"/>
      <c r="AL77" s="353"/>
      <c r="AM77" s="407"/>
      <c r="AN77" s="353"/>
      <c r="AO77" s="353"/>
      <c r="AP77" s="353"/>
      <c r="AQ77" s="353"/>
      <c r="AR77" s="353"/>
      <c r="AS77" s="353"/>
      <c r="AT77" s="353"/>
      <c r="AU77" s="353"/>
      <c r="AV77" s="353"/>
      <c r="AW77" s="353"/>
      <c r="AX77" s="353"/>
      <c r="AY77" s="353"/>
      <c r="AZ77" s="353"/>
      <c r="BA77" s="352">
        <f>SUM(E77:AZ77)</f>
        <v>-80989743.146737456</v>
      </c>
      <c r="BB77" s="352">
        <f>+BA77+BB16</f>
        <v>553786176.89101946</v>
      </c>
      <c r="BC77" s="82" t="s">
        <v>41</v>
      </c>
      <c r="BD77" s="356"/>
      <c r="BE77" s="82"/>
    </row>
    <row r="78" spans="1:57" outlineLevel="1" x14ac:dyDescent="0.25">
      <c r="A78" s="394">
        <f>ROW()</f>
        <v>78</v>
      </c>
      <c r="B78" s="349" t="s">
        <v>83</v>
      </c>
      <c r="C78" s="402">
        <v>45291</v>
      </c>
      <c r="D78" s="357">
        <f>+BB17</f>
        <v>0</v>
      </c>
      <c r="E78" s="408"/>
      <c r="F78" s="408"/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408"/>
      <c r="Z78" s="408"/>
      <c r="AA78" s="408"/>
      <c r="AB78" s="408"/>
      <c r="AC78" s="358"/>
      <c r="AD78" s="358"/>
      <c r="AE78" s="358"/>
      <c r="AF78" s="358"/>
      <c r="AG78" s="358"/>
      <c r="AH78" s="358"/>
      <c r="AI78" s="358"/>
      <c r="AJ78" s="358"/>
      <c r="AK78" s="358"/>
      <c r="AL78" s="358"/>
      <c r="AM78" s="408"/>
      <c r="AN78" s="358"/>
      <c r="AO78" s="358"/>
      <c r="AP78" s="358"/>
      <c r="AQ78" s="358"/>
      <c r="AR78" s="358"/>
      <c r="AS78" s="358"/>
      <c r="AT78" s="358"/>
      <c r="AU78" s="358"/>
      <c r="AV78" s="358"/>
      <c r="AW78" s="358"/>
      <c r="AX78" s="358"/>
      <c r="AY78" s="358"/>
      <c r="AZ78" s="358"/>
      <c r="BA78" s="357">
        <f>SUM(E78:AZ78)</f>
        <v>0</v>
      </c>
      <c r="BB78" s="357">
        <f>+BA78+BB17</f>
        <v>0</v>
      </c>
      <c r="BC78" s="82" t="s">
        <v>41</v>
      </c>
      <c r="BD78" s="356"/>
      <c r="BE78" s="82"/>
    </row>
    <row r="79" spans="1:57" outlineLevel="1" x14ac:dyDescent="0.25">
      <c r="A79" s="394">
        <f>ROW()</f>
        <v>79</v>
      </c>
      <c r="B79" s="349" t="s">
        <v>84</v>
      </c>
      <c r="C79" s="402">
        <v>45291</v>
      </c>
      <c r="D79" s="357">
        <f>+BB18</f>
        <v>0</v>
      </c>
      <c r="E79" s="408"/>
      <c r="F79" s="408"/>
      <c r="G79" s="408"/>
      <c r="H79" s="408"/>
      <c r="I79" s="408"/>
      <c r="J79" s="408"/>
      <c r="K79" s="408"/>
      <c r="L79" s="408"/>
      <c r="M79" s="408"/>
      <c r="N79" s="408"/>
      <c r="O79" s="408"/>
      <c r="P79" s="408"/>
      <c r="Q79" s="408"/>
      <c r="R79" s="408"/>
      <c r="S79" s="408"/>
      <c r="T79" s="408"/>
      <c r="U79" s="408"/>
      <c r="V79" s="408"/>
      <c r="W79" s="408"/>
      <c r="X79" s="408"/>
      <c r="Y79" s="408"/>
      <c r="Z79" s="408"/>
      <c r="AA79" s="408"/>
      <c r="AB79" s="408"/>
      <c r="AC79" s="358"/>
      <c r="AD79" s="358"/>
      <c r="AE79" s="358"/>
      <c r="AF79" s="358"/>
      <c r="AG79" s="358"/>
      <c r="AH79" s="358"/>
      <c r="AI79" s="358"/>
      <c r="AJ79" s="358"/>
      <c r="AK79" s="358"/>
      <c r="AL79" s="358"/>
      <c r="AM79" s="408"/>
      <c r="AN79" s="358"/>
      <c r="AO79" s="358"/>
      <c r="AP79" s="358"/>
      <c r="AQ79" s="358"/>
      <c r="AR79" s="358"/>
      <c r="AS79" s="358"/>
      <c r="AT79" s="358"/>
      <c r="AU79" s="358"/>
      <c r="AV79" s="358"/>
      <c r="AW79" s="358"/>
      <c r="AX79" s="358"/>
      <c r="AY79" s="358"/>
      <c r="AZ79" s="358"/>
      <c r="BA79" s="357">
        <f>SUM(E79:AZ79)</f>
        <v>0</v>
      </c>
      <c r="BB79" s="357">
        <f>+BA79+BB18</f>
        <v>0</v>
      </c>
      <c r="BC79" s="82" t="s">
        <v>41</v>
      </c>
      <c r="BD79" s="356"/>
      <c r="BE79" s="82"/>
    </row>
    <row r="80" spans="1:57" outlineLevel="1" x14ac:dyDescent="0.25">
      <c r="A80" s="394">
        <f>ROW()</f>
        <v>80</v>
      </c>
      <c r="B80" s="349" t="s">
        <v>85</v>
      </c>
      <c r="C80" s="402">
        <v>45291</v>
      </c>
      <c r="D80" s="357">
        <f>+BB19</f>
        <v>21693170</v>
      </c>
      <c r="E80" s="408">
        <f>'SEF-36 pg 1-33, 37'!G54</f>
        <v>-836935.66999999993</v>
      </c>
      <c r="F80" s="408"/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408"/>
      <c r="Z80" s="408"/>
      <c r="AA80" s="408"/>
      <c r="AB80" s="408">
        <f>+'SEF-36 pg 1-33, 37'!PE38</f>
        <v>0</v>
      </c>
      <c r="AC80" s="358"/>
      <c r="AD80" s="358"/>
      <c r="AE80" s="358"/>
      <c r="AF80" s="358"/>
      <c r="AG80" s="358"/>
      <c r="AH80" s="358"/>
      <c r="AI80" s="358"/>
      <c r="AJ80" s="358"/>
      <c r="AK80" s="358"/>
      <c r="AL80" s="358"/>
      <c r="AM80" s="408"/>
      <c r="AN80" s="358"/>
      <c r="AO80" s="358"/>
      <c r="AP80" s="358">
        <f>'SEF-36 pg 34-36'!BI36</f>
        <v>-20081109</v>
      </c>
      <c r="AQ80" s="358">
        <f>-'SEF-36 pg 34-36'!CA33-'SEF-36 pg 34-36'!CA36</f>
        <v>-1336792.368297589</v>
      </c>
      <c r="AR80" s="358"/>
      <c r="AS80" s="358"/>
      <c r="AT80" s="358"/>
      <c r="AU80" s="358"/>
      <c r="AV80" s="358"/>
      <c r="AW80" s="358"/>
      <c r="AX80" s="358"/>
      <c r="AY80" s="358"/>
      <c r="AZ80" s="358"/>
      <c r="BA80" s="357">
        <f>SUM(E80:AZ80)</f>
        <v>-22254837.03829759</v>
      </c>
      <c r="BB80" s="357">
        <f>+BA80+BB19</f>
        <v>-561667.03829758987</v>
      </c>
      <c r="BC80" s="82" t="s">
        <v>41</v>
      </c>
      <c r="BD80" s="356"/>
      <c r="BE80" s="82"/>
    </row>
    <row r="81" spans="1:57" outlineLevel="1" x14ac:dyDescent="0.25">
      <c r="A81" s="394">
        <f>ROW()</f>
        <v>81</v>
      </c>
      <c r="B81" s="349" t="s">
        <v>86</v>
      </c>
      <c r="C81" s="402">
        <v>45291</v>
      </c>
      <c r="D81" s="359">
        <f t="shared" ref="D81:AI81" si="19">SUM(D77:D80)</f>
        <v>656469090.03775692</v>
      </c>
      <c r="E81" s="360">
        <f t="shared" si="19"/>
        <v>-58370822.895894624</v>
      </c>
      <c r="F81" s="360">
        <f t="shared" si="19"/>
        <v>0</v>
      </c>
      <c r="G81" s="360">
        <f t="shared" si="19"/>
        <v>-23455855.920842838</v>
      </c>
      <c r="H81" s="360">
        <f t="shared" si="19"/>
        <v>0</v>
      </c>
      <c r="I81" s="360">
        <f t="shared" si="19"/>
        <v>0</v>
      </c>
      <c r="J81" s="360">
        <f t="shared" si="19"/>
        <v>0</v>
      </c>
      <c r="K81" s="360">
        <f t="shared" si="19"/>
        <v>0</v>
      </c>
      <c r="L81" s="360">
        <f t="shared" si="19"/>
        <v>0</v>
      </c>
      <c r="M81" s="360">
        <f t="shared" si="19"/>
        <v>0</v>
      </c>
      <c r="N81" s="360">
        <f t="shared" si="19"/>
        <v>0</v>
      </c>
      <c r="O81" s="360">
        <f t="shared" si="19"/>
        <v>0</v>
      </c>
      <c r="P81" s="360">
        <f t="shared" si="19"/>
        <v>0</v>
      </c>
      <c r="Q81" s="360">
        <f t="shared" si="19"/>
        <v>0</v>
      </c>
      <c r="R81" s="360">
        <f t="shared" si="19"/>
        <v>0</v>
      </c>
      <c r="S81" s="360">
        <f t="shared" si="19"/>
        <v>0</v>
      </c>
      <c r="T81" s="360">
        <f t="shared" si="19"/>
        <v>0</v>
      </c>
      <c r="U81" s="360">
        <f t="shared" si="19"/>
        <v>0</v>
      </c>
      <c r="V81" s="360">
        <f t="shared" si="19"/>
        <v>0</v>
      </c>
      <c r="W81" s="360">
        <f t="shared" si="19"/>
        <v>0</v>
      </c>
      <c r="X81" s="360">
        <f t="shared" si="19"/>
        <v>0</v>
      </c>
      <c r="Y81" s="360">
        <f t="shared" si="19"/>
        <v>0</v>
      </c>
      <c r="Z81" s="360">
        <f t="shared" si="19"/>
        <v>0</v>
      </c>
      <c r="AA81" s="360">
        <f t="shared" si="19"/>
        <v>0</v>
      </c>
      <c r="AB81" s="360">
        <f t="shared" si="19"/>
        <v>0</v>
      </c>
      <c r="AC81" s="360">
        <f t="shared" si="19"/>
        <v>0</v>
      </c>
      <c r="AD81" s="360">
        <f t="shared" si="19"/>
        <v>0</v>
      </c>
      <c r="AE81" s="360">
        <f t="shared" si="19"/>
        <v>0</v>
      </c>
      <c r="AF81" s="360">
        <f t="shared" si="19"/>
        <v>0</v>
      </c>
      <c r="AG81" s="360">
        <f t="shared" si="19"/>
        <v>0</v>
      </c>
      <c r="AH81" s="360">
        <f t="shared" si="19"/>
        <v>0</v>
      </c>
      <c r="AI81" s="360">
        <f t="shared" si="19"/>
        <v>0</v>
      </c>
      <c r="AJ81" s="360"/>
      <c r="AK81" s="360">
        <f t="shared" ref="AK81:AS81" si="20">SUM(AK77:AK80)</f>
        <v>0</v>
      </c>
      <c r="AL81" s="360">
        <f t="shared" si="20"/>
        <v>0</v>
      </c>
      <c r="AM81" s="410">
        <f t="shared" si="20"/>
        <v>0</v>
      </c>
      <c r="AN81" s="410">
        <f t="shared" si="20"/>
        <v>0</v>
      </c>
      <c r="AO81" s="410">
        <f t="shared" si="20"/>
        <v>0</v>
      </c>
      <c r="AP81" s="360">
        <f t="shared" si="20"/>
        <v>-20081109</v>
      </c>
      <c r="AQ81" s="360">
        <f t="shared" si="20"/>
        <v>-1336792.368297589</v>
      </c>
      <c r="AR81" s="360">
        <f t="shared" si="20"/>
        <v>0</v>
      </c>
      <c r="AS81" s="360">
        <f t="shared" si="20"/>
        <v>0</v>
      </c>
      <c r="AT81" s="360"/>
      <c r="AU81" s="360"/>
      <c r="AV81" s="360"/>
      <c r="AW81" s="360"/>
      <c r="AX81" s="360"/>
      <c r="AY81" s="360"/>
      <c r="AZ81" s="360"/>
      <c r="BA81" s="359">
        <f>SUM(BA77:BA80)</f>
        <v>-103244580.18503505</v>
      </c>
      <c r="BB81" s="359">
        <f>SUM(BB77:BB80)</f>
        <v>553224509.85272193</v>
      </c>
      <c r="BC81" s="82" t="s">
        <v>41</v>
      </c>
      <c r="BD81" s="356"/>
      <c r="BE81" s="82"/>
    </row>
    <row r="82" spans="1:57" outlineLevel="1" x14ac:dyDescent="0.25">
      <c r="A82" s="394">
        <f>ROW()</f>
        <v>82</v>
      </c>
      <c r="B82" s="363"/>
      <c r="C82" s="402">
        <v>45291</v>
      </c>
      <c r="D82" s="357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358"/>
      <c r="AA82" s="358"/>
      <c r="AB82" s="358"/>
      <c r="AC82" s="358"/>
      <c r="AD82" s="358"/>
      <c r="AE82" s="358"/>
      <c r="AF82" s="358"/>
      <c r="AG82" s="358"/>
      <c r="AH82" s="358"/>
      <c r="AI82" s="358"/>
      <c r="AJ82" s="358"/>
      <c r="AK82" s="358"/>
      <c r="AL82" s="358"/>
      <c r="AM82" s="408"/>
      <c r="AN82" s="358"/>
      <c r="AO82" s="358"/>
      <c r="AP82" s="358"/>
      <c r="AQ82" s="358"/>
      <c r="AR82" s="358"/>
      <c r="AS82" s="358"/>
      <c r="AT82" s="358"/>
      <c r="AU82" s="358"/>
      <c r="AV82" s="358"/>
      <c r="AW82" s="358"/>
      <c r="AX82" s="358"/>
      <c r="AY82" s="358"/>
      <c r="AZ82" s="358"/>
      <c r="BA82" s="357"/>
      <c r="BB82" s="357"/>
      <c r="BC82" s="82" t="s">
        <v>41</v>
      </c>
      <c r="BD82" s="356"/>
      <c r="BE82" s="82"/>
    </row>
    <row r="83" spans="1:57" outlineLevel="1" x14ac:dyDescent="0.25">
      <c r="A83" s="394">
        <f>ROW()</f>
        <v>83</v>
      </c>
      <c r="B83" s="349" t="s">
        <v>87</v>
      </c>
      <c r="C83" s="402">
        <v>45291</v>
      </c>
      <c r="D83" s="351"/>
      <c r="AM83" s="411"/>
      <c r="BA83" s="351"/>
      <c r="BB83" s="351"/>
      <c r="BC83" s="82" t="s">
        <v>41</v>
      </c>
      <c r="BD83" s="356"/>
      <c r="BE83" s="82"/>
    </row>
    <row r="84" spans="1:57" outlineLevel="1" x14ac:dyDescent="0.25">
      <c r="A84" s="394">
        <f>ROW()</f>
        <v>84</v>
      </c>
      <c r="B84" s="365"/>
      <c r="C84" s="402">
        <v>45291</v>
      </c>
      <c r="D84" s="351"/>
      <c r="AM84" s="411"/>
      <c r="BA84" s="351"/>
      <c r="BB84" s="351"/>
      <c r="BC84" s="82" t="s">
        <v>41</v>
      </c>
      <c r="BD84" s="356"/>
      <c r="BE84" s="82"/>
    </row>
    <row r="85" spans="1:57" outlineLevel="1" x14ac:dyDescent="0.25">
      <c r="A85" s="394">
        <f>ROW()</f>
        <v>85</v>
      </c>
      <c r="B85" s="349" t="s">
        <v>88</v>
      </c>
      <c r="C85" s="402">
        <v>45291</v>
      </c>
      <c r="D85" s="351"/>
      <c r="AM85" s="411"/>
      <c r="BA85" s="351"/>
      <c r="BB85" s="351"/>
      <c r="BC85" s="82" t="s">
        <v>41</v>
      </c>
      <c r="BD85" s="356"/>
      <c r="BE85" s="82"/>
    </row>
    <row r="86" spans="1:57" outlineLevel="1" x14ac:dyDescent="0.25">
      <c r="A86" s="394">
        <f>ROW()</f>
        <v>86</v>
      </c>
      <c r="B86" s="349" t="s">
        <v>89</v>
      </c>
      <c r="C86" s="402">
        <v>45291</v>
      </c>
      <c r="D86" s="366">
        <f>+BB25</f>
        <v>0</v>
      </c>
      <c r="E86" s="356"/>
      <c r="F86" s="356"/>
      <c r="G86" s="356"/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6"/>
      <c r="AI86" s="356"/>
      <c r="AJ86" s="356"/>
      <c r="AK86" s="356"/>
      <c r="AL86" s="356"/>
      <c r="AM86" s="412"/>
      <c r="AN86" s="356"/>
      <c r="AO86" s="356"/>
      <c r="AP86" s="356"/>
      <c r="AQ86" s="356"/>
      <c r="AR86" s="356"/>
      <c r="AS86" s="356"/>
      <c r="AT86" s="356"/>
      <c r="AU86" s="356"/>
      <c r="AV86" s="356"/>
      <c r="AW86" s="356"/>
      <c r="AX86" s="356"/>
      <c r="AY86" s="356"/>
      <c r="AZ86" s="356"/>
      <c r="BA86" s="366">
        <f>SUM(E86:AZ86)</f>
        <v>0</v>
      </c>
      <c r="BB86" s="366">
        <f>+BA86+BB25</f>
        <v>0</v>
      </c>
      <c r="BC86" s="82" t="s">
        <v>41</v>
      </c>
      <c r="BD86" s="356"/>
      <c r="BE86" s="82"/>
    </row>
    <row r="87" spans="1:57" outlineLevel="1" x14ac:dyDescent="0.25">
      <c r="A87" s="394">
        <f>ROW()</f>
        <v>87</v>
      </c>
      <c r="B87" s="349" t="s">
        <v>90</v>
      </c>
      <c r="C87" s="402">
        <v>45291</v>
      </c>
      <c r="D87" s="357">
        <f>+BB26</f>
        <v>0</v>
      </c>
      <c r="E87" s="358"/>
      <c r="F87" s="358"/>
      <c r="G87" s="358"/>
      <c r="H87" s="358"/>
      <c r="I87" s="358"/>
      <c r="J87" s="358"/>
      <c r="K87" s="358"/>
      <c r="L87" s="358"/>
      <c r="M87" s="358"/>
      <c r="N87" s="358"/>
      <c r="O87" s="358"/>
      <c r="P87" s="358"/>
      <c r="Q87" s="358"/>
      <c r="R87" s="358"/>
      <c r="S87" s="358"/>
      <c r="T87" s="358"/>
      <c r="U87" s="358"/>
      <c r="V87" s="358"/>
      <c r="W87" s="358"/>
      <c r="X87" s="358"/>
      <c r="Y87" s="358"/>
      <c r="Z87" s="358"/>
      <c r="AA87" s="358"/>
      <c r="AB87" s="358"/>
      <c r="AC87" s="358"/>
      <c r="AD87" s="358"/>
      <c r="AE87" s="358"/>
      <c r="AF87" s="358"/>
      <c r="AG87" s="358"/>
      <c r="AH87" s="358"/>
      <c r="AI87" s="358"/>
      <c r="AJ87" s="358"/>
      <c r="AK87" s="358"/>
      <c r="AL87" s="358"/>
      <c r="AM87" s="408"/>
      <c r="AN87" s="358"/>
      <c r="AO87" s="358"/>
      <c r="AP87" s="358"/>
      <c r="AQ87" s="358"/>
      <c r="AR87" s="358"/>
      <c r="AS87" s="358"/>
      <c r="AT87" s="358"/>
      <c r="AU87" s="358"/>
      <c r="AV87" s="358"/>
      <c r="AW87" s="358"/>
      <c r="AX87" s="358"/>
      <c r="AY87" s="358"/>
      <c r="AZ87" s="358"/>
      <c r="BA87" s="357">
        <f>SUM(E87:AZ87)</f>
        <v>0</v>
      </c>
      <c r="BB87" s="357">
        <f>+BA87+BB26</f>
        <v>0</v>
      </c>
      <c r="BC87" s="82" t="s">
        <v>41</v>
      </c>
      <c r="BD87" s="356"/>
      <c r="BE87" s="82"/>
    </row>
    <row r="88" spans="1:57" outlineLevel="1" x14ac:dyDescent="0.25">
      <c r="A88" s="394">
        <f>ROW()</f>
        <v>88</v>
      </c>
      <c r="B88" s="349" t="s">
        <v>91</v>
      </c>
      <c r="C88" s="402">
        <v>45291</v>
      </c>
      <c r="D88" s="357">
        <f>+BB27</f>
        <v>0</v>
      </c>
      <c r="E88" s="358"/>
      <c r="F88" s="358"/>
      <c r="G88" s="358"/>
      <c r="H88" s="358"/>
      <c r="I88" s="358"/>
      <c r="J88" s="358"/>
      <c r="K88" s="358"/>
      <c r="L88" s="358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  <c r="Y88" s="358"/>
      <c r="Z88" s="358"/>
      <c r="AA88" s="358"/>
      <c r="AB88" s="358"/>
      <c r="AC88" s="358"/>
      <c r="AD88" s="358"/>
      <c r="AE88" s="358"/>
      <c r="AF88" s="358"/>
      <c r="AG88" s="358"/>
      <c r="AH88" s="358"/>
      <c r="AI88" s="358"/>
      <c r="AJ88" s="358"/>
      <c r="AK88" s="358"/>
      <c r="AL88" s="358"/>
      <c r="AM88" s="408"/>
      <c r="AN88" s="358"/>
      <c r="AO88" s="358"/>
      <c r="AP88" s="358"/>
      <c r="AQ88" s="358"/>
      <c r="AR88" s="358"/>
      <c r="AS88" s="358"/>
      <c r="AT88" s="358"/>
      <c r="AU88" s="358"/>
      <c r="AV88" s="358"/>
      <c r="AW88" s="358"/>
      <c r="AX88" s="358"/>
      <c r="AY88" s="358"/>
      <c r="AZ88" s="358"/>
      <c r="BA88" s="357">
        <f>SUM(E88:AZ88)</f>
        <v>0</v>
      </c>
      <c r="BB88" s="357">
        <f>+BA88+BB27</f>
        <v>0</v>
      </c>
      <c r="BC88" s="82" t="s">
        <v>41</v>
      </c>
      <c r="BD88" s="356"/>
      <c r="BE88" s="82"/>
    </row>
    <row r="89" spans="1:57" outlineLevel="1" x14ac:dyDescent="0.25">
      <c r="A89" s="394">
        <f>ROW()</f>
        <v>89</v>
      </c>
      <c r="B89" s="365" t="s">
        <v>92</v>
      </c>
      <c r="C89" s="402">
        <v>45291</v>
      </c>
      <c r="D89" s="357">
        <f>+BB28</f>
        <v>0</v>
      </c>
      <c r="E89" s="358"/>
      <c r="F89" s="358"/>
      <c r="G89" s="358"/>
      <c r="H89" s="358"/>
      <c r="I89" s="358"/>
      <c r="J89" s="358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  <c r="AA89" s="358"/>
      <c r="AB89" s="358"/>
      <c r="AC89" s="358"/>
      <c r="AD89" s="358"/>
      <c r="AE89" s="358"/>
      <c r="AF89" s="358"/>
      <c r="AG89" s="358"/>
      <c r="AH89" s="358"/>
      <c r="AI89" s="358"/>
      <c r="AJ89" s="358"/>
      <c r="AK89" s="358"/>
      <c r="AL89" s="358"/>
      <c r="AM89" s="408"/>
      <c r="AN89" s="358"/>
      <c r="AO89" s="358"/>
      <c r="AP89" s="358"/>
      <c r="AQ89" s="358"/>
      <c r="AR89" s="358"/>
      <c r="AS89" s="358"/>
      <c r="AT89" s="358"/>
      <c r="AU89" s="358"/>
      <c r="AV89" s="358"/>
      <c r="AW89" s="358"/>
      <c r="AX89" s="358"/>
      <c r="AY89" s="358"/>
      <c r="AZ89" s="358"/>
      <c r="BA89" s="357">
        <f>SUM(E89:AZ89)</f>
        <v>0</v>
      </c>
      <c r="BB89" s="357">
        <f>+BA89+BB28</f>
        <v>0</v>
      </c>
      <c r="BC89" s="82" t="s">
        <v>41</v>
      </c>
      <c r="BD89" s="356"/>
      <c r="BE89" s="82"/>
    </row>
    <row r="90" spans="1:57" outlineLevel="1" x14ac:dyDescent="0.25">
      <c r="A90" s="394">
        <f>ROW()</f>
        <v>90</v>
      </c>
      <c r="B90" s="349" t="s">
        <v>93</v>
      </c>
      <c r="C90" s="402">
        <v>45291</v>
      </c>
      <c r="D90" s="367">
        <f t="shared" ref="D90:AI90" si="21">SUM(D85:D89)</f>
        <v>0</v>
      </c>
      <c r="E90" s="368">
        <f t="shared" si="21"/>
        <v>0</v>
      </c>
      <c r="F90" s="368">
        <f t="shared" si="21"/>
        <v>0</v>
      </c>
      <c r="G90" s="368">
        <f t="shared" si="21"/>
        <v>0</v>
      </c>
      <c r="H90" s="368">
        <f t="shared" si="21"/>
        <v>0</v>
      </c>
      <c r="I90" s="368">
        <f t="shared" si="21"/>
        <v>0</v>
      </c>
      <c r="J90" s="368">
        <f t="shared" si="21"/>
        <v>0</v>
      </c>
      <c r="K90" s="368">
        <f t="shared" si="21"/>
        <v>0</v>
      </c>
      <c r="L90" s="368">
        <f t="shared" si="21"/>
        <v>0</v>
      </c>
      <c r="M90" s="368">
        <f t="shared" si="21"/>
        <v>0</v>
      </c>
      <c r="N90" s="368">
        <f t="shared" si="21"/>
        <v>0</v>
      </c>
      <c r="O90" s="368">
        <f t="shared" si="21"/>
        <v>0</v>
      </c>
      <c r="P90" s="368">
        <f t="shared" si="21"/>
        <v>0</v>
      </c>
      <c r="Q90" s="368">
        <f t="shared" si="21"/>
        <v>0</v>
      </c>
      <c r="R90" s="368">
        <f t="shared" si="21"/>
        <v>0</v>
      </c>
      <c r="S90" s="368">
        <f t="shared" si="21"/>
        <v>0</v>
      </c>
      <c r="T90" s="368">
        <f t="shared" si="21"/>
        <v>0</v>
      </c>
      <c r="U90" s="368">
        <f t="shared" si="21"/>
        <v>0</v>
      </c>
      <c r="V90" s="368">
        <f t="shared" si="21"/>
        <v>0</v>
      </c>
      <c r="W90" s="368">
        <f t="shared" si="21"/>
        <v>0</v>
      </c>
      <c r="X90" s="368">
        <f t="shared" si="21"/>
        <v>0</v>
      </c>
      <c r="Y90" s="368">
        <f t="shared" si="21"/>
        <v>0</v>
      </c>
      <c r="Z90" s="368">
        <f t="shared" si="21"/>
        <v>0</v>
      </c>
      <c r="AA90" s="368">
        <f t="shared" si="21"/>
        <v>0</v>
      </c>
      <c r="AB90" s="368">
        <f t="shared" si="21"/>
        <v>0</v>
      </c>
      <c r="AC90" s="368">
        <f t="shared" si="21"/>
        <v>0</v>
      </c>
      <c r="AD90" s="368">
        <f t="shared" si="21"/>
        <v>0</v>
      </c>
      <c r="AE90" s="368">
        <f t="shared" si="21"/>
        <v>0</v>
      </c>
      <c r="AF90" s="368">
        <f t="shared" si="21"/>
        <v>0</v>
      </c>
      <c r="AG90" s="368">
        <f t="shared" si="21"/>
        <v>0</v>
      </c>
      <c r="AH90" s="368">
        <f t="shared" si="21"/>
        <v>0</v>
      </c>
      <c r="AI90" s="368">
        <f t="shared" si="21"/>
        <v>0</v>
      </c>
      <c r="AJ90" s="368"/>
      <c r="AK90" s="368">
        <f t="shared" ref="AK90:AS90" si="22">SUM(AK85:AK89)</f>
        <v>0</v>
      </c>
      <c r="AL90" s="368">
        <f t="shared" si="22"/>
        <v>0</v>
      </c>
      <c r="AM90" s="368">
        <f t="shared" si="22"/>
        <v>0</v>
      </c>
      <c r="AN90" s="368">
        <f t="shared" si="22"/>
        <v>0</v>
      </c>
      <c r="AO90" s="368">
        <f t="shared" si="22"/>
        <v>0</v>
      </c>
      <c r="AP90" s="368">
        <f t="shared" si="22"/>
        <v>0</v>
      </c>
      <c r="AQ90" s="368">
        <f t="shared" si="22"/>
        <v>0</v>
      </c>
      <c r="AR90" s="368">
        <f t="shared" si="22"/>
        <v>0</v>
      </c>
      <c r="AS90" s="368">
        <f t="shared" si="22"/>
        <v>0</v>
      </c>
      <c r="AT90" s="368"/>
      <c r="AU90" s="368"/>
      <c r="AV90" s="368"/>
      <c r="AW90" s="368"/>
      <c r="AX90" s="368"/>
      <c r="AY90" s="368"/>
      <c r="AZ90" s="368"/>
      <c r="BA90" s="367">
        <f>SUM(BA85:BA89)</f>
        <v>0</v>
      </c>
      <c r="BB90" s="367">
        <f>SUM(BB85:BB89)</f>
        <v>0</v>
      </c>
      <c r="BC90" s="82" t="s">
        <v>41</v>
      </c>
      <c r="BD90" s="356"/>
      <c r="BE90" s="82"/>
    </row>
    <row r="91" spans="1:57" outlineLevel="1" x14ac:dyDescent="0.25">
      <c r="A91" s="394">
        <f>ROW()</f>
        <v>91</v>
      </c>
      <c r="B91" s="349"/>
      <c r="C91" s="402">
        <v>45291</v>
      </c>
      <c r="D91" s="366"/>
      <c r="E91" s="356"/>
      <c r="F91" s="356"/>
      <c r="G91" s="356"/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  <c r="AG91" s="356"/>
      <c r="AH91" s="356"/>
      <c r="AI91" s="356"/>
      <c r="AJ91" s="356"/>
      <c r="AK91" s="356"/>
      <c r="AL91" s="356"/>
      <c r="AM91" s="356"/>
      <c r="AN91" s="356"/>
      <c r="AO91" s="356"/>
      <c r="AP91" s="356"/>
      <c r="AQ91" s="356"/>
      <c r="AR91" s="356"/>
      <c r="AS91" s="356"/>
      <c r="AT91" s="356"/>
      <c r="AU91" s="356"/>
      <c r="AV91" s="356"/>
      <c r="AW91" s="356"/>
      <c r="AX91" s="356"/>
      <c r="AY91" s="356"/>
      <c r="AZ91" s="356"/>
      <c r="BA91" s="366"/>
      <c r="BB91" s="366"/>
      <c r="BC91" s="82" t="s">
        <v>41</v>
      </c>
      <c r="BD91" s="356"/>
      <c r="BE91" s="82"/>
    </row>
    <row r="92" spans="1:57" outlineLevel="1" x14ac:dyDescent="0.25">
      <c r="A92" s="394">
        <f>ROW()</f>
        <v>92</v>
      </c>
      <c r="B92" s="369" t="s">
        <v>94</v>
      </c>
      <c r="C92" s="402">
        <v>45291</v>
      </c>
      <c r="D92" s="357">
        <f t="shared" ref="D92:D105" si="23">+BB31</f>
        <v>7851364.4197196011</v>
      </c>
      <c r="E92" s="358"/>
      <c r="F92" s="358"/>
      <c r="G92" s="358"/>
      <c r="H92" s="358"/>
      <c r="I92" s="358"/>
      <c r="J92" s="358"/>
      <c r="K92" s="358"/>
      <c r="L92" s="358"/>
      <c r="M92" s="358"/>
      <c r="N92" s="358"/>
      <c r="O92" s="358">
        <f>'SEF-36 pg 1-33, 37'!GE18+'SEF-36 pg 1-33, 37'!GE17+'SEF-36 pg 1-33, 37'!GE19</f>
        <v>17167.652464941577</v>
      </c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58"/>
      <c r="AC92" s="358"/>
      <c r="AD92" s="358"/>
      <c r="AE92" s="358"/>
      <c r="AF92" s="358"/>
      <c r="AG92" s="358"/>
      <c r="AH92" s="358"/>
      <c r="AI92" s="358"/>
      <c r="AJ92" s="358"/>
      <c r="AK92" s="358"/>
      <c r="AL92" s="358"/>
      <c r="AM92" s="408"/>
      <c r="AN92" s="358"/>
      <c r="AO92" s="358"/>
      <c r="AP92" s="358"/>
      <c r="AQ92" s="358"/>
      <c r="AR92" s="358"/>
      <c r="AS92" s="356"/>
      <c r="AT92" s="356"/>
      <c r="AU92" s="356"/>
      <c r="AV92" s="356"/>
      <c r="AW92" s="356"/>
      <c r="AX92" s="356"/>
      <c r="AY92" s="356"/>
      <c r="AZ92" s="356"/>
      <c r="BA92" s="366">
        <f t="shared" ref="BA92:BA105" si="24">SUM(E92:AZ92)</f>
        <v>17167.652464941577</v>
      </c>
      <c r="BB92" s="366">
        <f t="shared" ref="BB92:BB105" si="25">+BA92+BB31</f>
        <v>7868532.0721845422</v>
      </c>
      <c r="BC92" s="82" t="s">
        <v>41</v>
      </c>
      <c r="BD92" s="356">
        <f>+'SEF-34 pg 2-36'!CA28-BB92</f>
        <v>-7868532.0721845422</v>
      </c>
      <c r="BE92" s="82"/>
    </row>
    <row r="93" spans="1:57" outlineLevel="1" x14ac:dyDescent="0.25">
      <c r="A93" s="394">
        <f>ROW()</f>
        <v>93</v>
      </c>
      <c r="B93" s="349" t="s">
        <v>95</v>
      </c>
      <c r="C93" s="402">
        <v>45291</v>
      </c>
      <c r="D93" s="357">
        <f t="shared" si="23"/>
        <v>0</v>
      </c>
      <c r="E93" s="358"/>
      <c r="F93" s="358"/>
      <c r="G93" s="358"/>
      <c r="H93" s="358"/>
      <c r="I93" s="358"/>
      <c r="J93" s="35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  <c r="Y93" s="358"/>
      <c r="Z93" s="358"/>
      <c r="AA93" s="358"/>
      <c r="AB93" s="358"/>
      <c r="AC93" s="358"/>
      <c r="AD93" s="358"/>
      <c r="AE93" s="358"/>
      <c r="AF93" s="358"/>
      <c r="AG93" s="358"/>
      <c r="AH93" s="358"/>
      <c r="AI93" s="358"/>
      <c r="AJ93" s="358"/>
      <c r="AK93" s="358"/>
      <c r="AL93" s="358"/>
      <c r="AM93" s="408"/>
      <c r="AN93" s="358"/>
      <c r="AO93" s="358"/>
      <c r="AP93" s="358"/>
      <c r="AQ93" s="358"/>
      <c r="AR93" s="358"/>
      <c r="AS93" s="358"/>
      <c r="AT93" s="358"/>
      <c r="AU93" s="358"/>
      <c r="AV93" s="358"/>
      <c r="AW93" s="358"/>
      <c r="AX93" s="358"/>
      <c r="AY93" s="358"/>
      <c r="AZ93" s="358"/>
      <c r="BA93" s="357">
        <f t="shared" si="24"/>
        <v>0</v>
      </c>
      <c r="BB93" s="357">
        <f t="shared" si="25"/>
        <v>0</v>
      </c>
      <c r="BC93" s="82" t="s">
        <v>41</v>
      </c>
      <c r="BD93" s="356">
        <f>+'SEF-34 pg 2-36'!CA29-BB93</f>
        <v>0</v>
      </c>
      <c r="BE93" s="82"/>
    </row>
    <row r="94" spans="1:57" outlineLevel="1" x14ac:dyDescent="0.25">
      <c r="A94" s="394">
        <f>ROW()</f>
        <v>94</v>
      </c>
      <c r="B94" s="349" t="s">
        <v>96</v>
      </c>
      <c r="C94" s="402">
        <v>45291</v>
      </c>
      <c r="D94" s="357">
        <f t="shared" si="23"/>
        <v>64343928.925504744</v>
      </c>
      <c r="E94" s="358"/>
      <c r="F94" s="358"/>
      <c r="G94" s="358"/>
      <c r="H94" s="358"/>
      <c r="I94" s="358"/>
      <c r="J94" s="358"/>
      <c r="K94" s="358"/>
      <c r="L94" s="358"/>
      <c r="M94" s="358"/>
      <c r="N94" s="358"/>
      <c r="O94" s="358">
        <f>+'SEF-36 pg 1-33, 37'!GE21</f>
        <v>102514.21329824883</v>
      </c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  <c r="AA94" s="358"/>
      <c r="AB94" s="358"/>
      <c r="AC94" s="358"/>
      <c r="AD94" s="358"/>
      <c r="AE94" s="358"/>
      <c r="AF94" s="358"/>
      <c r="AG94" s="358"/>
      <c r="AH94" s="358"/>
      <c r="AI94" s="358"/>
      <c r="AJ94" s="358"/>
      <c r="AK94" s="358"/>
      <c r="AL94" s="358"/>
      <c r="AM94" s="408"/>
      <c r="AN94" s="358"/>
      <c r="AO94" s="358"/>
      <c r="AP94" s="358"/>
      <c r="AQ94" s="358"/>
      <c r="AR94" s="358"/>
      <c r="AS94" s="358"/>
      <c r="AT94" s="358"/>
      <c r="AU94" s="358"/>
      <c r="AV94" s="358"/>
      <c r="AW94" s="358"/>
      <c r="AX94" s="358"/>
      <c r="AY94" s="358"/>
      <c r="AZ94" s="358"/>
      <c r="BA94" s="357">
        <f t="shared" si="24"/>
        <v>102514.21329824883</v>
      </c>
      <c r="BB94" s="357">
        <f t="shared" si="25"/>
        <v>64446443.13880299</v>
      </c>
      <c r="BC94" s="82" t="s">
        <v>41</v>
      </c>
      <c r="BD94" s="356">
        <f>+'SEF-34 pg 2-36'!CA30-BB94</f>
        <v>-64446443.13880299</v>
      </c>
      <c r="BE94" s="82"/>
    </row>
    <row r="95" spans="1:57" outlineLevel="1" x14ac:dyDescent="0.25">
      <c r="A95" s="394">
        <f>ROW()</f>
        <v>95</v>
      </c>
      <c r="B95" s="349" t="s">
        <v>97</v>
      </c>
      <c r="C95" s="402">
        <v>45291</v>
      </c>
      <c r="D95" s="357">
        <f t="shared" si="23"/>
        <v>23762487.227987353</v>
      </c>
      <c r="E95" s="358">
        <f>'SEF-36 pg 1-33, 37'!G64</f>
        <v>-168750.04899203134</v>
      </c>
      <c r="F95" s="358"/>
      <c r="G95" s="358">
        <f>'SEF-36 pg 1-33, 37'!AQ22</f>
        <v>-67810.879467156643</v>
      </c>
      <c r="H95" s="358"/>
      <c r="I95" s="358"/>
      <c r="J95" s="358"/>
      <c r="K95" s="358"/>
      <c r="L95" s="358"/>
      <c r="M95" s="358"/>
      <c r="N95" s="358"/>
      <c r="O95" s="358">
        <f>+'SEF-36 pg 1-33, 37'!GE22</f>
        <v>22922.424210030236</v>
      </c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  <c r="AA95" s="358"/>
      <c r="AB95" s="358"/>
      <c r="AC95" s="358"/>
      <c r="AD95" s="358"/>
      <c r="AE95" s="358"/>
      <c r="AF95" s="358"/>
      <c r="AG95" s="358"/>
      <c r="AH95" s="358"/>
      <c r="AI95" s="358"/>
      <c r="AJ95" s="358"/>
      <c r="AK95" s="358"/>
      <c r="AL95" s="358"/>
      <c r="AM95" s="408"/>
      <c r="AN95" s="358"/>
      <c r="AO95" s="358"/>
      <c r="AP95" s="358">
        <f>'SEF-36 pg 34-36'!BI40</f>
        <v>-58054.486119000001</v>
      </c>
      <c r="AQ95" s="358"/>
      <c r="AR95" s="358"/>
      <c r="AS95" s="358"/>
      <c r="AT95" s="358"/>
      <c r="AU95" s="358"/>
      <c r="AV95" s="358"/>
      <c r="AW95" s="358"/>
      <c r="AX95" s="358"/>
      <c r="AY95" s="358"/>
      <c r="AZ95" s="358"/>
      <c r="BA95" s="357">
        <f t="shared" si="24"/>
        <v>-271692.99036815774</v>
      </c>
      <c r="BB95" s="357">
        <f t="shared" si="25"/>
        <v>23490794.237619195</v>
      </c>
      <c r="BC95" s="82" t="s">
        <v>41</v>
      </c>
      <c r="BD95" s="356">
        <f>+'SEF-34 pg 2-36'!CA31-BB95</f>
        <v>-23490794.237619195</v>
      </c>
      <c r="BE95" s="82"/>
    </row>
    <row r="96" spans="1:57" outlineLevel="1" x14ac:dyDescent="0.25">
      <c r="A96" s="394">
        <f>ROW()</f>
        <v>96</v>
      </c>
      <c r="B96" s="349" t="s">
        <v>98</v>
      </c>
      <c r="C96" s="402">
        <v>45291</v>
      </c>
      <c r="D96" s="357">
        <f t="shared" si="23"/>
        <v>2396131.6949406434</v>
      </c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>
        <f>+'SEF-36 pg 1-33, 37'!GE23+'SEF-36 pg 1-33, 37'!GE24</f>
        <v>3947.409354984231</v>
      </c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  <c r="AA96" s="358"/>
      <c r="AB96" s="358"/>
      <c r="AC96" s="358"/>
      <c r="AD96" s="358"/>
      <c r="AE96" s="358"/>
      <c r="AF96" s="358"/>
      <c r="AG96" s="358"/>
      <c r="AH96" s="358"/>
      <c r="AI96" s="358"/>
      <c r="AJ96" s="358"/>
      <c r="AK96" s="358"/>
      <c r="AL96" s="358"/>
      <c r="AM96" s="408"/>
      <c r="AN96" s="358"/>
      <c r="AO96" s="358"/>
      <c r="AP96" s="358"/>
      <c r="AQ96" s="358"/>
      <c r="AR96" s="358"/>
      <c r="AS96" s="358"/>
      <c r="AT96" s="358"/>
      <c r="AU96" s="358"/>
      <c r="AV96" s="358"/>
      <c r="AW96" s="358"/>
      <c r="AX96" s="358"/>
      <c r="AY96" s="358"/>
      <c r="AZ96" s="358"/>
      <c r="BA96" s="357">
        <f t="shared" si="24"/>
        <v>3947.409354984231</v>
      </c>
      <c r="BB96" s="357">
        <f t="shared" si="25"/>
        <v>2400079.1042956277</v>
      </c>
      <c r="BC96" s="82" t="s">
        <v>41</v>
      </c>
      <c r="BD96" s="356">
        <f>+'SEF-34 pg 2-36'!CA32-BB96</f>
        <v>-2400079.1042956277</v>
      </c>
      <c r="BE96" s="82"/>
    </row>
    <row r="97" spans="1:57" outlineLevel="1" x14ac:dyDescent="0.25">
      <c r="A97" s="394">
        <f>ROW()</f>
        <v>97</v>
      </c>
      <c r="B97" s="349" t="s">
        <v>99</v>
      </c>
      <c r="C97" s="402">
        <v>45291</v>
      </c>
      <c r="D97" s="357">
        <f t="shared" si="23"/>
        <v>0</v>
      </c>
      <c r="E97" s="358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  <c r="Y97" s="358"/>
      <c r="Z97" s="358"/>
      <c r="AA97" s="358"/>
      <c r="AB97" s="358"/>
      <c r="AC97" s="358"/>
      <c r="AD97" s="358"/>
      <c r="AE97" s="358"/>
      <c r="AF97" s="358"/>
      <c r="AG97" s="358"/>
      <c r="AH97" s="358"/>
      <c r="AI97" s="358"/>
      <c r="AJ97" s="358"/>
      <c r="AK97" s="358"/>
      <c r="AL97" s="358"/>
      <c r="AM97" s="408"/>
      <c r="AN97" s="358"/>
      <c r="AO97" s="358"/>
      <c r="AP97" s="358"/>
      <c r="AQ97" s="358"/>
      <c r="AR97" s="358"/>
      <c r="AS97" s="358"/>
      <c r="AT97" s="358"/>
      <c r="AU97" s="358"/>
      <c r="AV97" s="358"/>
      <c r="AW97" s="358"/>
      <c r="AX97" s="358"/>
      <c r="AY97" s="358"/>
      <c r="AZ97" s="358"/>
      <c r="BA97" s="357">
        <f t="shared" si="24"/>
        <v>0</v>
      </c>
      <c r="BB97" s="357">
        <f t="shared" si="25"/>
        <v>0</v>
      </c>
      <c r="BC97" s="82" t="s">
        <v>41</v>
      </c>
      <c r="BD97" s="356">
        <f>+'SEF-34 pg 2-36'!CA33-BB97</f>
        <v>0</v>
      </c>
      <c r="BE97" s="82"/>
    </row>
    <row r="98" spans="1:57" outlineLevel="1" x14ac:dyDescent="0.25">
      <c r="A98" s="394">
        <f>ROW()</f>
        <v>98</v>
      </c>
      <c r="B98" s="349" t="s">
        <v>100</v>
      </c>
      <c r="C98" s="402">
        <v>45291</v>
      </c>
      <c r="D98" s="371">
        <f t="shared" si="23"/>
        <v>74678068.058445707</v>
      </c>
      <c r="E98" s="370">
        <f>'SEF-36 pg 1-33, 37'!G65</f>
        <v>-291854.11447947315</v>
      </c>
      <c r="F98" s="358"/>
      <c r="G98" s="370">
        <f>'SEF-36 pg 1-33, 37'!AQ23</f>
        <v>-117279.27960421419</v>
      </c>
      <c r="H98" s="358"/>
      <c r="I98" s="358"/>
      <c r="J98" s="358"/>
      <c r="K98" s="358"/>
      <c r="L98" s="358"/>
      <c r="M98" s="358">
        <f>'SEF-36 pg 1-33, 37'!EU23</f>
        <v>257699.55792073626</v>
      </c>
      <c r="N98" s="358"/>
      <c r="O98" s="358">
        <f>+'SEF-36 pg 1-33, 37'!GE25</f>
        <v>68731.311649185256</v>
      </c>
      <c r="P98" s="358"/>
      <c r="Q98" s="358"/>
      <c r="R98" s="358">
        <f>'SEF-36 pg 1-33, 37'!IG18</f>
        <v>0</v>
      </c>
      <c r="S98" s="358"/>
      <c r="T98" s="358"/>
      <c r="U98" s="358"/>
      <c r="V98" s="358"/>
      <c r="W98" s="358"/>
      <c r="X98" s="358"/>
      <c r="Y98" s="358"/>
      <c r="Z98" s="358"/>
      <c r="AA98" s="358"/>
      <c r="AB98" s="358"/>
      <c r="AC98" s="358"/>
      <c r="AD98" s="358"/>
      <c r="AE98" s="358"/>
      <c r="AF98" s="358"/>
      <c r="AG98" s="358"/>
      <c r="AH98" s="358"/>
      <c r="AI98" s="358"/>
      <c r="AJ98" s="358"/>
      <c r="AK98" s="358"/>
      <c r="AL98" s="358"/>
      <c r="AM98" s="408"/>
      <c r="AN98" s="358"/>
      <c r="AO98" s="358"/>
      <c r="AP98" s="370">
        <f>'SEF-36 pg 34-36'!BI41</f>
        <v>-100405.545</v>
      </c>
      <c r="AQ98" s="358"/>
      <c r="AR98" s="358"/>
      <c r="AS98" s="358"/>
      <c r="AT98" s="358"/>
      <c r="AU98" s="358"/>
      <c r="AV98" s="358"/>
      <c r="AW98" s="358"/>
      <c r="AX98" s="358"/>
      <c r="AY98" s="358"/>
      <c r="AZ98" s="358"/>
      <c r="BA98" s="371">
        <f t="shared" si="24"/>
        <v>-183108.0695137658</v>
      </c>
      <c r="BB98" s="371">
        <f t="shared" si="25"/>
        <v>74494959.988931939</v>
      </c>
      <c r="BC98" s="82" t="s">
        <v>41</v>
      </c>
      <c r="BD98" s="356">
        <f>+'SEF-34 pg 2-36'!CA34-BB98</f>
        <v>-74494959.988931939</v>
      </c>
      <c r="BE98" s="82"/>
    </row>
    <row r="99" spans="1:57" outlineLevel="1" x14ac:dyDescent="0.25">
      <c r="A99" s="394">
        <f>ROW()</f>
        <v>99</v>
      </c>
      <c r="B99" s="349" t="s">
        <v>101</v>
      </c>
      <c r="C99" s="402">
        <v>45291</v>
      </c>
      <c r="D99" s="357">
        <f t="shared" si="23"/>
        <v>176831094.95370534</v>
      </c>
      <c r="E99" s="358"/>
      <c r="F99" s="358"/>
      <c r="G99" s="358"/>
      <c r="H99" s="358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  <c r="AA99" s="358">
        <f>'SEF-36 pg 1-33, 37'!OM32</f>
        <v>-2906116.24</v>
      </c>
      <c r="AB99" s="358"/>
      <c r="AC99" s="358"/>
      <c r="AD99" s="358"/>
      <c r="AE99" s="358">
        <f>'SEF-36 pg 1-33, 37'!RH17+'SEF-36 pg 1-33, 37'!RH18</f>
        <v>609100.87321215868</v>
      </c>
      <c r="AF99" s="358">
        <f>'SEF-36 pg 1-33, 37'!RZ16+'SEF-36 pg 1-33, 37'!RZ17</f>
        <v>-42632.08</v>
      </c>
      <c r="AG99" s="358">
        <f>'SEF-36 pg 1-33, 37'!$SR$16+'SEF-36 pg 1-33, 37'!$SR$17</f>
        <v>425404.82954999997</v>
      </c>
      <c r="AH99" s="358">
        <f>'SEF-36 pg 1-33, 37'!$SR$34+'SEF-36 pg 1-33, 37'!$SR$35</f>
        <v>403751.6999999999</v>
      </c>
      <c r="AI99" s="358">
        <f>'SEF-36 pg 1-33, 37'!$SR$52+'SEF-36 pg 1-33, 37'!$SR$53</f>
        <v>617.78</v>
      </c>
      <c r="AJ99" s="358">
        <f>'SEF-36 pg 1-33, 37'!$SR$70+'SEF-36 pg 1-33, 37'!$SR$71</f>
        <v>123997.84566999998</v>
      </c>
      <c r="AK99" s="358"/>
      <c r="AL99" s="358"/>
      <c r="AM99" s="408"/>
      <c r="AN99" s="358"/>
      <c r="AO99" s="358"/>
      <c r="AP99" s="358">
        <f>'SEF-36 pg 34-36'!BI42</f>
        <v>-6303193.7592588468</v>
      </c>
      <c r="AQ99" s="358"/>
      <c r="AR99" s="358">
        <f>'SEF-36 pg 34-36'!CS25</f>
        <v>-343654.17358200159</v>
      </c>
      <c r="AT99" s="356"/>
      <c r="AW99" s="414"/>
      <c r="AX99" s="411"/>
      <c r="BA99" s="357">
        <f t="shared" si="24"/>
        <v>-8032723.2244086899</v>
      </c>
      <c r="BB99" s="357">
        <f t="shared" si="25"/>
        <v>168798371.72929665</v>
      </c>
      <c r="BC99" s="82" t="s">
        <v>41</v>
      </c>
      <c r="BD99" s="356">
        <f>+'SEF-34 pg 2-36'!CA35-BB99</f>
        <v>-168798371.72929665</v>
      </c>
      <c r="BE99" s="82"/>
    </row>
    <row r="100" spans="1:57" outlineLevel="1" x14ac:dyDescent="0.25">
      <c r="A100" s="394">
        <f>ROW()</f>
        <v>100</v>
      </c>
      <c r="B100" s="349" t="s">
        <v>102</v>
      </c>
      <c r="C100" s="402">
        <v>45291</v>
      </c>
      <c r="D100" s="357">
        <f t="shared" si="23"/>
        <v>25155824.610874496</v>
      </c>
      <c r="E100" s="358"/>
      <c r="F100" s="358"/>
      <c r="G100" s="358"/>
      <c r="H100" s="358"/>
      <c r="I100" s="358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  <c r="AA100" s="358"/>
      <c r="AB100" s="358"/>
      <c r="AC100" s="358"/>
      <c r="AD100" s="358"/>
      <c r="AE100" s="358">
        <f>'SEF-36 pg 1-33, 37'!RH19+'SEF-36 pg 1-33, 37'!RH20</f>
        <v>-231352.7985272482</v>
      </c>
      <c r="AF100" s="358">
        <f>'SEF-36 pg 1-33, 37'!RZ18+'SEF-36 pg 1-33, 37'!RZ19</f>
        <v>0</v>
      </c>
      <c r="AG100" s="358">
        <f>'SEF-36 pg 1-33, 37'!$SR$18+'SEF-36 pg 1-33, 37'!$SR$19</f>
        <v>185866.22726000001</v>
      </c>
      <c r="AH100" s="358">
        <f>'SEF-36 pg 1-33, 37'!$SR$36+'SEF-36 pg 1-33, 37'!$SR$37</f>
        <v>0</v>
      </c>
      <c r="AI100" s="358">
        <f>'SEF-36 pg 1-33, 37'!$SR$54+'SEF-36 pg 1-33, 37'!$SR$55</f>
        <v>0</v>
      </c>
      <c r="AJ100" s="358">
        <f>'SEF-36 pg 1-33, 37'!$SR$72+'SEF-36 pg 1-33, 37'!$SR$73</f>
        <v>256512.96409999998</v>
      </c>
      <c r="AK100" s="358"/>
      <c r="AL100" s="358"/>
      <c r="AM100" s="408"/>
      <c r="AN100" s="358"/>
      <c r="AO100" s="358"/>
      <c r="AP100" s="358"/>
      <c r="AQ100" s="358"/>
      <c r="AR100" s="358">
        <f>'SEF-36 pg 34-36'!CS26</f>
        <v>-74624.310999999871</v>
      </c>
      <c r="AS100" s="358"/>
      <c r="AT100" s="358"/>
      <c r="AU100" s="358"/>
      <c r="AV100" s="358"/>
      <c r="AW100" s="408"/>
      <c r="AX100" s="408"/>
      <c r="AY100" s="358"/>
      <c r="AZ100" s="358"/>
      <c r="BA100" s="357">
        <f t="shared" si="24"/>
        <v>136402.08183275192</v>
      </c>
      <c r="BB100" s="357">
        <f t="shared" si="25"/>
        <v>25292226.692707248</v>
      </c>
      <c r="BC100" s="82" t="s">
        <v>41</v>
      </c>
      <c r="BD100" s="356">
        <f>+'SEF-34 pg 2-36'!CA36-BB100</f>
        <v>-25292226.692707248</v>
      </c>
      <c r="BE100" s="82"/>
    </row>
    <row r="101" spans="1:57" outlineLevel="1" x14ac:dyDescent="0.25">
      <c r="A101" s="394">
        <f>ROW()</f>
        <v>101</v>
      </c>
      <c r="B101" s="369" t="s">
        <v>103</v>
      </c>
      <c r="C101" s="402">
        <v>45291</v>
      </c>
      <c r="D101" s="357">
        <f t="shared" si="23"/>
        <v>0</v>
      </c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  <c r="AA101" s="358"/>
      <c r="AB101" s="358"/>
      <c r="AC101" s="358"/>
      <c r="AD101" s="358"/>
      <c r="AE101" s="358"/>
      <c r="AF101" s="358"/>
      <c r="AG101" s="358"/>
      <c r="AH101" s="358"/>
      <c r="AI101" s="358"/>
      <c r="AJ101" s="358"/>
      <c r="AK101" s="358"/>
      <c r="AL101" s="358"/>
      <c r="AM101" s="408"/>
      <c r="AN101" s="358"/>
      <c r="AO101" s="358"/>
      <c r="AP101" s="358"/>
      <c r="AQ101" s="358"/>
      <c r="AR101" s="358"/>
      <c r="AS101" s="358"/>
      <c r="AT101" s="358"/>
      <c r="AU101" s="358"/>
      <c r="AV101" s="358"/>
      <c r="AW101" s="408"/>
      <c r="AX101" s="408"/>
      <c r="AY101" s="358"/>
      <c r="AZ101" s="358"/>
      <c r="BA101" s="357">
        <f t="shared" si="24"/>
        <v>0</v>
      </c>
      <c r="BB101" s="357">
        <f t="shared" si="25"/>
        <v>0</v>
      </c>
      <c r="BC101" s="82" t="s">
        <v>41</v>
      </c>
      <c r="BD101" s="356">
        <f>+'SEF-34 pg 2-36'!CA37-BB101</f>
        <v>0</v>
      </c>
      <c r="BE101" s="82"/>
    </row>
    <row r="102" spans="1:57" outlineLevel="1" x14ac:dyDescent="0.25">
      <c r="A102" s="394">
        <f>ROW()</f>
        <v>102</v>
      </c>
      <c r="B102" s="349" t="s">
        <v>104</v>
      </c>
      <c r="C102" s="402">
        <v>45291</v>
      </c>
      <c r="D102" s="357">
        <f t="shared" si="23"/>
        <v>10046294.843715593</v>
      </c>
      <c r="E102" s="358"/>
      <c r="F102" s="358"/>
      <c r="G102" s="358"/>
      <c r="H102" s="358"/>
      <c r="I102" s="358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  <c r="AA102" s="358"/>
      <c r="AB102" s="358"/>
      <c r="AC102" s="358">
        <f>'SEF-36 pg 1-33, 37'!PW17</f>
        <v>-10589.577548920177</v>
      </c>
      <c r="AD102" s="358"/>
      <c r="AE102" s="358"/>
      <c r="AF102" s="358"/>
      <c r="AG102" s="358"/>
      <c r="AH102" s="358"/>
      <c r="AI102" s="358"/>
      <c r="AJ102" s="358"/>
      <c r="AK102" s="358"/>
      <c r="AL102" s="358">
        <f>'SEF-36 pg 1-33, 37'!UW24</f>
        <v>0</v>
      </c>
      <c r="AM102" s="408"/>
      <c r="AN102" s="358"/>
      <c r="AO102" s="358"/>
      <c r="AP102" s="358">
        <f>'SEF-36 pg 34-36'!BI38</f>
        <v>6303193.7592588468</v>
      </c>
      <c r="AQ102" s="358">
        <f>'SEF-36 pg 34-36'!CA44-'SEF-36 pg 34-36'!CA33-'SEF-36 pg 34-36'!CA36</f>
        <v>1669271.8210219755</v>
      </c>
      <c r="AR102" s="358"/>
      <c r="AS102" s="358"/>
      <c r="AT102" s="358"/>
      <c r="AU102" s="358"/>
      <c r="AV102" s="358"/>
      <c r="AW102" s="408"/>
      <c r="AX102" s="408"/>
      <c r="AY102" s="358"/>
      <c r="AZ102" s="358"/>
      <c r="BA102" s="357">
        <f t="shared" si="24"/>
        <v>7961876.0027319025</v>
      </c>
      <c r="BB102" s="357">
        <f t="shared" si="25"/>
        <v>18008170.846447498</v>
      </c>
      <c r="BC102" s="82" t="s">
        <v>41</v>
      </c>
      <c r="BD102" s="356">
        <f>+'SEF-34 pg 2-36'!CA38-BB102</f>
        <v>-18008170.846447498</v>
      </c>
      <c r="BE102" s="82"/>
    </row>
    <row r="103" spans="1:57" outlineLevel="1" x14ac:dyDescent="0.25">
      <c r="A103" s="394">
        <f>ROW()</f>
        <v>103</v>
      </c>
      <c r="B103" s="349" t="s">
        <v>105</v>
      </c>
      <c r="C103" s="402">
        <v>45291</v>
      </c>
      <c r="D103" s="357">
        <f t="shared" si="23"/>
        <v>30167305.367422909</v>
      </c>
      <c r="E103" s="358">
        <f>'SEF-36 pg 1-33, 37'!G66</f>
        <v>-2241964.9366084165</v>
      </c>
      <c r="F103" s="358"/>
      <c r="G103" s="358">
        <f>'SEF-36 pg 1-33, 37'!AQ24</f>
        <v>-900915.97006365249</v>
      </c>
      <c r="H103" s="358"/>
      <c r="I103" s="358"/>
      <c r="J103" s="358"/>
      <c r="K103" s="358"/>
      <c r="L103" s="358"/>
      <c r="M103" s="358"/>
      <c r="N103" s="358"/>
      <c r="O103" s="358">
        <f>+'SEF-36 pg 1-33, 37'!GE28</f>
        <v>18923.376664912594</v>
      </c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8"/>
      <c r="AJ103" s="358"/>
      <c r="AK103" s="358"/>
      <c r="AL103" s="358"/>
      <c r="AM103" s="408"/>
      <c r="AN103" s="358"/>
      <c r="AO103" s="358"/>
      <c r="AP103" s="358">
        <f>'SEF-36 pg 34-36'!BI43</f>
        <v>-771295.31558099994</v>
      </c>
      <c r="AQ103" s="358"/>
      <c r="AR103" s="358"/>
      <c r="AS103" s="358"/>
      <c r="AT103" s="358"/>
      <c r="AU103" s="358"/>
      <c r="AV103" s="358"/>
      <c r="AW103" s="408"/>
      <c r="AX103" s="408"/>
      <c r="AY103" s="358"/>
      <c r="AZ103" s="358"/>
      <c r="BA103" s="357">
        <f t="shared" si="24"/>
        <v>-3895252.845588156</v>
      </c>
      <c r="BB103" s="357">
        <f t="shared" si="25"/>
        <v>26272052.521834753</v>
      </c>
      <c r="BC103" s="82" t="s">
        <v>41</v>
      </c>
      <c r="BD103" s="356">
        <f>+'SEF-34 pg 2-36'!CA39-BB103</f>
        <v>-26272052.521834753</v>
      </c>
      <c r="BE103" s="82"/>
    </row>
    <row r="104" spans="1:57" outlineLevel="1" x14ac:dyDescent="0.25">
      <c r="A104" s="394">
        <f>ROW()</f>
        <v>104</v>
      </c>
      <c r="B104" s="349" t="s">
        <v>106</v>
      </c>
      <c r="C104" s="402">
        <v>45291</v>
      </c>
      <c r="D104" s="371">
        <f t="shared" si="23"/>
        <v>35645114.000188746</v>
      </c>
      <c r="E104" s="370">
        <f>'SEF-36 pg 1-33, 37'!G70</f>
        <v>-11690333.297121087</v>
      </c>
      <c r="F104" s="358"/>
      <c r="G104" s="370">
        <f>'SEF-36 pg 1-33, 37'!AQ29</f>
        <v>-4697668.4562586406</v>
      </c>
      <c r="H104" s="358"/>
      <c r="I104" s="358">
        <f>'SEF-36 pg 1-33, 37'!CA23</f>
        <v>596614.66645446536</v>
      </c>
      <c r="J104" s="358"/>
      <c r="K104" s="358"/>
      <c r="L104" s="358"/>
      <c r="M104" s="358">
        <f>'SEF-36 pg 1-33, 37'!EU25</f>
        <v>-54116.907163354612</v>
      </c>
      <c r="N104" s="358"/>
      <c r="O104" s="358">
        <f>+'SEF-36 pg 1-33, 37'!GE31</f>
        <v>-49183.341404883569</v>
      </c>
      <c r="P104" s="358"/>
      <c r="Q104" s="358"/>
      <c r="R104" s="358">
        <f>'SEF-36 pg 1-33, 37'!IG20</f>
        <v>0</v>
      </c>
      <c r="S104" s="358"/>
      <c r="T104" s="358"/>
      <c r="U104" s="358"/>
      <c r="V104" s="358"/>
      <c r="W104" s="358"/>
      <c r="X104" s="358"/>
      <c r="Y104" s="358"/>
      <c r="Z104" s="358"/>
      <c r="AA104" s="358">
        <f>'SEF-36 pg 1-33, 37'!OM34</f>
        <v>610284.41040000005</v>
      </c>
      <c r="AB104" s="358">
        <f>+'SEF-36 pg 1-33, 37'!PE52</f>
        <v>0</v>
      </c>
      <c r="AC104" s="358">
        <f>'SEF-36 pg 1-33, 37'!PW20</f>
        <v>2223.811285273237</v>
      </c>
      <c r="AD104" s="358"/>
      <c r="AE104" s="358">
        <f>'SEF-36 pg 1-33, 37'!RH29</f>
        <v>-79327.095683831198</v>
      </c>
      <c r="AF104" s="358">
        <f>'SEF-36 pg 1-33, 37'!RZ28</f>
        <v>8952.7368000000006</v>
      </c>
      <c r="AG104" s="358">
        <f>'SEF-36 pg 1-33, 37'!$SR$24</f>
        <v>-128366.9219301</v>
      </c>
      <c r="AH104" s="358">
        <f>'SEF-36 pg 1-33, 37'!$SR$42</f>
        <v>-84787.856999999975</v>
      </c>
      <c r="AI104" s="358">
        <f>'SEF-36 pg 1-33, 37'!$SR$60</f>
        <v>-129.7338</v>
      </c>
      <c r="AJ104" s="358">
        <f>'SEF-36 pg 1-33, 37'!$SR$78</f>
        <v>-79907.27005169999</v>
      </c>
      <c r="AK104" s="358"/>
      <c r="AL104" s="358">
        <f>'SEF-36 pg 1-33, 37'!UW26</f>
        <v>0</v>
      </c>
      <c r="AM104" s="408"/>
      <c r="AN104" s="358"/>
      <c r="AO104" s="358"/>
      <c r="AP104" s="370">
        <f>'SEF-36 pg 34-36'!BI48</f>
        <v>-4021784.2671929994</v>
      </c>
      <c r="AQ104" s="358">
        <f>'SEF-36 pg 34-36'!CA46</f>
        <v>-631273.47975710849</v>
      </c>
      <c r="AR104" s="358">
        <f>'SEF-36 pg 34-36'!CS29</f>
        <v>87838.481762220297</v>
      </c>
      <c r="AS104" s="358"/>
      <c r="AT104" s="385"/>
      <c r="AU104" s="358"/>
      <c r="AV104" s="358"/>
      <c r="AW104" s="408"/>
      <c r="AX104" s="408"/>
      <c r="AY104" s="358"/>
      <c r="AZ104" s="358"/>
      <c r="BA104" s="371">
        <f t="shared" si="24"/>
        <v>-20210964.520661749</v>
      </c>
      <c r="BB104" s="371">
        <f t="shared" si="25"/>
        <v>15434149.479526997</v>
      </c>
      <c r="BC104" s="82" t="s">
        <v>41</v>
      </c>
      <c r="BD104" s="356">
        <f>+'SEF-34 pg 2-36'!CA40-BB104</f>
        <v>-15434149.479526997</v>
      </c>
      <c r="BE104" s="82"/>
    </row>
    <row r="105" spans="1:57" outlineLevel="1" x14ac:dyDescent="0.25">
      <c r="A105" s="394">
        <f>ROW()</f>
        <v>105</v>
      </c>
      <c r="B105" s="365" t="s">
        <v>107</v>
      </c>
      <c r="C105" s="402">
        <v>45291</v>
      </c>
      <c r="D105" s="357">
        <f t="shared" si="23"/>
        <v>-7153716.5864999983</v>
      </c>
      <c r="E105" s="358"/>
      <c r="F105" s="358"/>
      <c r="G105" s="358"/>
      <c r="H105" s="358">
        <f>SUM('SEF-36 pg 1-33, 37'!BI17:BI19)</f>
        <v>-133104.75165847223</v>
      </c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  <c r="AA105" s="358"/>
      <c r="AB105" s="358"/>
      <c r="AC105" s="358"/>
      <c r="AD105" s="358"/>
      <c r="AE105" s="358"/>
      <c r="AF105" s="358"/>
      <c r="AG105" s="358"/>
      <c r="AH105" s="358"/>
      <c r="AI105" s="358"/>
      <c r="AJ105" s="358"/>
      <c r="AK105" s="358"/>
      <c r="AL105" s="358"/>
      <c r="AM105" s="408"/>
      <c r="AN105" s="358"/>
      <c r="AO105" s="358"/>
      <c r="AP105" s="358"/>
      <c r="AQ105" s="358"/>
      <c r="AR105" s="358"/>
      <c r="AS105" s="358"/>
      <c r="AT105" s="358"/>
      <c r="AU105" s="358"/>
      <c r="AV105" s="358"/>
      <c r="AW105" s="408"/>
      <c r="AX105" s="408"/>
      <c r="AY105" s="358"/>
      <c r="AZ105" s="358"/>
      <c r="BA105" s="357">
        <f t="shared" si="24"/>
        <v>-133104.75165847223</v>
      </c>
      <c r="BB105" s="357">
        <f t="shared" si="25"/>
        <v>-7286821.3381584706</v>
      </c>
      <c r="BC105" s="82" t="s">
        <v>41</v>
      </c>
      <c r="BD105" s="356">
        <f>+'SEF-34 pg 2-36'!CA41-BB105</f>
        <v>7286821.3381584706</v>
      </c>
      <c r="BE105" s="82"/>
    </row>
    <row r="106" spans="1:57" outlineLevel="1" x14ac:dyDescent="0.25">
      <c r="A106" s="394">
        <f>ROW()</f>
        <v>106</v>
      </c>
      <c r="B106" s="349" t="s">
        <v>109</v>
      </c>
      <c r="C106" s="402">
        <v>45291</v>
      </c>
      <c r="D106" s="373">
        <f t="shared" ref="D106:AS106" si="26">SUM(D90:D105)</f>
        <v>443723897.51600516</v>
      </c>
      <c r="E106" s="372">
        <f t="shared" si="26"/>
        <v>-14392902.397201009</v>
      </c>
      <c r="F106" s="368">
        <f t="shared" si="26"/>
        <v>0</v>
      </c>
      <c r="G106" s="372">
        <f t="shared" si="26"/>
        <v>-5783674.5853936635</v>
      </c>
      <c r="H106" s="368">
        <f t="shared" si="26"/>
        <v>-133104.75165847223</v>
      </c>
      <c r="I106" s="368">
        <f t="shared" si="26"/>
        <v>596614.66645446536</v>
      </c>
      <c r="J106" s="368">
        <f t="shared" si="26"/>
        <v>0</v>
      </c>
      <c r="K106" s="368">
        <f t="shared" si="26"/>
        <v>0</v>
      </c>
      <c r="L106" s="368">
        <f t="shared" si="26"/>
        <v>0</v>
      </c>
      <c r="M106" s="368">
        <f t="shared" si="26"/>
        <v>203582.65075738163</v>
      </c>
      <c r="N106" s="368">
        <f t="shared" si="26"/>
        <v>0</v>
      </c>
      <c r="O106" s="368">
        <f t="shared" si="26"/>
        <v>185023.04623741916</v>
      </c>
      <c r="P106" s="368">
        <f t="shared" si="26"/>
        <v>0</v>
      </c>
      <c r="Q106" s="368">
        <f t="shared" si="26"/>
        <v>0</v>
      </c>
      <c r="R106" s="368">
        <f t="shared" si="26"/>
        <v>0</v>
      </c>
      <c r="S106" s="368">
        <f t="shared" si="26"/>
        <v>0</v>
      </c>
      <c r="T106" s="368">
        <f t="shared" si="26"/>
        <v>0</v>
      </c>
      <c r="U106" s="368">
        <f t="shared" si="26"/>
        <v>0</v>
      </c>
      <c r="V106" s="368">
        <f t="shared" si="26"/>
        <v>0</v>
      </c>
      <c r="W106" s="368">
        <f t="shared" si="26"/>
        <v>0</v>
      </c>
      <c r="X106" s="368">
        <f t="shared" si="26"/>
        <v>0</v>
      </c>
      <c r="Y106" s="368">
        <f t="shared" si="26"/>
        <v>0</v>
      </c>
      <c r="Z106" s="368">
        <f t="shared" si="26"/>
        <v>0</v>
      </c>
      <c r="AA106" s="368">
        <f t="shared" si="26"/>
        <v>-2295831.8296000003</v>
      </c>
      <c r="AB106" s="368">
        <f t="shared" si="26"/>
        <v>0</v>
      </c>
      <c r="AC106" s="368">
        <f t="shared" si="26"/>
        <v>-8365.7662636469395</v>
      </c>
      <c r="AD106" s="368">
        <f t="shared" si="26"/>
        <v>0</v>
      </c>
      <c r="AE106" s="409">
        <f t="shared" si="26"/>
        <v>298420.97900107928</v>
      </c>
      <c r="AF106" s="368">
        <f t="shared" si="26"/>
        <v>-33679.343200000003</v>
      </c>
      <c r="AG106" s="368">
        <f t="shared" si="26"/>
        <v>482904.13487989997</v>
      </c>
      <c r="AH106" s="368">
        <f t="shared" si="26"/>
        <v>318963.84299999994</v>
      </c>
      <c r="AI106" s="368">
        <f t="shared" si="26"/>
        <v>488.0462</v>
      </c>
      <c r="AJ106" s="368">
        <f t="shared" si="26"/>
        <v>300603.53971829993</v>
      </c>
      <c r="AK106" s="368">
        <f t="shared" si="26"/>
        <v>0</v>
      </c>
      <c r="AL106" s="368">
        <f t="shared" si="26"/>
        <v>0</v>
      </c>
      <c r="AM106" s="368">
        <f t="shared" si="26"/>
        <v>0</v>
      </c>
      <c r="AN106" s="368">
        <f t="shared" si="26"/>
        <v>0</v>
      </c>
      <c r="AO106" s="368">
        <f t="shared" si="26"/>
        <v>0</v>
      </c>
      <c r="AP106" s="372">
        <f t="shared" si="26"/>
        <v>-4951539.6138929995</v>
      </c>
      <c r="AQ106" s="368">
        <f t="shared" si="26"/>
        <v>1037998.341264867</v>
      </c>
      <c r="AR106" s="368">
        <f t="shared" si="26"/>
        <v>-330440.00281978119</v>
      </c>
      <c r="AS106" s="368">
        <f t="shared" si="26"/>
        <v>0</v>
      </c>
      <c r="AT106" s="368"/>
      <c r="AU106" s="368"/>
      <c r="AV106" s="368"/>
      <c r="AW106" s="409"/>
      <c r="AX106" s="409"/>
      <c r="AY106" s="368"/>
      <c r="AZ106" s="368"/>
      <c r="BA106" s="373">
        <f>SUM(BA90:BA105)</f>
        <v>-24504939.042516161</v>
      </c>
      <c r="BB106" s="373">
        <f>SUM(BB90:BB105)</f>
        <v>419218958.47348893</v>
      </c>
      <c r="BC106" s="82" t="s">
        <v>41</v>
      </c>
      <c r="BD106" s="356">
        <f>+'SEF-34 pg 2-36'!CA42-BB106</f>
        <v>-419218958.47348893</v>
      </c>
      <c r="BE106" s="82"/>
    </row>
    <row r="107" spans="1:57" outlineLevel="1" x14ac:dyDescent="0.25">
      <c r="A107" s="394">
        <f>ROW()</f>
        <v>107</v>
      </c>
      <c r="B107" s="365"/>
      <c r="C107" s="402">
        <v>45291</v>
      </c>
      <c r="D107" s="374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417"/>
      <c r="AF107" s="375"/>
      <c r="AG107" s="375"/>
      <c r="AH107" s="375"/>
      <c r="AI107" s="375"/>
      <c r="AJ107" s="375"/>
      <c r="AK107" s="375"/>
      <c r="AL107" s="375"/>
      <c r="AM107" s="375"/>
      <c r="AN107" s="375"/>
      <c r="AO107" s="375"/>
      <c r="AP107" s="375"/>
      <c r="AQ107" s="375"/>
      <c r="AR107" s="375"/>
      <c r="AS107" s="375"/>
      <c r="AT107" s="375"/>
      <c r="AU107" s="375"/>
      <c r="AV107" s="375"/>
      <c r="AW107" s="417"/>
      <c r="AX107" s="417"/>
      <c r="AY107" s="375"/>
      <c r="AZ107" s="375"/>
      <c r="BA107" s="374"/>
      <c r="BB107" s="374"/>
      <c r="BC107" s="82" t="s">
        <v>41</v>
      </c>
      <c r="BD107" s="356"/>
      <c r="BE107" s="82"/>
    </row>
    <row r="108" spans="1:57" ht="15.75" outlineLevel="1" thickBot="1" x14ac:dyDescent="0.3">
      <c r="A108" s="394">
        <f>ROW()</f>
        <v>108</v>
      </c>
      <c r="B108" s="365" t="s">
        <v>110</v>
      </c>
      <c r="C108" s="402">
        <v>45291</v>
      </c>
      <c r="D108" s="379">
        <f t="shared" ref="D108:AS108" si="27">+D81-D106</f>
        <v>212745192.52175176</v>
      </c>
      <c r="E108" s="377">
        <f t="shared" si="27"/>
        <v>-43977920.498693615</v>
      </c>
      <c r="F108" s="378">
        <f t="shared" si="27"/>
        <v>0</v>
      </c>
      <c r="G108" s="377">
        <f t="shared" si="27"/>
        <v>-17672181.335449174</v>
      </c>
      <c r="H108" s="378">
        <f t="shared" si="27"/>
        <v>133104.75165847223</v>
      </c>
      <c r="I108" s="378">
        <f t="shared" si="27"/>
        <v>-596614.66645446536</v>
      </c>
      <c r="J108" s="378">
        <f t="shared" si="27"/>
        <v>0</v>
      </c>
      <c r="K108" s="378">
        <f t="shared" si="27"/>
        <v>0</v>
      </c>
      <c r="L108" s="378">
        <f t="shared" si="27"/>
        <v>0</v>
      </c>
      <c r="M108" s="378">
        <f t="shared" si="27"/>
        <v>-203582.65075738163</v>
      </c>
      <c r="N108" s="378">
        <f t="shared" si="27"/>
        <v>0</v>
      </c>
      <c r="O108" s="378">
        <f t="shared" si="27"/>
        <v>-185023.04623741916</v>
      </c>
      <c r="P108" s="378">
        <f t="shared" si="27"/>
        <v>0</v>
      </c>
      <c r="Q108" s="378">
        <f t="shared" si="27"/>
        <v>0</v>
      </c>
      <c r="R108" s="378">
        <f t="shared" si="27"/>
        <v>0</v>
      </c>
      <c r="S108" s="378">
        <f t="shared" si="27"/>
        <v>0</v>
      </c>
      <c r="T108" s="378">
        <f t="shared" si="27"/>
        <v>0</v>
      </c>
      <c r="U108" s="378">
        <f t="shared" si="27"/>
        <v>0</v>
      </c>
      <c r="V108" s="378">
        <f t="shared" si="27"/>
        <v>0</v>
      </c>
      <c r="W108" s="378">
        <f t="shared" si="27"/>
        <v>0</v>
      </c>
      <c r="X108" s="378">
        <f t="shared" si="27"/>
        <v>0</v>
      </c>
      <c r="Y108" s="378">
        <f t="shared" si="27"/>
        <v>0</v>
      </c>
      <c r="Z108" s="378">
        <f t="shared" si="27"/>
        <v>0</v>
      </c>
      <c r="AA108" s="378">
        <f t="shared" si="27"/>
        <v>2295831.8296000003</v>
      </c>
      <c r="AB108" s="378">
        <f t="shared" si="27"/>
        <v>0</v>
      </c>
      <c r="AC108" s="378">
        <f t="shared" si="27"/>
        <v>8365.7662636469395</v>
      </c>
      <c r="AD108" s="378">
        <f t="shared" si="27"/>
        <v>0</v>
      </c>
      <c r="AE108" s="419">
        <f t="shared" si="27"/>
        <v>-298420.97900107928</v>
      </c>
      <c r="AF108" s="378">
        <f t="shared" si="27"/>
        <v>33679.343200000003</v>
      </c>
      <c r="AG108" s="378">
        <f t="shared" si="27"/>
        <v>-482904.13487989997</v>
      </c>
      <c r="AH108" s="378">
        <f t="shared" si="27"/>
        <v>-318963.84299999994</v>
      </c>
      <c r="AI108" s="378">
        <f t="shared" si="27"/>
        <v>-488.0462</v>
      </c>
      <c r="AJ108" s="378">
        <f t="shared" si="27"/>
        <v>-300603.53971829993</v>
      </c>
      <c r="AK108" s="378">
        <f t="shared" si="27"/>
        <v>0</v>
      </c>
      <c r="AL108" s="378">
        <f t="shared" si="27"/>
        <v>0</v>
      </c>
      <c r="AM108" s="378">
        <f t="shared" si="27"/>
        <v>0</v>
      </c>
      <c r="AN108" s="378">
        <f t="shared" si="27"/>
        <v>0</v>
      </c>
      <c r="AO108" s="378">
        <f t="shared" si="27"/>
        <v>0</v>
      </c>
      <c r="AP108" s="377">
        <f t="shared" si="27"/>
        <v>-15129569.386107001</v>
      </c>
      <c r="AQ108" s="378">
        <f t="shared" si="27"/>
        <v>-2374790.7095624562</v>
      </c>
      <c r="AR108" s="378">
        <f t="shared" si="27"/>
        <v>330440.00281978119</v>
      </c>
      <c r="AS108" s="378">
        <f t="shared" si="27"/>
        <v>0</v>
      </c>
      <c r="AT108" s="378"/>
      <c r="AU108" s="378"/>
      <c r="AV108" s="378"/>
      <c r="AW108" s="419"/>
      <c r="AX108" s="419"/>
      <c r="AY108" s="378"/>
      <c r="AZ108" s="378"/>
      <c r="BA108" s="379">
        <f>+BA81-BA106</f>
        <v>-78739641.142518893</v>
      </c>
      <c r="BB108" s="379">
        <f>+BB81-BB106</f>
        <v>134005551.379233</v>
      </c>
      <c r="BC108" s="82" t="s">
        <v>41</v>
      </c>
      <c r="BD108" s="356"/>
      <c r="BE108" s="82"/>
    </row>
    <row r="109" spans="1:57" ht="15.75" outlineLevel="1" thickTop="1" x14ac:dyDescent="0.25">
      <c r="A109" s="394">
        <f>ROW()</f>
        <v>109</v>
      </c>
      <c r="B109" s="18"/>
      <c r="C109" s="402">
        <v>45291</v>
      </c>
      <c r="D109" s="380"/>
      <c r="E109" s="381"/>
      <c r="F109" s="381"/>
      <c r="G109" s="381"/>
      <c r="H109" s="381"/>
      <c r="I109" s="381"/>
      <c r="J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381"/>
      <c r="V109" s="381"/>
      <c r="W109" s="381"/>
      <c r="X109" s="381"/>
      <c r="Y109" s="381"/>
      <c r="Z109" s="381"/>
      <c r="AA109" s="381"/>
      <c r="AB109" s="381"/>
      <c r="AC109" s="381"/>
      <c r="AD109" s="381"/>
      <c r="AE109" s="420"/>
      <c r="AF109" s="381"/>
      <c r="AG109" s="381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81"/>
      <c r="AS109" s="381"/>
      <c r="AT109" s="381"/>
      <c r="AU109" s="381"/>
      <c r="AV109" s="381"/>
      <c r="AW109" s="420"/>
      <c r="AX109" s="420"/>
      <c r="AY109" s="381"/>
      <c r="AZ109" s="381"/>
      <c r="BA109" s="380"/>
      <c r="BB109" s="380"/>
      <c r="BC109" s="82" t="s">
        <v>41</v>
      </c>
      <c r="BD109" s="356"/>
      <c r="BE109" s="82"/>
    </row>
    <row r="110" spans="1:57" outlineLevel="1" x14ac:dyDescent="0.25">
      <c r="A110" s="394">
        <f>ROW()</f>
        <v>110</v>
      </c>
      <c r="B110" s="349" t="s">
        <v>145</v>
      </c>
      <c r="C110" s="402">
        <v>45291</v>
      </c>
      <c r="D110" s="366">
        <f t="shared" ref="D110:AN110" si="28">D121</f>
        <v>2910473035.7707138</v>
      </c>
      <c r="E110" s="356">
        <f t="shared" si="28"/>
        <v>0</v>
      </c>
      <c r="F110" s="356">
        <f t="shared" si="28"/>
        <v>0</v>
      </c>
      <c r="G110" s="356">
        <f t="shared" si="28"/>
        <v>0</v>
      </c>
      <c r="H110" s="356">
        <f t="shared" si="28"/>
        <v>0</v>
      </c>
      <c r="I110" s="356">
        <f t="shared" si="28"/>
        <v>0</v>
      </c>
      <c r="J110" s="356">
        <f t="shared" si="28"/>
        <v>0</v>
      </c>
      <c r="K110" s="356">
        <f t="shared" si="28"/>
        <v>0</v>
      </c>
      <c r="L110" s="356">
        <f t="shared" si="28"/>
        <v>0</v>
      </c>
      <c r="M110" s="356">
        <f t="shared" si="28"/>
        <v>0</v>
      </c>
      <c r="N110" s="356">
        <f t="shared" si="28"/>
        <v>0</v>
      </c>
      <c r="O110" s="356">
        <f t="shared" si="28"/>
        <v>0</v>
      </c>
      <c r="P110" s="356">
        <f t="shared" si="28"/>
        <v>0</v>
      </c>
      <c r="Q110" s="356">
        <f t="shared" si="28"/>
        <v>0</v>
      </c>
      <c r="R110" s="356">
        <f t="shared" si="28"/>
        <v>0</v>
      </c>
      <c r="S110" s="356">
        <f t="shared" si="28"/>
        <v>0</v>
      </c>
      <c r="T110" s="356">
        <f t="shared" si="28"/>
        <v>0</v>
      </c>
      <c r="U110" s="356">
        <f t="shared" si="28"/>
        <v>0</v>
      </c>
      <c r="V110" s="356">
        <f t="shared" si="28"/>
        <v>0</v>
      </c>
      <c r="W110" s="356">
        <f t="shared" si="28"/>
        <v>0</v>
      </c>
      <c r="X110" s="356">
        <f t="shared" si="28"/>
        <v>0</v>
      </c>
      <c r="Y110" s="356">
        <f t="shared" si="28"/>
        <v>0</v>
      </c>
      <c r="Z110" s="356">
        <f t="shared" si="28"/>
        <v>0</v>
      </c>
      <c r="AA110" s="356">
        <f t="shared" si="28"/>
        <v>-28019480.875479184</v>
      </c>
      <c r="AB110" s="356">
        <f t="shared" si="28"/>
        <v>57834387.276298791</v>
      </c>
      <c r="AC110" s="356">
        <f t="shared" si="28"/>
        <v>0</v>
      </c>
      <c r="AD110" s="356">
        <f t="shared" si="28"/>
        <v>0</v>
      </c>
      <c r="AE110" s="412">
        <f t="shared" si="28"/>
        <v>-81821842.066694736</v>
      </c>
      <c r="AF110" s="356">
        <f t="shared" si="28"/>
        <v>42632.08</v>
      </c>
      <c r="AG110" s="356">
        <f t="shared" si="28"/>
        <v>63796583.976750001</v>
      </c>
      <c r="AH110" s="356">
        <f t="shared" si="28"/>
        <v>52899028.379999995</v>
      </c>
      <c r="AI110" s="356">
        <f t="shared" si="28"/>
        <v>57980.340000000004</v>
      </c>
      <c r="AJ110" s="356">
        <f t="shared" si="28"/>
        <v>46959913.410709992</v>
      </c>
      <c r="AK110" s="356">
        <f t="shared" si="28"/>
        <v>0</v>
      </c>
      <c r="AL110" s="356">
        <f t="shared" si="28"/>
        <v>0</v>
      </c>
      <c r="AM110" s="356">
        <f t="shared" si="28"/>
        <v>0</v>
      </c>
      <c r="AN110" s="356">
        <f t="shared" si="28"/>
        <v>0</v>
      </c>
      <c r="AO110" s="356"/>
      <c r="AP110" s="356">
        <f>AP121</f>
        <v>-244980865.4539476</v>
      </c>
      <c r="AQ110" s="356">
        <f>AQ121</f>
        <v>24719599.411719467</v>
      </c>
      <c r="AR110" s="356">
        <f>AR121</f>
        <v>488404.91943644884</v>
      </c>
      <c r="AS110" s="356">
        <f>AS121</f>
        <v>0</v>
      </c>
      <c r="AT110" s="356"/>
      <c r="AU110" s="356"/>
      <c r="AV110" s="356"/>
      <c r="AW110" s="412"/>
      <c r="AX110" s="412"/>
      <c r="AY110" s="356"/>
      <c r="AZ110" s="356"/>
      <c r="BA110" s="366">
        <f>BA121</f>
        <v>-108023658.60120685</v>
      </c>
      <c r="BB110" s="366">
        <f>BB121</f>
        <v>2802449377.1695061</v>
      </c>
      <c r="BC110" s="82" t="s">
        <v>41</v>
      </c>
      <c r="BD110" s="356"/>
      <c r="BE110" s="82"/>
    </row>
    <row r="111" spans="1:57" outlineLevel="1" x14ac:dyDescent="0.25">
      <c r="A111" s="394">
        <f>ROW()</f>
        <v>111</v>
      </c>
      <c r="B111" s="365"/>
      <c r="C111" s="402">
        <v>45291</v>
      </c>
      <c r="D111" s="351"/>
      <c r="AE111" s="411"/>
      <c r="AM111" s="1900"/>
      <c r="AW111" s="411"/>
      <c r="AX111" s="411"/>
      <c r="BA111" s="351"/>
      <c r="BB111" s="351"/>
      <c r="BC111" s="82" t="s">
        <v>41</v>
      </c>
      <c r="BD111" s="356"/>
      <c r="BE111" s="82"/>
    </row>
    <row r="112" spans="1:57" outlineLevel="1" x14ac:dyDescent="0.25">
      <c r="A112" s="394">
        <f>ROW()</f>
        <v>112</v>
      </c>
      <c r="B112" s="349" t="s">
        <v>18</v>
      </c>
      <c r="C112" s="402">
        <v>45291</v>
      </c>
      <c r="D112" s="403">
        <f>+D108/D110</f>
        <v>7.309643137285253E-2</v>
      </c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408"/>
      <c r="AF112" s="358"/>
      <c r="AG112" s="358"/>
      <c r="AH112" s="358"/>
      <c r="AI112" s="358"/>
      <c r="AJ112" s="358"/>
      <c r="AK112" s="358"/>
      <c r="AL112" s="358"/>
      <c r="AM112" s="1899"/>
      <c r="AN112" s="358"/>
      <c r="AO112" s="358"/>
      <c r="AP112" s="358"/>
      <c r="AQ112" s="358"/>
      <c r="AR112" s="358"/>
      <c r="AS112" s="358"/>
      <c r="AT112" s="358"/>
      <c r="AU112" s="358"/>
      <c r="AV112" s="358"/>
      <c r="AW112" s="408"/>
      <c r="AX112" s="408"/>
      <c r="AY112" s="358"/>
      <c r="AZ112" s="358"/>
      <c r="BA112" s="403"/>
      <c r="BB112" s="403">
        <f>+BB108/BB110</f>
        <v>4.7817295995041156E-2</v>
      </c>
      <c r="BC112" s="82" t="s">
        <v>41</v>
      </c>
      <c r="BD112" s="356"/>
      <c r="BE112" s="82"/>
    </row>
    <row r="113" spans="1:57" outlineLevel="1" x14ac:dyDescent="0.25">
      <c r="A113" s="394">
        <f>ROW()</f>
        <v>113</v>
      </c>
      <c r="B113" s="365"/>
      <c r="C113" s="402">
        <v>45291</v>
      </c>
      <c r="D113" s="357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408"/>
      <c r="AF113" s="358"/>
      <c r="AG113" s="358"/>
      <c r="AH113" s="358"/>
      <c r="AI113" s="358"/>
      <c r="AJ113" s="358"/>
      <c r="AK113" s="358"/>
      <c r="AL113" s="358"/>
      <c r="AM113" s="358"/>
      <c r="AN113" s="358"/>
      <c r="AO113" s="358"/>
      <c r="AP113" s="358"/>
      <c r="AQ113" s="358"/>
      <c r="AR113" s="358"/>
      <c r="AS113" s="358"/>
      <c r="AT113" s="358"/>
      <c r="AU113" s="358"/>
      <c r="AV113" s="358"/>
      <c r="AW113" s="408"/>
      <c r="AX113" s="408"/>
      <c r="AY113" s="358"/>
      <c r="AZ113" s="358"/>
      <c r="BA113" s="357"/>
      <c r="BB113" s="357"/>
      <c r="BC113" s="82" t="s">
        <v>41</v>
      </c>
      <c r="BD113" s="356"/>
      <c r="BE113" s="82"/>
    </row>
    <row r="114" spans="1:57" outlineLevel="1" x14ac:dyDescent="0.25">
      <c r="A114" s="394">
        <f>ROW()</f>
        <v>114</v>
      </c>
      <c r="B114" s="365" t="s">
        <v>146</v>
      </c>
      <c r="C114" s="402">
        <v>45291</v>
      </c>
      <c r="D114" s="357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8"/>
      <c r="AJ114" s="358"/>
      <c r="AK114" s="358"/>
      <c r="AL114" s="358"/>
      <c r="AM114" s="358"/>
      <c r="AN114" s="358"/>
      <c r="AO114" s="358"/>
      <c r="AP114" s="358"/>
      <c r="AQ114" s="358"/>
      <c r="AR114" s="358"/>
      <c r="AS114" s="358"/>
      <c r="AT114" s="358"/>
      <c r="AU114" s="358"/>
      <c r="AV114" s="358"/>
      <c r="AW114" s="408"/>
      <c r="AX114" s="408"/>
      <c r="AY114" s="358"/>
      <c r="AZ114" s="358"/>
      <c r="BA114" s="357"/>
      <c r="BB114" s="357"/>
      <c r="BC114" s="82" t="s">
        <v>41</v>
      </c>
      <c r="BD114" s="356"/>
      <c r="BE114" s="82"/>
    </row>
    <row r="115" spans="1:57" outlineLevel="1" x14ac:dyDescent="0.25">
      <c r="A115" s="394">
        <f>ROW()</f>
        <v>115</v>
      </c>
      <c r="B115" s="384" t="s">
        <v>112</v>
      </c>
      <c r="C115" s="402">
        <v>45291</v>
      </c>
      <c r="D115" s="366">
        <f t="shared" ref="D115:D120" si="29">+BB54</f>
        <v>5474387919.4468212</v>
      </c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  <c r="AA115" s="356">
        <f>'SEF-36 pg 1-33, 37'!OM18</f>
        <v>-40083865.243799999</v>
      </c>
      <c r="AB115" s="356">
        <f>+'SEF-36 pg 1-33, 37'!PE21</f>
        <v>75215094.712953344</v>
      </c>
      <c r="AC115" s="356"/>
      <c r="AD115" s="356">
        <f>'SEF-36 pg 1-33, 37'!QP17</f>
        <v>-4692533.0386116672</v>
      </c>
      <c r="AE115" s="356"/>
      <c r="AF115" s="356"/>
      <c r="AG115" s="356">
        <f>'SEF-36 pg 1-33, 37'!$SR$28</f>
        <v>64907450.781774998</v>
      </c>
      <c r="AH115" s="356">
        <f>'SEF-36 pg 1-33, 37'!$SR$46</f>
        <v>53642765.109999999</v>
      </c>
      <c r="AI115" s="356">
        <f>'SEF-36 pg 1-33, 37'!$SR$64</f>
        <v>58932.5</v>
      </c>
      <c r="AJ115" s="356">
        <f>'SEF-36 pg 1-33, 37'!$SR$82</f>
        <v>47957544.839049995</v>
      </c>
      <c r="AK115" s="358"/>
      <c r="AL115" s="358"/>
      <c r="AM115" s="356"/>
      <c r="AN115" s="358">
        <f>'SEF-36 pg 1-33, 37'!VP20</f>
        <v>0</v>
      </c>
      <c r="AO115" s="358"/>
      <c r="AP115" s="356">
        <f>'SEF-36 pg 34-36'!BI19</f>
        <v>-243110912.17458329</v>
      </c>
      <c r="AQ115" s="356"/>
      <c r="AR115" s="356">
        <f>'SEF-36 pg 34-36'!CS18</f>
        <v>0</v>
      </c>
      <c r="AS115" s="356"/>
      <c r="AT115" s="356"/>
      <c r="AU115" s="356"/>
      <c r="AV115" s="356"/>
      <c r="AW115" s="412"/>
      <c r="AX115" s="412"/>
      <c r="AY115" s="356"/>
      <c r="AZ115" s="356"/>
      <c r="BA115" s="366">
        <f t="shared" ref="BA115:BA120" si="30">SUM(E115:AZ115)</f>
        <v>-46105522.513216615</v>
      </c>
      <c r="BB115" s="366">
        <f t="shared" ref="BB115:BB120" si="31">+BA115+BB54</f>
        <v>5428282396.9336042</v>
      </c>
      <c r="BC115" s="82" t="s">
        <v>41</v>
      </c>
      <c r="BD115" s="356"/>
      <c r="BE115" s="82"/>
    </row>
    <row r="116" spans="1:57" outlineLevel="1" x14ac:dyDescent="0.25">
      <c r="A116" s="394">
        <f>ROW()</f>
        <v>116</v>
      </c>
      <c r="B116" s="384" t="s">
        <v>113</v>
      </c>
      <c r="C116" s="402">
        <v>45291</v>
      </c>
      <c r="D116" s="357">
        <f t="shared" si="29"/>
        <v>-2114157216.2528422</v>
      </c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>
        <f>'SEF-36 pg 1-33, 37'!OM19</f>
        <v>2672926.9994000001</v>
      </c>
      <c r="AB116" s="358">
        <f>+'SEF-36 pg 1-33, 37'!PE27</f>
        <v>-9233476.6029253639</v>
      </c>
      <c r="AC116" s="358"/>
      <c r="AD116" s="358">
        <f>'SEF-36 pg 1-33, 37'!QP18</f>
        <v>4692533.0386116672</v>
      </c>
      <c r="AE116" s="358">
        <f>'SEF-36 pg 1-33, 37'!RH34</f>
        <v>-87066192.781679153</v>
      </c>
      <c r="AF116" s="358">
        <f>'SEF-36 pg 1-33, 37'!RZ33</f>
        <v>42632.08</v>
      </c>
      <c r="AG116" s="358">
        <f>'SEF-36 pg 1-33, 37'!$SR$29</f>
        <v>-611271.05680999998</v>
      </c>
      <c r="AH116" s="358">
        <f>'SEF-36 pg 1-33, 37'!$SR$47</f>
        <v>-403751.7</v>
      </c>
      <c r="AI116" s="358">
        <f>'SEF-36 pg 1-33, 37'!$SR$65</f>
        <v>-617.78</v>
      </c>
      <c r="AJ116" s="358">
        <f>'SEF-36 pg 1-33, 37'!$SR$83</f>
        <v>-380510.80976999988</v>
      </c>
      <c r="AK116" s="358"/>
      <c r="AL116" s="358"/>
      <c r="AM116" s="385"/>
      <c r="AN116" s="358">
        <f>'SEF-36 pg 1-33, 37'!VP21</f>
        <v>0</v>
      </c>
      <c r="AO116" s="358"/>
      <c r="AP116" s="358">
        <f>'SEF-36 pg 34-36'!BI20</f>
        <v>8669863.8600160964</v>
      </c>
      <c r="AQ116" s="358"/>
      <c r="AR116" s="356">
        <f>'SEF-36 pg 34-36'!CS19+'SEF-36 pg 34-36'!CS20</f>
        <v>418278.48458200146</v>
      </c>
      <c r="AS116" s="356"/>
      <c r="AT116" s="385"/>
      <c r="AU116" s="358"/>
      <c r="AV116" s="358"/>
      <c r="AW116" s="408"/>
      <c r="AX116" s="408"/>
      <c r="AY116" s="358"/>
      <c r="AZ116" s="358"/>
      <c r="BA116" s="357">
        <f t="shared" si="30"/>
        <v>-81199586.268574759</v>
      </c>
      <c r="BB116" s="357">
        <f t="shared" si="31"/>
        <v>-2195356802.5214171</v>
      </c>
      <c r="BC116" s="82" t="s">
        <v>41</v>
      </c>
      <c r="BD116" s="356"/>
      <c r="BE116" s="82"/>
    </row>
    <row r="117" spans="1:57" outlineLevel="1" x14ac:dyDescent="0.25">
      <c r="A117" s="394">
        <f>ROW()</f>
        <v>117</v>
      </c>
      <c r="B117" s="365" t="s">
        <v>147</v>
      </c>
      <c r="C117" s="402">
        <v>45291</v>
      </c>
      <c r="D117" s="357">
        <f t="shared" si="29"/>
        <v>16664014.890000001</v>
      </c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>
        <f>+'SEF-36 pg 1-33, 37'!PE33</f>
        <v>-8147230.8337291926</v>
      </c>
      <c r="AC117" s="358"/>
      <c r="AD117" s="358"/>
      <c r="AE117" s="358"/>
      <c r="AF117" s="358">
        <f>'SEF-36 pg 1-33, 37'!RZ34</f>
        <v>0</v>
      </c>
      <c r="AG117" s="358"/>
      <c r="AH117" s="358"/>
      <c r="AI117" s="358"/>
      <c r="AJ117" s="358"/>
      <c r="AK117" s="358"/>
      <c r="AL117" s="358">
        <f>'SEF-36 pg 1-33, 37'!UW17</f>
        <v>0</v>
      </c>
      <c r="AM117" s="385"/>
      <c r="AN117" s="358"/>
      <c r="AO117" s="358"/>
      <c r="AP117" s="358">
        <v>-12530977.195512716</v>
      </c>
      <c r="AQ117" s="358">
        <f>'SEF-36 pg 34-36'!CA25</f>
        <v>31505890.107479818</v>
      </c>
      <c r="AR117" s="356"/>
      <c r="AS117" s="356"/>
      <c r="AT117" s="385"/>
      <c r="AU117" s="358"/>
      <c r="AV117" s="358"/>
      <c r="AW117" s="408"/>
      <c r="AX117" s="408"/>
      <c r="AY117" s="358"/>
      <c r="AZ117" s="358"/>
      <c r="BA117" s="357">
        <f t="shared" si="30"/>
        <v>10827682.07823791</v>
      </c>
      <c r="BB117" s="357">
        <f t="shared" si="31"/>
        <v>27491696.96823791</v>
      </c>
      <c r="BC117" s="82" t="s">
        <v>41</v>
      </c>
      <c r="BD117" s="356"/>
      <c r="BE117" s="82"/>
    </row>
    <row r="118" spans="1:57" outlineLevel="1" x14ac:dyDescent="0.25">
      <c r="A118" s="394">
        <f>ROW()</f>
        <v>118</v>
      </c>
      <c r="B118" s="365" t="s">
        <v>148</v>
      </c>
      <c r="C118" s="402">
        <v>45291</v>
      </c>
      <c r="D118" s="357">
        <f t="shared" si="29"/>
        <v>-584249152.02586055</v>
      </c>
      <c r="E118" s="358"/>
      <c r="F118" s="358"/>
      <c r="G118" s="358"/>
      <c r="H118" s="358">
        <f>+'SEF-36 pg 1-33, 37'!BI24</f>
        <v>0</v>
      </c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>
        <f>'SEF-36 pg 1-33, 37'!OM20</f>
        <v>9391457.368920818</v>
      </c>
      <c r="AB118" s="358"/>
      <c r="AC118" s="358"/>
      <c r="AD118" s="358"/>
      <c r="AE118" s="358">
        <f>'SEF-36 pg 1-33, 37'!RH35</f>
        <v>5244350.714984417</v>
      </c>
      <c r="AF118" s="358"/>
      <c r="AG118" s="358">
        <f>'SEF-36 pg 1-33, 37'!$SR$30</f>
        <v>-499595.74821500003</v>
      </c>
      <c r="AH118" s="358">
        <f>'SEF-36 pg 1-33, 37'!$SR$48</f>
        <v>-339985.02999999997</v>
      </c>
      <c r="AI118" s="358">
        <f>'SEF-36 pg 1-33, 37'!$SR$66</f>
        <v>-334.38</v>
      </c>
      <c r="AJ118" s="358">
        <f>'SEF-36 pg 1-33, 37'!$SR$84</f>
        <v>-617120.61857000005</v>
      </c>
      <c r="AK118" s="358"/>
      <c r="AL118" s="358">
        <f>'SEF-36 pg 1-33, 37'!UW18</f>
        <v>0</v>
      </c>
      <c r="AM118" s="1898"/>
      <c r="AN118" s="358">
        <f>'SEF-36 pg 1-33, 37'!VP22</f>
        <v>0</v>
      </c>
      <c r="AO118" s="358"/>
      <c r="AP118" s="358">
        <f>'SEF-36 pg 34-36'!BI21</f>
        <v>1991160.0561322786</v>
      </c>
      <c r="AQ118" s="358">
        <f>'SEF-36 pg 34-36'!CA26</f>
        <v>-6786290.6957603497</v>
      </c>
      <c r="AR118" s="356">
        <f>'SEF-36 pg 34-36'!CS21</f>
        <v>70126.434854447376</v>
      </c>
      <c r="AS118" s="356"/>
      <c r="AT118" s="382"/>
      <c r="AU118" s="358"/>
      <c r="AV118" s="358"/>
      <c r="AW118" s="408"/>
      <c r="AX118" s="408"/>
      <c r="AY118" s="358"/>
      <c r="AZ118" s="358"/>
      <c r="BA118" s="357">
        <f t="shared" si="30"/>
        <v>8453768.1023466121</v>
      </c>
      <c r="BB118" s="357">
        <f t="shared" si="31"/>
        <v>-575795383.92351389</v>
      </c>
      <c r="BC118" s="82" t="s">
        <v>41</v>
      </c>
      <c r="BD118" s="356"/>
      <c r="BE118" s="82"/>
    </row>
    <row r="119" spans="1:57" outlineLevel="1" x14ac:dyDescent="0.25">
      <c r="A119" s="394">
        <f>ROW()</f>
        <v>119</v>
      </c>
      <c r="B119" s="365" t="s">
        <v>149</v>
      </c>
      <c r="C119" s="402">
        <v>45291</v>
      </c>
      <c r="D119" s="386">
        <f t="shared" si="29"/>
        <v>119028167.29199991</v>
      </c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85"/>
      <c r="AN119" s="358"/>
      <c r="AO119" s="358"/>
      <c r="AP119" s="356"/>
      <c r="AQ119" s="356"/>
      <c r="AR119" s="356"/>
      <c r="AS119" s="356"/>
      <c r="AT119" s="358"/>
      <c r="AU119" s="358"/>
      <c r="AV119" s="358"/>
      <c r="AW119" s="358"/>
      <c r="AX119" s="358"/>
      <c r="AY119" s="358"/>
      <c r="AZ119" s="358"/>
      <c r="BA119" s="357">
        <f t="shared" si="30"/>
        <v>0</v>
      </c>
      <c r="BB119" s="357">
        <f t="shared" si="31"/>
        <v>119028167.29199991</v>
      </c>
      <c r="BC119" s="82" t="s">
        <v>41</v>
      </c>
      <c r="BD119" s="356"/>
      <c r="BE119" s="82"/>
    </row>
    <row r="120" spans="1:57" outlineLevel="1" x14ac:dyDescent="0.25">
      <c r="A120" s="394">
        <f>ROW()</f>
        <v>120</v>
      </c>
      <c r="B120" s="365" t="s">
        <v>150</v>
      </c>
      <c r="C120" s="402">
        <v>45291</v>
      </c>
      <c r="D120" s="357">
        <f t="shared" si="29"/>
        <v>-1200697.579405</v>
      </c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  <c r="AI120" s="358"/>
      <c r="AJ120" s="358"/>
      <c r="AK120" s="358"/>
      <c r="AL120" s="358"/>
      <c r="AM120" s="385"/>
      <c r="AN120" s="358"/>
      <c r="AO120" s="358"/>
      <c r="AP120" s="356"/>
      <c r="AQ120" s="356"/>
      <c r="AR120" s="356"/>
      <c r="AS120" s="356"/>
      <c r="AT120" s="358"/>
      <c r="AU120" s="358"/>
      <c r="AV120" s="358"/>
      <c r="AW120" s="358"/>
      <c r="AX120" s="358"/>
      <c r="AY120" s="358"/>
      <c r="AZ120" s="358"/>
      <c r="BA120" s="357">
        <f t="shared" si="30"/>
        <v>0</v>
      </c>
      <c r="BB120" s="357">
        <f t="shared" si="31"/>
        <v>-1200697.579405</v>
      </c>
      <c r="BC120" s="82" t="s">
        <v>41</v>
      </c>
      <c r="BD120" s="356"/>
      <c r="BE120" s="82"/>
    </row>
    <row r="121" spans="1:57" ht="15.75" outlineLevel="1" thickBot="1" x14ac:dyDescent="0.3">
      <c r="A121" s="394">
        <f>ROW()</f>
        <v>121</v>
      </c>
      <c r="B121" s="365" t="s">
        <v>118</v>
      </c>
      <c r="C121" s="402">
        <v>45291</v>
      </c>
      <c r="D121" s="388">
        <f t="shared" ref="D121:AS121" si="32">SUM(D115:D120)</f>
        <v>2910473035.7707138</v>
      </c>
      <c r="E121" s="389">
        <f t="shared" si="32"/>
        <v>0</v>
      </c>
      <c r="F121" s="389">
        <f t="shared" si="32"/>
        <v>0</v>
      </c>
      <c r="G121" s="389">
        <f t="shared" si="32"/>
        <v>0</v>
      </c>
      <c r="H121" s="389">
        <f t="shared" si="32"/>
        <v>0</v>
      </c>
      <c r="I121" s="389">
        <f t="shared" si="32"/>
        <v>0</v>
      </c>
      <c r="J121" s="389">
        <f t="shared" si="32"/>
        <v>0</v>
      </c>
      <c r="K121" s="389">
        <f t="shared" si="32"/>
        <v>0</v>
      </c>
      <c r="L121" s="389">
        <f t="shared" si="32"/>
        <v>0</v>
      </c>
      <c r="M121" s="389">
        <f t="shared" si="32"/>
        <v>0</v>
      </c>
      <c r="N121" s="389">
        <f t="shared" si="32"/>
        <v>0</v>
      </c>
      <c r="O121" s="389">
        <f t="shared" si="32"/>
        <v>0</v>
      </c>
      <c r="P121" s="389">
        <f t="shared" si="32"/>
        <v>0</v>
      </c>
      <c r="Q121" s="389">
        <f t="shared" si="32"/>
        <v>0</v>
      </c>
      <c r="R121" s="389">
        <f t="shared" si="32"/>
        <v>0</v>
      </c>
      <c r="S121" s="389">
        <f t="shared" si="32"/>
        <v>0</v>
      </c>
      <c r="T121" s="389">
        <f t="shared" si="32"/>
        <v>0</v>
      </c>
      <c r="U121" s="389">
        <f t="shared" si="32"/>
        <v>0</v>
      </c>
      <c r="V121" s="389">
        <f t="shared" si="32"/>
        <v>0</v>
      </c>
      <c r="W121" s="389">
        <f t="shared" si="32"/>
        <v>0</v>
      </c>
      <c r="X121" s="389">
        <f t="shared" si="32"/>
        <v>0</v>
      </c>
      <c r="Y121" s="389">
        <f t="shared" si="32"/>
        <v>0</v>
      </c>
      <c r="Z121" s="389">
        <f t="shared" si="32"/>
        <v>0</v>
      </c>
      <c r="AA121" s="389">
        <f t="shared" si="32"/>
        <v>-28019480.875479184</v>
      </c>
      <c r="AB121" s="389">
        <f t="shared" si="32"/>
        <v>57834387.276298791</v>
      </c>
      <c r="AC121" s="389">
        <f t="shared" si="32"/>
        <v>0</v>
      </c>
      <c r="AD121" s="389">
        <f t="shared" si="32"/>
        <v>0</v>
      </c>
      <c r="AE121" s="389">
        <f t="shared" si="32"/>
        <v>-81821842.066694736</v>
      </c>
      <c r="AF121" s="389">
        <f t="shared" si="32"/>
        <v>42632.08</v>
      </c>
      <c r="AG121" s="389">
        <f t="shared" si="32"/>
        <v>63796583.976750001</v>
      </c>
      <c r="AH121" s="389">
        <f t="shared" si="32"/>
        <v>52899028.379999995</v>
      </c>
      <c r="AI121" s="389">
        <f t="shared" si="32"/>
        <v>57980.340000000004</v>
      </c>
      <c r="AJ121" s="389">
        <f t="shared" si="32"/>
        <v>46959913.410709992</v>
      </c>
      <c r="AK121" s="389">
        <f t="shared" si="32"/>
        <v>0</v>
      </c>
      <c r="AL121" s="389">
        <f t="shared" si="32"/>
        <v>0</v>
      </c>
      <c r="AM121" s="389">
        <f t="shared" si="32"/>
        <v>0</v>
      </c>
      <c r="AN121" s="389">
        <f t="shared" si="32"/>
        <v>0</v>
      </c>
      <c r="AO121" s="389">
        <f t="shared" si="32"/>
        <v>0</v>
      </c>
      <c r="AP121" s="389">
        <f t="shared" si="32"/>
        <v>-244980865.4539476</v>
      </c>
      <c r="AQ121" s="389">
        <f t="shared" si="32"/>
        <v>24719599.411719467</v>
      </c>
      <c r="AR121" s="389">
        <f t="shared" si="32"/>
        <v>488404.91943644884</v>
      </c>
      <c r="AS121" s="389">
        <f t="shared" si="32"/>
        <v>0</v>
      </c>
      <c r="AT121" s="389"/>
      <c r="AU121" s="389"/>
      <c r="AV121" s="389"/>
      <c r="AW121" s="389"/>
      <c r="AX121" s="389"/>
      <c r="AY121" s="389"/>
      <c r="AZ121" s="389"/>
      <c r="BA121" s="388">
        <f>SUM(BA115:BA120)</f>
        <v>-108023658.60120685</v>
      </c>
      <c r="BB121" s="388">
        <f>SUM(BB115:BB120)</f>
        <v>2802449377.1695061</v>
      </c>
      <c r="BC121" s="82" t="s">
        <v>41</v>
      </c>
      <c r="BD121" s="356"/>
      <c r="BE121" s="82"/>
    </row>
    <row r="122" spans="1:57" ht="15.75" outlineLevel="1" thickTop="1" x14ac:dyDescent="0.25">
      <c r="A122" s="394">
        <f>ROW()</f>
        <v>122</v>
      </c>
      <c r="B122" s="65" t="s">
        <v>30</v>
      </c>
      <c r="C122" s="350">
        <v>45291</v>
      </c>
      <c r="H122" s="1897"/>
      <c r="BA122" s="351"/>
      <c r="BB122" s="351"/>
      <c r="BC122" s="82" t="s">
        <v>41</v>
      </c>
      <c r="BD122" s="356"/>
      <c r="BE122" s="82"/>
    </row>
    <row r="123" spans="1:57" outlineLevel="1" x14ac:dyDescent="0.25">
      <c r="A123" s="394">
        <f>ROW()</f>
        <v>123</v>
      </c>
      <c r="B123" s="365" t="s">
        <v>119</v>
      </c>
      <c r="C123" s="402">
        <v>45291</v>
      </c>
      <c r="D123" s="81">
        <v>7.6499999999999999E-2</v>
      </c>
      <c r="E123" s="80">
        <f>+'SEF-33 pg 1-2'!C13</f>
        <v>7.6499999999999999E-2</v>
      </c>
      <c r="F123" s="80">
        <f>+'SEF-33 pg 1-2'!C13</f>
        <v>7.6499999999999999E-2</v>
      </c>
      <c r="G123" s="80">
        <f>+'SEF-33 pg 1-2'!C13</f>
        <v>7.6499999999999999E-2</v>
      </c>
      <c r="H123" s="80">
        <f>+'SEF-33 pg 1-2'!C13</f>
        <v>7.6499999999999999E-2</v>
      </c>
      <c r="I123" s="80">
        <f>+'SEF-33 pg 1-2'!C13</f>
        <v>7.6499999999999999E-2</v>
      </c>
      <c r="J123" s="80">
        <f>+'SEF-33 pg 1-2'!C13</f>
        <v>7.6499999999999999E-2</v>
      </c>
      <c r="K123" s="80">
        <f>+'SEF-33 pg 1-2'!C13</f>
        <v>7.6499999999999999E-2</v>
      </c>
      <c r="L123" s="80">
        <f>+'SEF-33 pg 1-2'!C13</f>
        <v>7.6499999999999999E-2</v>
      </c>
      <c r="M123" s="80">
        <f>+'SEF-33 pg 1-2'!C13</f>
        <v>7.6499999999999999E-2</v>
      </c>
      <c r="N123" s="80">
        <f>+'SEF-33 pg 1-2'!C13</f>
        <v>7.6499999999999999E-2</v>
      </c>
      <c r="O123" s="80">
        <f>+'SEF-33 pg 1-2'!C13</f>
        <v>7.6499999999999999E-2</v>
      </c>
      <c r="P123" s="80">
        <f>+'SEF-33 pg 1-2'!C13</f>
        <v>7.6499999999999999E-2</v>
      </c>
      <c r="Q123" s="80">
        <f>+'SEF-33 pg 1-2'!C13</f>
        <v>7.6499999999999999E-2</v>
      </c>
      <c r="R123" s="80">
        <f>+'SEF-33 pg 1-2'!C13</f>
        <v>7.6499999999999999E-2</v>
      </c>
      <c r="S123" s="80">
        <f>+'SEF-33 pg 1-2'!C13</f>
        <v>7.6499999999999999E-2</v>
      </c>
      <c r="T123" s="80">
        <f>+'SEF-33 pg 1-2'!C13</f>
        <v>7.6499999999999999E-2</v>
      </c>
      <c r="U123" s="80">
        <f>+'SEF-33 pg 1-2'!C13</f>
        <v>7.6499999999999999E-2</v>
      </c>
      <c r="V123" s="80">
        <f>+'SEF-33 pg 1-2'!C13</f>
        <v>7.6499999999999999E-2</v>
      </c>
      <c r="W123" s="80">
        <f>+'SEF-33 pg 1-2'!C13</f>
        <v>7.6499999999999999E-2</v>
      </c>
      <c r="X123" s="80">
        <f>+'SEF-33 pg 1-2'!C13</f>
        <v>7.6499999999999999E-2</v>
      </c>
      <c r="Y123" s="80">
        <f>+'SEF-33 pg 1-2'!C13</f>
        <v>7.6499999999999999E-2</v>
      </c>
      <c r="Z123" s="80">
        <f>+'SEF-33 pg 1-2'!C13</f>
        <v>7.6499999999999999E-2</v>
      </c>
      <c r="AA123" s="80">
        <f>+'SEF-33 pg 1-2'!C13</f>
        <v>7.6499999999999999E-2</v>
      </c>
      <c r="AB123" s="80">
        <f>+'SEF-33 pg 1-2'!C13</f>
        <v>7.6499999999999999E-2</v>
      </c>
      <c r="AC123" s="80">
        <f>+'SEF-33 pg 1-2'!C13</f>
        <v>7.6499999999999999E-2</v>
      </c>
      <c r="AD123" s="80">
        <f>+'SEF-33 pg 1-2'!C13</f>
        <v>7.6499999999999999E-2</v>
      </c>
      <c r="AE123" s="80">
        <f>+'SEF-33 pg 1-2'!C13</f>
        <v>7.6499999999999999E-2</v>
      </c>
      <c r="AF123" s="80">
        <f>+'SEF-33 pg 1-2'!C13</f>
        <v>7.6499999999999999E-2</v>
      </c>
      <c r="AG123" s="80">
        <f>+'SEF-33 pg 1-2'!C13</f>
        <v>7.6499999999999999E-2</v>
      </c>
      <c r="AH123" s="80">
        <f>+'SEF-33 pg 1-2'!C13</f>
        <v>7.6499999999999999E-2</v>
      </c>
      <c r="AI123" s="80">
        <f>+'SEF-33 pg 1-2'!C13</f>
        <v>7.6499999999999999E-2</v>
      </c>
      <c r="AJ123" s="80">
        <f>+'SEF-33 pg 1-2'!C13</f>
        <v>7.6499999999999999E-2</v>
      </c>
      <c r="AK123" s="80">
        <f>+'SEF-33 pg 1-2'!C13</f>
        <v>7.6499999999999999E-2</v>
      </c>
      <c r="AL123" s="80">
        <f>+'SEF-33 pg 1-2'!C13</f>
        <v>7.6499999999999999E-2</v>
      </c>
      <c r="AM123" s="80">
        <f>+'SEF-33 pg 1-2'!$C$13</f>
        <v>7.6499999999999999E-2</v>
      </c>
      <c r="AN123" s="80">
        <f>+'SEF-33 pg 1-2'!$C$13</f>
        <v>7.6499999999999999E-2</v>
      </c>
      <c r="AO123" s="80">
        <f>+'SEF-33 pg 1-2'!$C$13</f>
        <v>7.6499999999999999E-2</v>
      </c>
      <c r="AP123" s="80">
        <f>+'SEF-33 pg 1-2'!C13</f>
        <v>7.6499999999999999E-2</v>
      </c>
      <c r="AQ123" s="80">
        <f>+'SEF-33 pg 1-2'!C13</f>
        <v>7.6499999999999999E-2</v>
      </c>
      <c r="AR123" s="80">
        <f>+'SEF-33 pg 1-2'!C13</f>
        <v>7.6499999999999999E-2</v>
      </c>
      <c r="AS123" s="80"/>
      <c r="AT123" s="80"/>
      <c r="AU123" s="80"/>
      <c r="AV123" s="80"/>
      <c r="AW123" s="80"/>
      <c r="AX123" s="80"/>
      <c r="AY123" s="80"/>
      <c r="AZ123" s="80"/>
      <c r="BA123" s="81">
        <f>+'SEF-33 pg 1-2'!C13</f>
        <v>7.6499999999999999E-2</v>
      </c>
      <c r="BB123" s="81">
        <f>+'SEF-33 pg 1-2'!C13</f>
        <v>7.6499999999999999E-2</v>
      </c>
      <c r="BC123" s="82" t="s">
        <v>41</v>
      </c>
      <c r="BD123" s="356"/>
      <c r="BE123" s="82"/>
    </row>
    <row r="124" spans="1:57" outlineLevel="1" x14ac:dyDescent="0.25">
      <c r="A124" s="394">
        <f>ROW()</f>
        <v>124</v>
      </c>
      <c r="B124" s="365" t="s">
        <v>3</v>
      </c>
      <c r="C124" s="402">
        <v>45291</v>
      </c>
      <c r="D124" s="390">
        <v>0.75342299999999995</v>
      </c>
      <c r="E124" s="391">
        <f>+'SEF-35'!E20</f>
        <v>0.75342299999999995</v>
      </c>
      <c r="F124" s="391">
        <f>+'SEF-35'!E20</f>
        <v>0.75342299999999995</v>
      </c>
      <c r="G124" s="391">
        <f>+'SEF-35'!E20</f>
        <v>0.75342299999999995</v>
      </c>
      <c r="H124" s="391">
        <f>+'SEF-35'!E20</f>
        <v>0.75342299999999995</v>
      </c>
      <c r="I124" s="391">
        <f>+'SEF-35'!E20</f>
        <v>0.75342299999999995</v>
      </c>
      <c r="J124" s="391">
        <f>+'SEF-35'!E20</f>
        <v>0.75342299999999995</v>
      </c>
      <c r="K124" s="391">
        <f>+'SEF-35'!E20</f>
        <v>0.75342299999999995</v>
      </c>
      <c r="L124" s="391">
        <f>+'SEF-35'!E20</f>
        <v>0.75342299999999995</v>
      </c>
      <c r="M124" s="391">
        <f>+'SEF-35'!E20</f>
        <v>0.75342299999999995</v>
      </c>
      <c r="N124" s="391">
        <f>+'SEF-35'!E20</f>
        <v>0.75342299999999995</v>
      </c>
      <c r="O124" s="391">
        <f>+'SEF-35'!E20</f>
        <v>0.75342299999999995</v>
      </c>
      <c r="P124" s="391">
        <f>+'SEF-35'!E20</f>
        <v>0.75342299999999995</v>
      </c>
      <c r="Q124" s="391">
        <f>+'SEF-35'!E20</f>
        <v>0.75342299999999995</v>
      </c>
      <c r="R124" s="391">
        <f>+'SEF-35'!E20</f>
        <v>0.75342299999999995</v>
      </c>
      <c r="S124" s="391">
        <f>+'SEF-35'!E20</f>
        <v>0.75342299999999995</v>
      </c>
      <c r="T124" s="391">
        <f>+'SEF-35'!E20</f>
        <v>0.75342299999999995</v>
      </c>
      <c r="U124" s="391">
        <f>+'SEF-35'!E20</f>
        <v>0.75342299999999995</v>
      </c>
      <c r="V124" s="391">
        <f>+'SEF-35'!E20</f>
        <v>0.75342299999999995</v>
      </c>
      <c r="W124" s="391">
        <f>+'SEF-35'!E20</f>
        <v>0.75342299999999995</v>
      </c>
      <c r="X124" s="391">
        <f>+'SEF-35'!E20</f>
        <v>0.75342299999999995</v>
      </c>
      <c r="Y124" s="391">
        <f>+'SEF-35'!E20</f>
        <v>0.75342299999999995</v>
      </c>
      <c r="Z124" s="391">
        <f>+'SEF-35'!E20</f>
        <v>0.75342299999999995</v>
      </c>
      <c r="AA124" s="391">
        <f>+'SEF-35'!E20</f>
        <v>0.75342299999999995</v>
      </c>
      <c r="AB124" s="391">
        <f>+'SEF-35'!E20</f>
        <v>0.75342299999999995</v>
      </c>
      <c r="AC124" s="391">
        <f>+'SEF-35'!E20</f>
        <v>0.75342299999999995</v>
      </c>
      <c r="AD124" s="391">
        <f>+'SEF-35'!E20</f>
        <v>0.75342299999999995</v>
      </c>
      <c r="AE124" s="391">
        <f>+'SEF-35'!E20</f>
        <v>0.75342299999999995</v>
      </c>
      <c r="AF124" s="391">
        <f>+'SEF-35'!E20</f>
        <v>0.75342299999999995</v>
      </c>
      <c r="AG124" s="391">
        <f>+'SEF-35'!E20</f>
        <v>0.75342299999999995</v>
      </c>
      <c r="AH124" s="391">
        <f>+'SEF-35'!E20</f>
        <v>0.75342299999999995</v>
      </c>
      <c r="AI124" s="391">
        <f>+'SEF-35'!E20</f>
        <v>0.75342299999999995</v>
      </c>
      <c r="AJ124" s="391">
        <f>+'SEF-35'!E20</f>
        <v>0.75342299999999995</v>
      </c>
      <c r="AK124" s="391">
        <f>+'SEF-35'!E20</f>
        <v>0.75342299999999995</v>
      </c>
      <c r="AL124" s="391">
        <f>+'SEF-35'!E20</f>
        <v>0.75342299999999995</v>
      </c>
      <c r="AM124" s="391">
        <f>+'SEF-35'!$E$20</f>
        <v>0.75342299999999995</v>
      </c>
      <c r="AN124" s="391">
        <f>+'SEF-35'!$E$20</f>
        <v>0.75342299999999995</v>
      </c>
      <c r="AO124" s="391">
        <f>+'SEF-35'!$E$20</f>
        <v>0.75342299999999995</v>
      </c>
      <c r="AP124" s="391">
        <f>+'SEF-35'!E20</f>
        <v>0.75342299999999995</v>
      </c>
      <c r="AQ124" s="391">
        <f>+'SEF-35'!E20</f>
        <v>0.75342299999999995</v>
      </c>
      <c r="AR124" s="391">
        <f>+'SEF-35'!E20</f>
        <v>0.75342299999999995</v>
      </c>
      <c r="AS124" s="391"/>
      <c r="BA124" s="390">
        <f>+'SEF-35'!E20</f>
        <v>0.75342299999999995</v>
      </c>
      <c r="BB124" s="390">
        <f>+'SEF-35'!E20</f>
        <v>0.75342299999999995</v>
      </c>
      <c r="BC124" s="82" t="s">
        <v>41</v>
      </c>
      <c r="BD124" s="356"/>
      <c r="BE124" s="82"/>
    </row>
    <row r="125" spans="1:57" outlineLevel="1" x14ac:dyDescent="0.25">
      <c r="A125" s="394">
        <f>ROW()</f>
        <v>125</v>
      </c>
      <c r="B125" s="365" t="s">
        <v>152</v>
      </c>
      <c r="C125" s="402">
        <v>45291</v>
      </c>
      <c r="D125" s="371">
        <f t="shared" ref="D125:AR125" si="33">+D108-(D121*D123)</f>
        <v>-9905994.7147078514</v>
      </c>
      <c r="E125" s="392">
        <f t="shared" si="33"/>
        <v>-43977920.498693615</v>
      </c>
      <c r="F125" s="382">
        <f t="shared" si="33"/>
        <v>0</v>
      </c>
      <c r="G125" s="392">
        <f t="shared" si="33"/>
        <v>-17672181.335449174</v>
      </c>
      <c r="H125" s="382">
        <f t="shared" si="33"/>
        <v>133104.75165847223</v>
      </c>
      <c r="I125" s="382">
        <f t="shared" si="33"/>
        <v>-596614.66645446536</v>
      </c>
      <c r="J125" s="382">
        <f t="shared" si="33"/>
        <v>0</v>
      </c>
      <c r="K125" s="382">
        <f t="shared" si="33"/>
        <v>0</v>
      </c>
      <c r="L125" s="382">
        <f t="shared" si="33"/>
        <v>0</v>
      </c>
      <c r="M125" s="382">
        <f t="shared" si="33"/>
        <v>-203582.65075738163</v>
      </c>
      <c r="N125" s="382">
        <f t="shared" si="33"/>
        <v>0</v>
      </c>
      <c r="O125" s="382">
        <f t="shared" si="33"/>
        <v>-185023.04623741916</v>
      </c>
      <c r="P125" s="382">
        <f t="shared" si="33"/>
        <v>0</v>
      </c>
      <c r="Q125" s="382">
        <f t="shared" si="33"/>
        <v>0</v>
      </c>
      <c r="R125" s="382">
        <f t="shared" si="33"/>
        <v>0</v>
      </c>
      <c r="S125" s="382">
        <f t="shared" si="33"/>
        <v>0</v>
      </c>
      <c r="T125" s="382">
        <f t="shared" si="33"/>
        <v>0</v>
      </c>
      <c r="U125" s="382">
        <f t="shared" si="33"/>
        <v>0</v>
      </c>
      <c r="V125" s="382">
        <f t="shared" si="33"/>
        <v>0</v>
      </c>
      <c r="W125" s="382">
        <f t="shared" si="33"/>
        <v>0</v>
      </c>
      <c r="X125" s="382">
        <f t="shared" si="33"/>
        <v>0</v>
      </c>
      <c r="Y125" s="382">
        <f t="shared" si="33"/>
        <v>0</v>
      </c>
      <c r="Z125" s="382">
        <f t="shared" si="33"/>
        <v>0</v>
      </c>
      <c r="AA125" s="382">
        <f t="shared" si="33"/>
        <v>4439322.116574158</v>
      </c>
      <c r="AB125" s="382">
        <f t="shared" si="33"/>
        <v>-4424330.6266368572</v>
      </c>
      <c r="AC125" s="382">
        <f t="shared" si="33"/>
        <v>8365.7662636469395</v>
      </c>
      <c r="AD125" s="382">
        <f t="shared" si="33"/>
        <v>0</v>
      </c>
      <c r="AE125" s="382">
        <f t="shared" si="33"/>
        <v>5960949.9391010674</v>
      </c>
      <c r="AF125" s="382">
        <f t="shared" si="33"/>
        <v>30417.989080000003</v>
      </c>
      <c r="AG125" s="382">
        <f t="shared" si="33"/>
        <v>-5363342.8091012752</v>
      </c>
      <c r="AH125" s="382">
        <f t="shared" si="33"/>
        <v>-4365739.5140699996</v>
      </c>
      <c r="AI125" s="382">
        <f t="shared" si="33"/>
        <v>-4923.5422099999996</v>
      </c>
      <c r="AJ125" s="382">
        <f t="shared" si="33"/>
        <v>-3893036.9156376142</v>
      </c>
      <c r="AK125" s="382">
        <f t="shared" si="33"/>
        <v>0</v>
      </c>
      <c r="AL125" s="382">
        <f t="shared" si="33"/>
        <v>0</v>
      </c>
      <c r="AM125" s="382">
        <f t="shared" si="33"/>
        <v>0</v>
      </c>
      <c r="AN125" s="382">
        <f t="shared" si="33"/>
        <v>0</v>
      </c>
      <c r="AO125" s="382">
        <f t="shared" si="33"/>
        <v>0</v>
      </c>
      <c r="AP125" s="382">
        <f t="shared" si="33"/>
        <v>3611466.8211199902</v>
      </c>
      <c r="AQ125" s="382">
        <f t="shared" si="33"/>
        <v>-4265840.0645589959</v>
      </c>
      <c r="AR125" s="382">
        <f t="shared" si="33"/>
        <v>293077.02648289286</v>
      </c>
      <c r="AS125" s="382"/>
      <c r="AT125" s="382"/>
      <c r="AU125" s="382"/>
      <c r="AV125" s="382"/>
      <c r="AW125" s="382"/>
      <c r="AX125" s="382"/>
      <c r="AY125" s="382"/>
      <c r="AZ125" s="382"/>
      <c r="BA125" s="371">
        <f>SUM(E125:AZ125)</f>
        <v>-70475831.259526551</v>
      </c>
      <c r="BB125" s="371">
        <f>+BB108-(BB121*BB123)</f>
        <v>-80381825.974234194</v>
      </c>
      <c r="BC125" s="82" t="s">
        <v>41</v>
      </c>
      <c r="BD125" s="356"/>
      <c r="BE125" s="82"/>
    </row>
    <row r="126" spans="1:57" outlineLevel="1" x14ac:dyDescent="0.25">
      <c r="A126" s="394">
        <f>ROW()</f>
        <v>126</v>
      </c>
      <c r="B126" s="365" t="s">
        <v>153</v>
      </c>
      <c r="C126" s="402">
        <v>45291</v>
      </c>
      <c r="D126" s="371">
        <f t="shared" ref="D126:AR126" si="34">-D125/D124</f>
        <v>13147985.546907715</v>
      </c>
      <c r="E126" s="382">
        <f t="shared" si="34"/>
        <v>58370822.895894624</v>
      </c>
      <c r="F126" s="382">
        <f t="shared" si="34"/>
        <v>0</v>
      </c>
      <c r="G126" s="382">
        <f t="shared" si="34"/>
        <v>23455855.920842841</v>
      </c>
      <c r="H126" s="392">
        <f t="shared" si="34"/>
        <v>-176666.69541342944</v>
      </c>
      <c r="I126" s="392">
        <f t="shared" si="34"/>
        <v>791872.11759458552</v>
      </c>
      <c r="J126" s="382">
        <f t="shared" si="34"/>
        <v>0</v>
      </c>
      <c r="K126" s="382">
        <f t="shared" si="34"/>
        <v>0</v>
      </c>
      <c r="L126" s="382">
        <f t="shared" si="34"/>
        <v>0</v>
      </c>
      <c r="M126" s="392">
        <f t="shared" si="34"/>
        <v>270210.29455880914</v>
      </c>
      <c r="N126" s="382">
        <f t="shared" si="34"/>
        <v>0</v>
      </c>
      <c r="O126" s="392">
        <f t="shared" si="34"/>
        <v>245576.58345633087</v>
      </c>
      <c r="P126" s="382">
        <f t="shared" si="34"/>
        <v>0</v>
      </c>
      <c r="Q126" s="382">
        <f t="shared" si="34"/>
        <v>0</v>
      </c>
      <c r="R126" s="382">
        <f t="shared" si="34"/>
        <v>0</v>
      </c>
      <c r="S126" s="382">
        <f t="shared" si="34"/>
        <v>0</v>
      </c>
      <c r="T126" s="382">
        <f t="shared" si="34"/>
        <v>0</v>
      </c>
      <c r="U126" s="382">
        <f t="shared" si="34"/>
        <v>0</v>
      </c>
      <c r="V126" s="382">
        <f t="shared" si="34"/>
        <v>0</v>
      </c>
      <c r="W126" s="382">
        <f t="shared" si="34"/>
        <v>0</v>
      </c>
      <c r="X126" s="382">
        <f t="shared" si="34"/>
        <v>0</v>
      </c>
      <c r="Y126" s="382">
        <f t="shared" si="34"/>
        <v>0</v>
      </c>
      <c r="Z126" s="382">
        <f t="shared" si="34"/>
        <v>0</v>
      </c>
      <c r="AA126" s="382">
        <f t="shared" si="34"/>
        <v>-5892204.1357566174</v>
      </c>
      <c r="AB126" s="382">
        <f t="shared" si="34"/>
        <v>5872306.2962464076</v>
      </c>
      <c r="AC126" s="382">
        <f t="shared" si="34"/>
        <v>-11103.677832568079</v>
      </c>
      <c r="AD126" s="382">
        <f t="shared" si="34"/>
        <v>0</v>
      </c>
      <c r="AE126" s="382">
        <f t="shared" si="34"/>
        <v>-7911823.6888189875</v>
      </c>
      <c r="AF126" s="382">
        <f t="shared" si="34"/>
        <v>-40373.056145087161</v>
      </c>
      <c r="AG126" s="382">
        <f t="shared" si="34"/>
        <v>7118634.2985298773</v>
      </c>
      <c r="AH126" s="382">
        <f t="shared" si="34"/>
        <v>5794539.7393894261</v>
      </c>
      <c r="AI126" s="382">
        <f t="shared" si="34"/>
        <v>6534.8976736839732</v>
      </c>
      <c r="AJ126" s="382">
        <f t="shared" si="34"/>
        <v>5167133.0920845456</v>
      </c>
      <c r="AK126" s="382">
        <f t="shared" si="34"/>
        <v>0</v>
      </c>
      <c r="AL126" s="382">
        <f t="shared" si="34"/>
        <v>0</v>
      </c>
      <c r="AM126" s="382">
        <f t="shared" si="34"/>
        <v>0</v>
      </c>
      <c r="AN126" s="382">
        <f t="shared" si="34"/>
        <v>0</v>
      </c>
      <c r="AO126" s="382">
        <f t="shared" si="34"/>
        <v>0</v>
      </c>
      <c r="AP126" s="382">
        <f t="shared" si="34"/>
        <v>-4793411.9626292139</v>
      </c>
      <c r="AQ126" s="382">
        <f t="shared" si="34"/>
        <v>5661945.6328768777</v>
      </c>
      <c r="AR126" s="382">
        <f t="shared" si="34"/>
        <v>-388994.0000277306</v>
      </c>
      <c r="AS126" s="382"/>
      <c r="AT126" s="382"/>
      <c r="AU126" s="382"/>
      <c r="AV126" s="382"/>
      <c r="AW126" s="382"/>
      <c r="AX126" s="382"/>
      <c r="AY126" s="382"/>
      <c r="AZ126" s="382"/>
      <c r="BA126" s="371">
        <f>SUM(E126:AZ126)</f>
        <v>93540854.552524373</v>
      </c>
      <c r="BB126" s="371">
        <f>-BB125/BB124</f>
        <v>106688840.0994318</v>
      </c>
      <c r="BC126" s="82" t="s">
        <v>41</v>
      </c>
      <c r="BD126" s="356"/>
      <c r="BE126" s="82"/>
    </row>
    <row r="127" spans="1:57" outlineLevel="1" x14ac:dyDescent="0.25">
      <c r="A127" s="394">
        <f>ROW()</f>
        <v>127</v>
      </c>
      <c r="B127" s="365" t="s">
        <v>128</v>
      </c>
      <c r="C127" s="402">
        <v>45291</v>
      </c>
      <c r="D127" s="357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2"/>
      <c r="AE127" s="382"/>
      <c r="AF127" s="382"/>
      <c r="AG127" s="382"/>
      <c r="AH127" s="382"/>
      <c r="AI127" s="382"/>
      <c r="AJ127" s="382"/>
      <c r="AK127" s="382"/>
      <c r="AL127" s="382"/>
      <c r="AM127" s="382"/>
      <c r="AN127" s="382"/>
      <c r="AO127" s="382"/>
      <c r="AP127" s="382"/>
      <c r="AQ127" s="382"/>
      <c r="AR127" s="382"/>
      <c r="AS127" s="382"/>
      <c r="AT127" s="382"/>
      <c r="AU127" s="382"/>
      <c r="AV127" s="382"/>
      <c r="AW127" s="382"/>
      <c r="AX127" s="382"/>
      <c r="AY127" s="382"/>
      <c r="AZ127" s="382"/>
      <c r="BA127" s="357"/>
      <c r="BB127" s="357">
        <f>'SEF-33 pg 1-2'!C36+'SEF-33 pg 1-2'!C37</f>
        <v>1033773304.3797647</v>
      </c>
      <c r="BC127" s="82" t="s">
        <v>41</v>
      </c>
      <c r="BD127" s="356"/>
      <c r="BE127" s="82"/>
    </row>
    <row r="128" spans="1:57" outlineLevel="1" x14ac:dyDescent="0.25">
      <c r="A128" s="394">
        <f>ROW()</f>
        <v>128</v>
      </c>
      <c r="B128" s="365" t="s">
        <v>129</v>
      </c>
      <c r="C128" s="402">
        <v>45291</v>
      </c>
      <c r="D128" s="357"/>
      <c r="E128" s="382"/>
      <c r="F128" s="382"/>
      <c r="G128" s="382"/>
      <c r="H128" s="382"/>
      <c r="I128" s="382"/>
      <c r="J128" s="382"/>
      <c r="K128" s="382"/>
      <c r="L128" s="382"/>
      <c r="M128" s="382"/>
      <c r="N128" s="382"/>
      <c r="O128" s="382"/>
      <c r="P128" s="382"/>
      <c r="Q128" s="382"/>
      <c r="R128" s="382"/>
      <c r="S128" s="382"/>
      <c r="T128" s="382"/>
      <c r="U128" s="382"/>
      <c r="V128" s="382"/>
      <c r="W128" s="382"/>
      <c r="X128" s="382"/>
      <c r="Y128" s="382"/>
      <c r="Z128" s="382"/>
      <c r="AA128" s="382"/>
      <c r="AB128" s="382"/>
      <c r="AC128" s="382"/>
      <c r="AD128" s="382"/>
      <c r="AE128" s="382"/>
      <c r="AF128" s="382"/>
      <c r="AG128" s="382"/>
      <c r="AH128" s="382"/>
      <c r="AI128" s="382"/>
      <c r="AJ128" s="382"/>
      <c r="AK128" s="382"/>
      <c r="AL128" s="382"/>
      <c r="AM128" s="382"/>
      <c r="AN128" s="382"/>
      <c r="AO128" s="382"/>
      <c r="AP128" s="382"/>
      <c r="AQ128" s="382"/>
      <c r="AR128" s="382"/>
      <c r="AS128" s="382"/>
      <c r="AT128" s="382"/>
      <c r="AU128" s="382"/>
      <c r="AV128" s="382"/>
      <c r="AW128" s="382"/>
      <c r="AX128" s="382"/>
      <c r="AY128" s="382"/>
      <c r="AZ128" s="382"/>
      <c r="BA128" s="1911"/>
      <c r="BB128" s="1911">
        <f>SUM(BB126:BB127)</f>
        <v>1140462144.4791965</v>
      </c>
      <c r="BC128" s="82" t="s">
        <v>41</v>
      </c>
      <c r="BD128" s="356"/>
      <c r="BE128" s="82"/>
    </row>
    <row r="129" spans="1:57" outlineLevel="1" x14ac:dyDescent="0.25">
      <c r="A129" s="394">
        <f>ROW()</f>
        <v>129</v>
      </c>
      <c r="B129" s="365"/>
      <c r="C129" s="402">
        <v>45291</v>
      </c>
      <c r="D129" s="393"/>
      <c r="E129" s="382"/>
      <c r="F129" s="382"/>
      <c r="G129" s="382"/>
      <c r="H129" s="382"/>
      <c r="I129" s="382"/>
      <c r="J129" s="382"/>
      <c r="K129" s="382"/>
      <c r="L129" s="382"/>
      <c r="M129" s="382"/>
      <c r="N129" s="382"/>
      <c r="O129" s="382"/>
      <c r="P129" s="382"/>
      <c r="Q129" s="382"/>
      <c r="R129" s="382"/>
      <c r="S129" s="382"/>
      <c r="T129" s="382"/>
      <c r="U129" s="382"/>
      <c r="V129" s="382"/>
      <c r="W129" s="382"/>
      <c r="X129" s="382"/>
      <c r="Y129" s="382"/>
      <c r="Z129" s="382"/>
      <c r="AA129" s="382"/>
      <c r="AB129" s="382"/>
      <c r="AC129" s="382"/>
      <c r="AD129" s="382"/>
      <c r="AE129" s="382"/>
      <c r="AF129" s="382"/>
      <c r="AG129" s="382"/>
      <c r="AH129" s="382"/>
      <c r="AI129" s="382"/>
      <c r="AJ129" s="382"/>
      <c r="AK129" s="382"/>
      <c r="AL129" s="382"/>
      <c r="AM129" s="382"/>
      <c r="AN129" s="382"/>
      <c r="AO129" s="382"/>
      <c r="AP129" s="382"/>
      <c r="AQ129" s="382"/>
      <c r="AR129" s="382"/>
      <c r="AS129" s="382"/>
      <c r="AT129" s="382"/>
      <c r="AU129" s="382"/>
      <c r="AV129" s="382"/>
      <c r="AW129" s="382"/>
      <c r="AX129" s="382"/>
      <c r="AY129" s="382"/>
      <c r="AZ129" s="382"/>
      <c r="BA129" s="393"/>
      <c r="BB129" s="393"/>
      <c r="BC129" s="82" t="s">
        <v>41</v>
      </c>
      <c r="BD129" s="356"/>
      <c r="BE129" s="82"/>
    </row>
    <row r="130" spans="1:57" outlineLevel="1" x14ac:dyDescent="0.25">
      <c r="A130" s="394">
        <f>ROW()</f>
        <v>130</v>
      </c>
      <c r="B130" s="365"/>
      <c r="C130" s="402">
        <v>45291</v>
      </c>
      <c r="D130" s="1906"/>
      <c r="BA130" s="80">
        <f>+'SEF-33 pg 1-2'!K24</f>
        <v>7.6499999999999999E-2</v>
      </c>
      <c r="BB130" s="80">
        <f>+'SEF-33 pg 1-2'!K24</f>
        <v>7.6499999999999999E-2</v>
      </c>
      <c r="BC130" s="82" t="s">
        <v>41</v>
      </c>
      <c r="BD130" s="356"/>
      <c r="BE130" s="82"/>
    </row>
    <row r="131" spans="1:57" outlineLevel="1" x14ac:dyDescent="0.25">
      <c r="A131" s="394">
        <f>ROW()</f>
        <v>131</v>
      </c>
      <c r="B131" s="395" t="s">
        <v>154</v>
      </c>
      <c r="C131" s="402">
        <v>45291</v>
      </c>
      <c r="D131" s="1906"/>
      <c r="E131" s="429">
        <f>ROUND('SEF-36 pg 1-33, 37'!G$71-E108,0)+E110</f>
        <v>0</v>
      </c>
      <c r="F131" s="429">
        <f>ROUND('SEF-36 pg 1-33, 37'!Y$65-F108,0)+F110</f>
        <v>0</v>
      </c>
      <c r="G131" s="429">
        <f>ROUND('SEF-36 pg 1-33, 37'!AQ$30-G108,0)+G110</f>
        <v>0</v>
      </c>
      <c r="H131" s="429">
        <f>ROUND('SEF-36 pg 1-33, 37'!BI$22-H108,0)+ROUND('SEF-36 pg 1-33, 37'!BI$24-H110,0)</f>
        <v>0</v>
      </c>
      <c r="I131" s="429">
        <f>ROUND('SEF-36 pg 1-33, 37'!CA$24-I108,0)+I110</f>
        <v>0</v>
      </c>
      <c r="J131" s="429">
        <f>ROUND('SEF-36 pg 1-33, 37'!CS$20-J108,0)+J110</f>
        <v>0</v>
      </c>
      <c r="K131" s="429">
        <f>ROUND('SEF-36 pg 1-33, 37'!DK$22-K108,0)+K110</f>
        <v>0</v>
      </c>
      <c r="L131" s="429">
        <f>ROUND('SEF-36 pg 1-33, 37'!EC$21-L108,0)+L110</f>
        <v>0</v>
      </c>
      <c r="M131" s="429">
        <f>ROUND('SEF-36 pg 1-33, 37'!EU$27-M108,0)+M110</f>
        <v>0</v>
      </c>
      <c r="N131" s="429">
        <f>ROUND('SEF-36 pg 1-33, 37'!FM$23-N108,0)+N110</f>
        <v>0</v>
      </c>
      <c r="O131" s="429">
        <f>ROUND('SEF-36 pg 1-33, 37'!GE$32-O108,0)+O110</f>
        <v>0</v>
      </c>
      <c r="P131" s="429">
        <f>ROUND('SEF-36 pg 1-33, 37'!GW$36-P108,0)+P110</f>
        <v>0</v>
      </c>
      <c r="Q131" s="429">
        <f>ROUND('SEF-36 pg 1-33, 37'!HO$18-Q108,0)+Q110</f>
        <v>0</v>
      </c>
      <c r="R131" s="429">
        <f>ROUND('SEF-36 pg 1-33, 37'!IG$21-R108,0)+R110</f>
        <v>0</v>
      </c>
      <c r="S131" s="429">
        <f>ROUND('SEF-36 pg 1-33, 37'!IY$22-S108,0)+S110</f>
        <v>0</v>
      </c>
      <c r="T131" s="429">
        <f>ROUND('SEF-36 pg 1-33, 37'!JQ$23-T108,0)+T110</f>
        <v>0</v>
      </c>
      <c r="U131" s="429">
        <f>ROUND('SEF-36 pg 1-33, 37'!KI$20-U108,0)+U110</f>
        <v>0</v>
      </c>
      <c r="V131" s="429">
        <f>ROUND('SEF-36 pg 1-33, 37'!LA$33-V108,0)+V110</f>
        <v>0</v>
      </c>
      <c r="W131" s="429">
        <f>ROUND('SEF-36 pg 1-33, 37'!LS$22-W110,0)+W108</f>
        <v>0</v>
      </c>
      <c r="X131" s="429">
        <f>ROUND('SEF-36 pg 1-33, 37'!MK$31-X108,0)+ROUND('SEF-36 pg 1-33, 37'!MK$36-X110,0)</f>
        <v>0</v>
      </c>
      <c r="Y131" s="429">
        <f>ROUND('SEF-36 pg 1-33, 37'!NC$22-Y108,0)+Y110</f>
        <v>0</v>
      </c>
      <c r="Z131" s="429">
        <f>ROUND('SEF-36 pg 1-33, 37'!NU$31-Z108,0)+Z110</f>
        <v>0</v>
      </c>
      <c r="AA131" s="429">
        <f>ROUND('SEF-36 pg 1-33, 37'!OM$35-AA108,0)+ROUND('SEF-36 pg 1-33, 37'!OM$24-AA110,0)</f>
        <v>0</v>
      </c>
      <c r="AB131" s="429">
        <f>ROUND('SEF-36 pg 1-33, 37'!PE$53-AB108,0)+ROUND('SEF-36 pg 1-33, 37'!PE$35-AB110,0)</f>
        <v>0</v>
      </c>
      <c r="AC131" s="429">
        <f>ROUND('SEF-36 pg 1-33, 37'!PW$21-AC108,0)+AC110</f>
        <v>0</v>
      </c>
      <c r="AD131" s="429">
        <f>ROUND('SEF-36 pg 1-33, 37'!QP19-AD110,0)</f>
        <v>0</v>
      </c>
      <c r="AE131" s="429">
        <f>ROUND('SEF-36 pg 1-33, 37'!RH31-AE108,0)+ROUND('SEF-36 pg 1-33, 37'!RH36-AE110,0)</f>
        <v>0</v>
      </c>
      <c r="AF131" s="429">
        <f>ROUND('SEF-36 pg 1-33, 37'!RZ30-AF108,0)+ROUND('SEF-36 pg 1-33, 37'!RZ35-AF110,0)</f>
        <v>0</v>
      </c>
      <c r="AG131" s="429">
        <f>ROUND('SEF-36 pg 1-33, 37'!$SR$26-AG108,0)+ROUND('SEF-36 pg 1-33, 37'!$SR$31-AG110,0)</f>
        <v>0</v>
      </c>
      <c r="AH131" s="429">
        <f>ROUND('SEF-36 pg 1-33, 37'!$SR$44-AH108,0)+ROUND('SEF-36 pg 1-33, 37'!$SR$49-AH110,0)</f>
        <v>0</v>
      </c>
      <c r="AI131" s="429">
        <f>ROUND('SEF-36 pg 1-33, 37'!$SR$62-AI108,0)+ROUND('SEF-36 pg 1-33, 37'!$SR$67-AI110,0)</f>
        <v>0</v>
      </c>
      <c r="AJ131" s="429">
        <f>ROUND('SEF-36 pg 1-33, 37'!$SR$80-AJ108,0)+ROUND('SEF-36 pg 1-33, 37'!$SR$85-AJ110,0)</f>
        <v>0</v>
      </c>
      <c r="AK131" s="429">
        <f>ROUND('SEF-36 pg 1-33, 37'!UD38-AK108,0)</f>
        <v>0</v>
      </c>
      <c r="AL131" s="429">
        <f>ROUND('SEF-36 pg 1-33, 37'!UW$27-AL108,0)+ROUND('SEF-36 pg 1-33, 37'!UW$19-AL110,0)</f>
        <v>0</v>
      </c>
      <c r="AM131" s="429">
        <f>ROUND('SEF-36 pg 1-33, 37'!TK$25-AM108,0)</f>
        <v>0</v>
      </c>
      <c r="AN131" s="429">
        <f>ROUND('SEF-36 pg 1-33, 37'!VP$32-AN108,0)+ROUND(AN121-'SEF-36 pg 1-33, 37'!VP24,0)</f>
        <v>0</v>
      </c>
      <c r="AO131" s="429">
        <f>ROUND('SEF-36 pg 1-33, 37'!WE$27-AO108,0)</f>
        <v>0</v>
      </c>
      <c r="AP131" s="429">
        <f>ROUND('SEF-36 pg 34-36'!BI$49-AP110,0)+ROUND('SEF-36 pg 34-36'!BI$33-AP108,0)</f>
        <v>0</v>
      </c>
      <c r="AQ131" s="429">
        <f>ROUND('SEF-36 pg 34-36'!CA$47-AQ108,0)+ROUND('SEF-36 pg 34-36'!CA$27-AQ110,0)</f>
        <v>0</v>
      </c>
      <c r="AR131" s="429">
        <f>ROUND('SEF-36 pg 34-36'!CS22-AR108+'SEF-36 pg 34-36'!CS31-AR110,0)</f>
        <v>0</v>
      </c>
      <c r="AS131" s="1890"/>
      <c r="AT131" s="1890"/>
      <c r="AU131" s="1889"/>
      <c r="AV131" s="1888"/>
      <c r="AW131" s="1888"/>
      <c r="AX131" s="1888"/>
      <c r="AY131" s="1888"/>
      <c r="AZ131" s="1888"/>
      <c r="BA131" s="398"/>
      <c r="BB131" s="398"/>
      <c r="BC131" s="82" t="s">
        <v>41</v>
      </c>
      <c r="BE131" s="82"/>
    </row>
    <row r="132" spans="1:57" outlineLevel="1" x14ac:dyDescent="0.25">
      <c r="A132" s="394">
        <f>ROW()</f>
        <v>132</v>
      </c>
      <c r="B132" s="395" t="s">
        <v>155</v>
      </c>
      <c r="C132" s="402">
        <v>45291</v>
      </c>
      <c r="D132" s="1906"/>
      <c r="BA132" s="429"/>
      <c r="BB132" s="429">
        <f>'SEF-34 pg 1'!G47-BB108</f>
        <v>0</v>
      </c>
      <c r="BC132" s="1919" t="s">
        <v>41</v>
      </c>
      <c r="BE132" s="82"/>
    </row>
    <row r="133" spans="1:57" outlineLevel="1" x14ac:dyDescent="0.25">
      <c r="A133" s="394">
        <f>ROW()</f>
        <v>133</v>
      </c>
      <c r="B133" s="395" t="s">
        <v>156</v>
      </c>
      <c r="C133" s="402">
        <v>45291</v>
      </c>
      <c r="D133" s="1906"/>
      <c r="BA133" s="429"/>
      <c r="BB133" s="1938">
        <f>'SEF-34 pg 1'!G58-BB121</f>
        <v>0</v>
      </c>
      <c r="BC133" s="1919" t="s">
        <v>41</v>
      </c>
      <c r="BE133" s="82"/>
    </row>
    <row r="134" spans="1:57" x14ac:dyDescent="0.25">
      <c r="A134" s="394">
        <f>ROW()</f>
        <v>134</v>
      </c>
      <c r="B134" s="461"/>
      <c r="C134" s="350"/>
      <c r="D134" s="1906"/>
      <c r="BA134" s="1936"/>
      <c r="BB134" s="1904"/>
      <c r="BC134" s="82" t="s">
        <v>41</v>
      </c>
      <c r="BE134" s="82"/>
    </row>
    <row r="135" spans="1:57" outlineLevel="1" x14ac:dyDescent="0.25">
      <c r="A135" s="394">
        <f>ROW()</f>
        <v>135</v>
      </c>
      <c r="B135" s="399"/>
      <c r="C135" s="1246" t="s">
        <v>158</v>
      </c>
      <c r="D135" s="1906"/>
      <c r="E135" s="326">
        <v>45627</v>
      </c>
      <c r="F135" s="326">
        <v>45627</v>
      </c>
      <c r="G135" s="326">
        <v>45627</v>
      </c>
      <c r="H135" s="326">
        <v>45627</v>
      </c>
      <c r="I135" s="326">
        <v>45627</v>
      </c>
      <c r="J135" s="326">
        <v>45627</v>
      </c>
      <c r="K135" s="326">
        <v>45627</v>
      </c>
      <c r="L135" s="326">
        <v>45627</v>
      </c>
      <c r="M135" s="326">
        <v>45627</v>
      </c>
      <c r="N135" s="326">
        <v>45627</v>
      </c>
      <c r="O135" s="326">
        <v>45627</v>
      </c>
      <c r="P135" s="326">
        <v>45627</v>
      </c>
      <c r="Q135" s="326">
        <v>45627</v>
      </c>
      <c r="R135" s="326">
        <v>45627</v>
      </c>
      <c r="S135" s="326">
        <v>45627</v>
      </c>
      <c r="T135" s="326">
        <v>45627</v>
      </c>
      <c r="U135" s="326">
        <v>45627</v>
      </c>
      <c r="V135" s="326">
        <v>45627</v>
      </c>
      <c r="W135" s="326">
        <v>45627</v>
      </c>
      <c r="X135" s="326">
        <v>45627</v>
      </c>
      <c r="Y135" s="326">
        <v>45627</v>
      </c>
      <c r="Z135" s="326">
        <v>45627</v>
      </c>
      <c r="AA135" s="326">
        <v>45627</v>
      </c>
      <c r="AB135" s="326">
        <v>45627</v>
      </c>
      <c r="AC135" s="326">
        <v>45627</v>
      </c>
      <c r="AD135" s="326">
        <v>45627</v>
      </c>
      <c r="AE135" s="326">
        <v>45627</v>
      </c>
      <c r="AF135" s="326">
        <v>45627</v>
      </c>
      <c r="AG135" s="326">
        <v>45627</v>
      </c>
      <c r="AH135" s="326">
        <v>45627</v>
      </c>
      <c r="AI135" s="326">
        <v>45627</v>
      </c>
      <c r="AJ135" s="326">
        <v>45627</v>
      </c>
      <c r="AK135" s="326">
        <v>45627</v>
      </c>
      <c r="AL135" s="326">
        <v>45627</v>
      </c>
      <c r="AM135" s="326">
        <v>45627</v>
      </c>
      <c r="AN135" s="326">
        <v>45627</v>
      </c>
      <c r="AO135" s="326">
        <v>45627</v>
      </c>
      <c r="AP135" s="326">
        <v>45627</v>
      </c>
      <c r="AQ135" s="326">
        <v>45627</v>
      </c>
      <c r="AR135" s="326">
        <v>45627</v>
      </c>
      <c r="AS135" s="326">
        <v>45627</v>
      </c>
      <c r="AT135" s="326">
        <v>45627</v>
      </c>
      <c r="AU135" s="326">
        <v>45627</v>
      </c>
      <c r="AV135" s="326">
        <v>45627</v>
      </c>
      <c r="AW135" s="326">
        <v>45627</v>
      </c>
      <c r="AX135" s="326">
        <v>45627</v>
      </c>
      <c r="AY135" s="326">
        <v>45627</v>
      </c>
      <c r="AZ135" s="326">
        <v>45627</v>
      </c>
      <c r="BA135" s="1937">
        <v>45627</v>
      </c>
      <c r="BB135" s="1905">
        <v>45627</v>
      </c>
      <c r="BC135" s="82" t="s">
        <v>41</v>
      </c>
      <c r="BE135" s="82"/>
    </row>
    <row r="136" spans="1:57" outlineLevel="1" x14ac:dyDescent="0.25">
      <c r="A136" s="394">
        <f>ROW()</f>
        <v>136</v>
      </c>
      <c r="B136" s="399"/>
      <c r="C136" s="1289">
        <v>2024</v>
      </c>
      <c r="D136" s="1904"/>
      <c r="E136" s="1249"/>
      <c r="F136" s="1249"/>
      <c r="G136" s="1249"/>
      <c r="H136" s="1249"/>
      <c r="I136" s="1249"/>
      <c r="J136" s="1249"/>
      <c r="K136" s="1249"/>
      <c r="L136" s="1249"/>
      <c r="M136" s="1249"/>
      <c r="N136" s="1249"/>
      <c r="O136" s="1249"/>
      <c r="P136" s="1249"/>
      <c r="Q136" s="1249"/>
      <c r="R136" s="1249"/>
      <c r="S136" s="1249"/>
      <c r="T136" s="1249"/>
      <c r="U136" s="1249"/>
      <c r="V136" s="1249"/>
      <c r="W136" s="1249"/>
      <c r="X136" s="1249"/>
      <c r="Y136" s="1249"/>
      <c r="Z136" s="1249"/>
      <c r="AA136" s="1249"/>
      <c r="AB136" s="1249"/>
      <c r="AC136" s="1249"/>
      <c r="AD136" s="1249"/>
      <c r="AE136" s="1249"/>
      <c r="AF136" s="1249"/>
      <c r="AG136" s="1249"/>
      <c r="AH136" s="1249"/>
      <c r="AI136" s="1249"/>
      <c r="AJ136" s="1249"/>
      <c r="AK136" s="1249"/>
      <c r="AL136" s="1249"/>
      <c r="AM136" s="1249"/>
      <c r="AN136" s="1249"/>
      <c r="AO136" s="1249"/>
      <c r="AP136" s="1249"/>
      <c r="AQ136" s="1249"/>
      <c r="AR136" s="1249"/>
      <c r="AS136" s="1249"/>
      <c r="AT136" s="1249"/>
      <c r="AU136" s="1249"/>
      <c r="AV136" s="1249"/>
      <c r="AW136" s="1249"/>
      <c r="AX136" s="1249"/>
      <c r="AY136" s="1249"/>
      <c r="AZ136" s="1249"/>
      <c r="BA136" s="1936"/>
      <c r="BB136" s="1904"/>
      <c r="BC136" s="82" t="s">
        <v>41</v>
      </c>
      <c r="BE136" s="82"/>
    </row>
    <row r="137" spans="1:57" outlineLevel="1" x14ac:dyDescent="0.25">
      <c r="A137" s="394">
        <f>ROW()</f>
        <v>137</v>
      </c>
      <c r="B137" s="349" t="s">
        <v>81</v>
      </c>
      <c r="C137" s="350" t="s">
        <v>159</v>
      </c>
      <c r="D137" s="366"/>
      <c r="BA137" s="1935"/>
      <c r="BB137" s="352"/>
      <c r="BC137" s="82" t="s">
        <v>41</v>
      </c>
      <c r="BE137" s="82"/>
    </row>
    <row r="138" spans="1:57" outlineLevel="1" x14ac:dyDescent="0.25">
      <c r="A138" s="394">
        <f>ROW()</f>
        <v>138</v>
      </c>
      <c r="B138" s="349" t="s">
        <v>82</v>
      </c>
      <c r="C138" s="350" t="s">
        <v>159</v>
      </c>
      <c r="D138" s="352">
        <f>+BB77</f>
        <v>553786176.89101946</v>
      </c>
      <c r="E138" s="407">
        <f>'SEF-36 pg 1-33, 37'!I37</f>
        <v>-10379439.36891593</v>
      </c>
      <c r="F138" s="407"/>
      <c r="G138" s="407"/>
      <c r="H138" s="407"/>
      <c r="I138" s="407"/>
      <c r="J138" s="353"/>
      <c r="K138" s="353"/>
      <c r="L138" s="353"/>
      <c r="M138" s="353"/>
      <c r="N138" s="353"/>
      <c r="O138" s="353"/>
      <c r="P138" s="353"/>
      <c r="Q138" s="353"/>
      <c r="R138" s="353"/>
      <c r="S138" s="353"/>
      <c r="T138" s="353"/>
      <c r="U138" s="353"/>
      <c r="V138" s="353"/>
      <c r="W138" s="353"/>
      <c r="X138" s="353"/>
      <c r="Y138" s="353"/>
      <c r="Z138" s="353"/>
      <c r="AA138" s="353"/>
      <c r="AB138" s="353"/>
      <c r="AC138" s="353"/>
      <c r="AD138" s="353"/>
      <c r="AE138" s="353"/>
      <c r="AF138" s="353"/>
      <c r="AG138" s="353"/>
      <c r="AH138" s="353"/>
      <c r="AI138" s="353"/>
      <c r="AJ138" s="353"/>
      <c r="AK138" s="353"/>
      <c r="AL138" s="353"/>
      <c r="AM138" s="407"/>
      <c r="AN138" s="353"/>
      <c r="AO138" s="353"/>
      <c r="AP138" s="353"/>
      <c r="AQ138" s="353"/>
      <c r="AR138" s="353"/>
      <c r="AS138" s="353"/>
      <c r="AT138" s="353"/>
      <c r="AU138" s="353"/>
      <c r="AV138" s="353"/>
      <c r="AW138" s="353"/>
      <c r="AX138" s="353"/>
      <c r="AY138" s="353"/>
      <c r="AZ138" s="353"/>
      <c r="BA138" s="1935">
        <f>SUM(E138:AZ138)</f>
        <v>-10379439.36891593</v>
      </c>
      <c r="BB138" s="352">
        <f>+BA138+BB77</f>
        <v>543406737.52210355</v>
      </c>
      <c r="BC138" s="82" t="s">
        <v>41</v>
      </c>
      <c r="BD138" s="356"/>
      <c r="BE138" s="82"/>
    </row>
    <row r="139" spans="1:57" outlineLevel="1" x14ac:dyDescent="0.25">
      <c r="A139" s="394">
        <f>ROW()</f>
        <v>139</v>
      </c>
      <c r="B139" s="349" t="s">
        <v>83</v>
      </c>
      <c r="C139" s="350" t="s">
        <v>159</v>
      </c>
      <c r="D139" s="357">
        <f>+BB78</f>
        <v>0</v>
      </c>
      <c r="E139" s="408"/>
      <c r="F139" s="408"/>
      <c r="G139" s="408"/>
      <c r="H139" s="408"/>
      <c r="I139" s="40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  <c r="AA139" s="358"/>
      <c r="AB139" s="358"/>
      <c r="AC139" s="358"/>
      <c r="AD139" s="358"/>
      <c r="AE139" s="358"/>
      <c r="AF139" s="358"/>
      <c r="AG139" s="358"/>
      <c r="AH139" s="358"/>
      <c r="AI139" s="358"/>
      <c r="AJ139" s="358"/>
      <c r="AK139" s="358"/>
      <c r="AL139" s="358"/>
      <c r="AM139" s="408"/>
      <c r="AN139" s="358"/>
      <c r="AO139" s="358"/>
      <c r="AP139" s="358"/>
      <c r="AQ139" s="358"/>
      <c r="AR139" s="358"/>
      <c r="AS139" s="358"/>
      <c r="AT139" s="358"/>
      <c r="AU139" s="358"/>
      <c r="AV139" s="358"/>
      <c r="AW139" s="358"/>
      <c r="AX139" s="358"/>
      <c r="AY139" s="358"/>
      <c r="AZ139" s="358"/>
      <c r="BA139" s="1924">
        <f>SUM(E139:AZ139)</f>
        <v>0</v>
      </c>
      <c r="BB139" s="357">
        <f>+BA139+BB78</f>
        <v>0</v>
      </c>
      <c r="BC139" s="82" t="s">
        <v>41</v>
      </c>
      <c r="BD139" s="356"/>
      <c r="BE139" s="82"/>
    </row>
    <row r="140" spans="1:57" outlineLevel="1" x14ac:dyDescent="0.25">
      <c r="A140" s="394">
        <f>ROW()</f>
        <v>140</v>
      </c>
      <c r="B140" s="349" t="s">
        <v>84</v>
      </c>
      <c r="C140" s="350" t="s">
        <v>159</v>
      </c>
      <c r="D140" s="357">
        <f>+BB79</f>
        <v>0</v>
      </c>
      <c r="E140" s="408"/>
      <c r="F140" s="408"/>
      <c r="G140" s="408"/>
      <c r="H140" s="408"/>
      <c r="I140" s="40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  <c r="AA140" s="358"/>
      <c r="AB140" s="358"/>
      <c r="AC140" s="358"/>
      <c r="AD140" s="358"/>
      <c r="AE140" s="358"/>
      <c r="AF140" s="358"/>
      <c r="AG140" s="358"/>
      <c r="AH140" s="358"/>
      <c r="AI140" s="358"/>
      <c r="AJ140" s="358"/>
      <c r="AK140" s="358"/>
      <c r="AL140" s="358"/>
      <c r="AM140" s="408"/>
      <c r="AN140" s="358"/>
      <c r="AO140" s="358"/>
      <c r="AP140" s="358"/>
      <c r="AQ140" s="358"/>
      <c r="AR140" s="358"/>
      <c r="AS140" s="358"/>
      <c r="AT140" s="358"/>
      <c r="AU140" s="358"/>
      <c r="AV140" s="358"/>
      <c r="AW140" s="358"/>
      <c r="AX140" s="358"/>
      <c r="AY140" s="358"/>
      <c r="AZ140" s="358"/>
      <c r="BA140" s="1924">
        <f>SUM(E140:AZ140)</f>
        <v>0</v>
      </c>
      <c r="BB140" s="357">
        <f>+BA140+BB79</f>
        <v>0</v>
      </c>
      <c r="BC140" s="82" t="s">
        <v>41</v>
      </c>
      <c r="BD140" s="356"/>
      <c r="BE140" s="82"/>
    </row>
    <row r="141" spans="1:57" outlineLevel="1" x14ac:dyDescent="0.25">
      <c r="A141" s="394">
        <f>ROW()</f>
        <v>141</v>
      </c>
      <c r="B141" s="349" t="s">
        <v>85</v>
      </c>
      <c r="C141" s="350" t="s">
        <v>159</v>
      </c>
      <c r="D141" s="357">
        <f>+BB80</f>
        <v>-561667.03829758987</v>
      </c>
      <c r="E141" s="408"/>
      <c r="F141" s="408"/>
      <c r="G141" s="408"/>
      <c r="H141" s="408"/>
      <c r="I141" s="40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  <c r="AA141" s="358"/>
      <c r="AB141" s="358"/>
      <c r="AC141" s="358"/>
      <c r="AD141" s="358"/>
      <c r="AE141" s="358"/>
      <c r="AF141" s="358"/>
      <c r="AG141" s="358"/>
      <c r="AH141" s="358"/>
      <c r="AI141" s="358"/>
      <c r="AJ141" s="358"/>
      <c r="AK141" s="358"/>
      <c r="AL141" s="358"/>
      <c r="AM141" s="408"/>
      <c r="AN141" s="358"/>
      <c r="AO141" s="358"/>
      <c r="AP141" s="358"/>
      <c r="AQ141" s="358">
        <f>-'SEF-36 pg 34-36'!CC33-'SEF-36 pg 34-36'!CC36</f>
        <v>-43122.744148794794</v>
      </c>
      <c r="AR141" s="358"/>
      <c r="AS141" s="358"/>
      <c r="AT141" s="358"/>
      <c r="AU141" s="358"/>
      <c r="AV141" s="358"/>
      <c r="AW141" s="358"/>
      <c r="AX141" s="358"/>
      <c r="AY141" s="358"/>
      <c r="AZ141" s="358"/>
      <c r="BA141" s="1924">
        <f>SUM(E141:AZ141)</f>
        <v>-43122.744148794794</v>
      </c>
      <c r="BB141" s="357">
        <f>+BA141+BB80</f>
        <v>-604789.78244638466</v>
      </c>
      <c r="BC141" s="82" t="s">
        <v>41</v>
      </c>
      <c r="BD141" s="356"/>
      <c r="BE141" s="82"/>
    </row>
    <row r="142" spans="1:57" outlineLevel="1" x14ac:dyDescent="0.25">
      <c r="A142" s="394">
        <f>ROW()</f>
        <v>142</v>
      </c>
      <c r="B142" s="349" t="s">
        <v>86</v>
      </c>
      <c r="C142" s="350" t="s">
        <v>159</v>
      </c>
      <c r="D142" s="1917">
        <f t="shared" ref="D142:AS142" si="35">SUM(D138:D141)</f>
        <v>553224509.85272193</v>
      </c>
      <c r="E142" s="410">
        <f t="shared" si="35"/>
        <v>-10379439.36891593</v>
      </c>
      <c r="F142" s="410">
        <f t="shared" si="35"/>
        <v>0</v>
      </c>
      <c r="G142" s="410">
        <f t="shared" si="35"/>
        <v>0</v>
      </c>
      <c r="H142" s="410">
        <f t="shared" si="35"/>
        <v>0</v>
      </c>
      <c r="I142" s="410">
        <f t="shared" si="35"/>
        <v>0</v>
      </c>
      <c r="J142" s="360">
        <f t="shared" si="35"/>
        <v>0</v>
      </c>
      <c r="K142" s="360">
        <f t="shared" si="35"/>
        <v>0</v>
      </c>
      <c r="L142" s="360">
        <f t="shared" si="35"/>
        <v>0</v>
      </c>
      <c r="M142" s="360">
        <f t="shared" si="35"/>
        <v>0</v>
      </c>
      <c r="N142" s="360">
        <f t="shared" si="35"/>
        <v>0</v>
      </c>
      <c r="O142" s="360">
        <f t="shared" si="35"/>
        <v>0</v>
      </c>
      <c r="P142" s="360">
        <f t="shared" si="35"/>
        <v>0</v>
      </c>
      <c r="Q142" s="360">
        <f t="shared" si="35"/>
        <v>0</v>
      </c>
      <c r="R142" s="360">
        <f t="shared" si="35"/>
        <v>0</v>
      </c>
      <c r="S142" s="360">
        <f t="shared" si="35"/>
        <v>0</v>
      </c>
      <c r="T142" s="360">
        <f t="shared" si="35"/>
        <v>0</v>
      </c>
      <c r="U142" s="360">
        <f t="shared" si="35"/>
        <v>0</v>
      </c>
      <c r="V142" s="360">
        <f t="shared" si="35"/>
        <v>0</v>
      </c>
      <c r="W142" s="360">
        <f t="shared" si="35"/>
        <v>0</v>
      </c>
      <c r="X142" s="360">
        <f t="shared" si="35"/>
        <v>0</v>
      </c>
      <c r="Y142" s="360">
        <f t="shared" si="35"/>
        <v>0</v>
      </c>
      <c r="Z142" s="360">
        <f t="shared" si="35"/>
        <v>0</v>
      </c>
      <c r="AA142" s="360">
        <f t="shared" si="35"/>
        <v>0</v>
      </c>
      <c r="AB142" s="360">
        <f t="shared" si="35"/>
        <v>0</v>
      </c>
      <c r="AC142" s="360">
        <f t="shared" si="35"/>
        <v>0</v>
      </c>
      <c r="AD142" s="360">
        <f t="shared" si="35"/>
        <v>0</v>
      </c>
      <c r="AE142" s="360">
        <f t="shared" si="35"/>
        <v>0</v>
      </c>
      <c r="AF142" s="360">
        <f t="shared" si="35"/>
        <v>0</v>
      </c>
      <c r="AG142" s="360">
        <f t="shared" si="35"/>
        <v>0</v>
      </c>
      <c r="AH142" s="360">
        <f t="shared" si="35"/>
        <v>0</v>
      </c>
      <c r="AI142" s="360">
        <f t="shared" si="35"/>
        <v>0</v>
      </c>
      <c r="AJ142" s="360">
        <f t="shared" si="35"/>
        <v>0</v>
      </c>
      <c r="AK142" s="360">
        <f t="shared" si="35"/>
        <v>0</v>
      </c>
      <c r="AL142" s="360">
        <f t="shared" si="35"/>
        <v>0</v>
      </c>
      <c r="AM142" s="410">
        <f t="shared" si="35"/>
        <v>0</v>
      </c>
      <c r="AN142" s="410">
        <f t="shared" si="35"/>
        <v>0</v>
      </c>
      <c r="AO142" s="410">
        <f t="shared" si="35"/>
        <v>0</v>
      </c>
      <c r="AP142" s="360">
        <f t="shared" si="35"/>
        <v>0</v>
      </c>
      <c r="AQ142" s="360">
        <f t="shared" si="35"/>
        <v>-43122.744148794794</v>
      </c>
      <c r="AR142" s="360">
        <f t="shared" si="35"/>
        <v>0</v>
      </c>
      <c r="AS142" s="360">
        <f t="shared" si="35"/>
        <v>0</v>
      </c>
      <c r="AT142" s="360"/>
      <c r="AU142" s="360"/>
      <c r="AV142" s="360"/>
      <c r="AW142" s="360"/>
      <c r="AX142" s="360"/>
      <c r="AY142" s="360"/>
      <c r="AZ142" s="360"/>
      <c r="BA142" s="1934">
        <f>SUM(BA138:BA141)</f>
        <v>-10422562.113064725</v>
      </c>
      <c r="BB142" s="1917">
        <f>SUM(BB138:BB141)</f>
        <v>542801947.73965716</v>
      </c>
      <c r="BC142" s="82" t="s">
        <v>41</v>
      </c>
      <c r="BD142" s="356"/>
      <c r="BE142" s="82"/>
    </row>
    <row r="143" spans="1:57" outlineLevel="1" x14ac:dyDescent="0.25">
      <c r="A143" s="394">
        <f>ROW()</f>
        <v>143</v>
      </c>
      <c r="B143" s="363"/>
      <c r="C143" s="350" t="s">
        <v>159</v>
      </c>
      <c r="D143" s="357"/>
      <c r="E143" s="408"/>
      <c r="F143" s="408"/>
      <c r="G143" s="408"/>
      <c r="H143" s="408"/>
      <c r="I143" s="408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  <c r="AA143" s="358"/>
      <c r="AB143" s="358"/>
      <c r="AC143" s="358"/>
      <c r="AD143" s="358"/>
      <c r="AE143" s="358"/>
      <c r="AF143" s="358"/>
      <c r="AG143" s="358"/>
      <c r="AH143" s="358"/>
      <c r="AI143" s="358"/>
      <c r="AJ143" s="358"/>
      <c r="AK143" s="358"/>
      <c r="AL143" s="358"/>
      <c r="AM143" s="408"/>
      <c r="AN143" s="358"/>
      <c r="AO143" s="358"/>
      <c r="AP143" s="358"/>
      <c r="AQ143" s="358"/>
      <c r="AR143" s="358"/>
      <c r="AS143" s="358"/>
      <c r="AT143" s="358"/>
      <c r="AU143" s="358"/>
      <c r="AV143" s="358"/>
      <c r="AW143" s="358"/>
      <c r="AX143" s="358"/>
      <c r="AY143" s="358"/>
      <c r="AZ143" s="358"/>
      <c r="BA143" s="1924"/>
      <c r="BB143" s="357"/>
      <c r="BC143" s="82" t="s">
        <v>41</v>
      </c>
      <c r="BD143" s="356"/>
      <c r="BE143" s="82"/>
    </row>
    <row r="144" spans="1:57" outlineLevel="1" x14ac:dyDescent="0.25">
      <c r="A144" s="394">
        <f>ROW()</f>
        <v>144</v>
      </c>
      <c r="B144" s="349" t="s">
        <v>87</v>
      </c>
      <c r="C144" s="350" t="s">
        <v>159</v>
      </c>
      <c r="D144" s="351"/>
      <c r="E144" s="411"/>
      <c r="F144" s="411"/>
      <c r="G144" s="411"/>
      <c r="H144" s="411"/>
      <c r="I144" s="411"/>
      <c r="AM144" s="411"/>
      <c r="BA144" s="1918"/>
      <c r="BB144" s="351"/>
      <c r="BC144" s="82" t="s">
        <v>41</v>
      </c>
      <c r="BD144" s="356"/>
      <c r="BE144" s="82"/>
    </row>
    <row r="145" spans="1:57" outlineLevel="1" x14ac:dyDescent="0.25">
      <c r="A145" s="394">
        <f>ROW()</f>
        <v>145</v>
      </c>
      <c r="B145" s="365"/>
      <c r="C145" s="350" t="s">
        <v>159</v>
      </c>
      <c r="D145" s="351"/>
      <c r="E145" s="411"/>
      <c r="F145" s="411"/>
      <c r="G145" s="411"/>
      <c r="H145" s="411"/>
      <c r="I145" s="411"/>
      <c r="AM145" s="411"/>
      <c r="BA145" s="1918"/>
      <c r="BB145" s="351"/>
      <c r="BC145" s="82" t="s">
        <v>41</v>
      </c>
      <c r="BD145" s="356"/>
      <c r="BE145" s="82"/>
    </row>
    <row r="146" spans="1:57" outlineLevel="1" x14ac:dyDescent="0.25">
      <c r="A146" s="394">
        <f>ROW()</f>
        <v>146</v>
      </c>
      <c r="B146" s="349" t="s">
        <v>88</v>
      </c>
      <c r="C146" s="350" t="s">
        <v>159</v>
      </c>
      <c r="D146" s="351"/>
      <c r="E146" s="411"/>
      <c r="F146" s="411"/>
      <c r="G146" s="411"/>
      <c r="H146" s="411"/>
      <c r="I146" s="411"/>
      <c r="AM146" s="411"/>
      <c r="BA146" s="1918"/>
      <c r="BB146" s="351"/>
      <c r="BC146" s="82" t="s">
        <v>41</v>
      </c>
      <c r="BD146" s="356"/>
      <c r="BE146" s="82"/>
    </row>
    <row r="147" spans="1:57" outlineLevel="1" x14ac:dyDescent="0.25">
      <c r="A147" s="394">
        <f>ROW()</f>
        <v>147</v>
      </c>
      <c r="B147" s="349" t="s">
        <v>89</v>
      </c>
      <c r="C147" s="350" t="s">
        <v>159</v>
      </c>
      <c r="D147" s="366">
        <f>+BB86</f>
        <v>0</v>
      </c>
      <c r="E147" s="412"/>
      <c r="F147" s="412"/>
      <c r="G147" s="412"/>
      <c r="H147" s="412"/>
      <c r="I147" s="412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356"/>
      <c r="AJ147" s="356"/>
      <c r="AK147" s="356"/>
      <c r="AL147" s="356"/>
      <c r="AM147" s="412"/>
      <c r="AN147" s="356"/>
      <c r="AO147" s="356"/>
      <c r="AP147" s="356"/>
      <c r="AQ147" s="356"/>
      <c r="AR147" s="356"/>
      <c r="AS147" s="356"/>
      <c r="AT147" s="356"/>
      <c r="AU147" s="356"/>
      <c r="AV147" s="356"/>
      <c r="AW147" s="356"/>
      <c r="AX147" s="356"/>
      <c r="AY147" s="356"/>
      <c r="AZ147" s="356"/>
      <c r="BA147" s="1929">
        <f>SUM(E147:AZ147)</f>
        <v>0</v>
      </c>
      <c r="BB147" s="366">
        <f>+BA147+BB86</f>
        <v>0</v>
      </c>
      <c r="BC147" s="82" t="s">
        <v>41</v>
      </c>
      <c r="BD147" s="356"/>
      <c r="BE147" s="82"/>
    </row>
    <row r="148" spans="1:57" outlineLevel="1" x14ac:dyDescent="0.25">
      <c r="A148" s="394">
        <f>ROW()</f>
        <v>148</v>
      </c>
      <c r="B148" s="349" t="s">
        <v>90</v>
      </c>
      <c r="C148" s="350" t="s">
        <v>159</v>
      </c>
      <c r="D148" s="357">
        <f>+BB87</f>
        <v>0</v>
      </c>
      <c r="E148" s="408"/>
      <c r="F148" s="408"/>
      <c r="G148" s="408"/>
      <c r="H148" s="408"/>
      <c r="I148" s="408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  <c r="AA148" s="358"/>
      <c r="AB148" s="358"/>
      <c r="AC148" s="358"/>
      <c r="AD148" s="358"/>
      <c r="AE148" s="358"/>
      <c r="AF148" s="358"/>
      <c r="AG148" s="358"/>
      <c r="AH148" s="358"/>
      <c r="AI148" s="358"/>
      <c r="AJ148" s="358"/>
      <c r="AK148" s="358"/>
      <c r="AL148" s="358"/>
      <c r="AM148" s="408"/>
      <c r="AN148" s="358"/>
      <c r="AO148" s="358"/>
      <c r="AP148" s="358"/>
      <c r="AQ148" s="358"/>
      <c r="AR148" s="358"/>
      <c r="AS148" s="358"/>
      <c r="AT148" s="358"/>
      <c r="AU148" s="358"/>
      <c r="AV148" s="358"/>
      <c r="AW148" s="358"/>
      <c r="AX148" s="358"/>
      <c r="AY148" s="358"/>
      <c r="AZ148" s="358"/>
      <c r="BA148" s="1924">
        <f>SUM(E148:AZ148)</f>
        <v>0</v>
      </c>
      <c r="BB148" s="357">
        <f>+BA148+BB87</f>
        <v>0</v>
      </c>
      <c r="BC148" s="82" t="s">
        <v>41</v>
      </c>
      <c r="BD148" s="356"/>
      <c r="BE148" s="82"/>
    </row>
    <row r="149" spans="1:57" outlineLevel="1" x14ac:dyDescent="0.25">
      <c r="A149" s="394">
        <f>ROW()</f>
        <v>149</v>
      </c>
      <c r="B149" s="349" t="s">
        <v>91</v>
      </c>
      <c r="C149" s="350" t="s">
        <v>159</v>
      </c>
      <c r="D149" s="357">
        <f>+BB88</f>
        <v>0</v>
      </c>
      <c r="E149" s="408"/>
      <c r="F149" s="408"/>
      <c r="G149" s="408"/>
      <c r="H149" s="408"/>
      <c r="I149" s="408"/>
      <c r="J149" s="358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  <c r="AA149" s="358"/>
      <c r="AB149" s="358"/>
      <c r="AC149" s="358"/>
      <c r="AD149" s="358"/>
      <c r="AE149" s="358"/>
      <c r="AF149" s="358"/>
      <c r="AG149" s="358"/>
      <c r="AH149" s="358"/>
      <c r="AI149" s="358"/>
      <c r="AJ149" s="358"/>
      <c r="AK149" s="358"/>
      <c r="AL149" s="358"/>
      <c r="AM149" s="408"/>
      <c r="AN149" s="358"/>
      <c r="AO149" s="358"/>
      <c r="AP149" s="358"/>
      <c r="AQ149" s="358"/>
      <c r="AR149" s="358"/>
      <c r="AS149" s="358"/>
      <c r="AT149" s="358"/>
      <c r="AU149" s="358"/>
      <c r="AV149" s="358"/>
      <c r="AW149" s="358"/>
      <c r="AX149" s="358"/>
      <c r="AY149" s="358"/>
      <c r="AZ149" s="358"/>
      <c r="BA149" s="1924">
        <f>SUM(E149:AZ149)</f>
        <v>0</v>
      </c>
      <c r="BB149" s="357">
        <f>+BA149+BB88</f>
        <v>0</v>
      </c>
      <c r="BC149" s="82" t="s">
        <v>41</v>
      </c>
      <c r="BD149" s="356"/>
      <c r="BE149" s="82"/>
    </row>
    <row r="150" spans="1:57" outlineLevel="1" x14ac:dyDescent="0.25">
      <c r="A150" s="394">
        <f>ROW()</f>
        <v>150</v>
      </c>
      <c r="B150" s="365" t="s">
        <v>92</v>
      </c>
      <c r="C150" s="350" t="s">
        <v>159</v>
      </c>
      <c r="D150" s="357">
        <f>+BB89</f>
        <v>0</v>
      </c>
      <c r="E150" s="408"/>
      <c r="F150" s="408"/>
      <c r="G150" s="408"/>
      <c r="H150" s="408"/>
      <c r="I150" s="408"/>
      <c r="J150" s="358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  <c r="AA150" s="358"/>
      <c r="AB150" s="358"/>
      <c r="AC150" s="358"/>
      <c r="AD150" s="358"/>
      <c r="AE150" s="358"/>
      <c r="AF150" s="358"/>
      <c r="AG150" s="358"/>
      <c r="AH150" s="358"/>
      <c r="AI150" s="358"/>
      <c r="AJ150" s="358"/>
      <c r="AK150" s="358"/>
      <c r="AL150" s="358"/>
      <c r="AM150" s="408"/>
      <c r="AN150" s="358"/>
      <c r="AO150" s="358"/>
      <c r="AP150" s="358"/>
      <c r="AQ150" s="358"/>
      <c r="AR150" s="358"/>
      <c r="AS150" s="358"/>
      <c r="AT150" s="358"/>
      <c r="AU150" s="358"/>
      <c r="AV150" s="358"/>
      <c r="AW150" s="358"/>
      <c r="AX150" s="358"/>
      <c r="AY150" s="358"/>
      <c r="AZ150" s="358"/>
      <c r="BA150" s="1924">
        <f>SUM(E150:AZ150)</f>
        <v>0</v>
      </c>
      <c r="BB150" s="357">
        <f>+BA150+BB89</f>
        <v>0</v>
      </c>
      <c r="BC150" s="82" t="s">
        <v>41</v>
      </c>
      <c r="BD150" s="356"/>
      <c r="BE150" s="82"/>
    </row>
    <row r="151" spans="1:57" outlineLevel="1" x14ac:dyDescent="0.25">
      <c r="A151" s="394">
        <f>ROW()</f>
        <v>151</v>
      </c>
      <c r="B151" s="349" t="s">
        <v>93</v>
      </c>
      <c r="C151" s="350" t="s">
        <v>159</v>
      </c>
      <c r="D151" s="1915">
        <f t="shared" ref="D151:AS151" si="36">SUM(D146:D150)</f>
        <v>0</v>
      </c>
      <c r="E151" s="409">
        <f t="shared" si="36"/>
        <v>0</v>
      </c>
      <c r="F151" s="409">
        <f t="shared" si="36"/>
        <v>0</v>
      </c>
      <c r="G151" s="409">
        <f t="shared" si="36"/>
        <v>0</v>
      </c>
      <c r="H151" s="409">
        <f t="shared" si="36"/>
        <v>0</v>
      </c>
      <c r="I151" s="409">
        <f t="shared" si="36"/>
        <v>0</v>
      </c>
      <c r="J151" s="368">
        <f t="shared" si="36"/>
        <v>0</v>
      </c>
      <c r="K151" s="368">
        <f t="shared" si="36"/>
        <v>0</v>
      </c>
      <c r="L151" s="368">
        <f t="shared" si="36"/>
        <v>0</v>
      </c>
      <c r="M151" s="368">
        <f t="shared" si="36"/>
        <v>0</v>
      </c>
      <c r="N151" s="368">
        <f t="shared" si="36"/>
        <v>0</v>
      </c>
      <c r="O151" s="368">
        <f t="shared" si="36"/>
        <v>0</v>
      </c>
      <c r="P151" s="368">
        <f t="shared" si="36"/>
        <v>0</v>
      </c>
      <c r="Q151" s="368">
        <f t="shared" si="36"/>
        <v>0</v>
      </c>
      <c r="R151" s="368">
        <f t="shared" si="36"/>
        <v>0</v>
      </c>
      <c r="S151" s="368">
        <f t="shared" si="36"/>
        <v>0</v>
      </c>
      <c r="T151" s="368">
        <f t="shared" si="36"/>
        <v>0</v>
      </c>
      <c r="U151" s="368">
        <f t="shared" si="36"/>
        <v>0</v>
      </c>
      <c r="V151" s="368">
        <f t="shared" si="36"/>
        <v>0</v>
      </c>
      <c r="W151" s="368">
        <f t="shared" si="36"/>
        <v>0</v>
      </c>
      <c r="X151" s="368">
        <f t="shared" si="36"/>
        <v>0</v>
      </c>
      <c r="Y151" s="368">
        <f t="shared" si="36"/>
        <v>0</v>
      </c>
      <c r="Z151" s="368">
        <f t="shared" si="36"/>
        <v>0</v>
      </c>
      <c r="AA151" s="368">
        <f t="shared" si="36"/>
        <v>0</v>
      </c>
      <c r="AB151" s="368">
        <f t="shared" si="36"/>
        <v>0</v>
      </c>
      <c r="AC151" s="368">
        <f t="shared" si="36"/>
        <v>0</v>
      </c>
      <c r="AD151" s="368">
        <f t="shared" si="36"/>
        <v>0</v>
      </c>
      <c r="AE151" s="368">
        <f t="shared" si="36"/>
        <v>0</v>
      </c>
      <c r="AF151" s="368">
        <f t="shared" si="36"/>
        <v>0</v>
      </c>
      <c r="AG151" s="368">
        <f t="shared" si="36"/>
        <v>0</v>
      </c>
      <c r="AH151" s="368">
        <f t="shared" si="36"/>
        <v>0</v>
      </c>
      <c r="AI151" s="368">
        <f t="shared" si="36"/>
        <v>0</v>
      </c>
      <c r="AJ151" s="368">
        <f t="shared" si="36"/>
        <v>0</v>
      </c>
      <c r="AK151" s="368">
        <f t="shared" si="36"/>
        <v>0</v>
      </c>
      <c r="AL151" s="368">
        <f t="shared" si="36"/>
        <v>0</v>
      </c>
      <c r="AM151" s="368">
        <f t="shared" si="36"/>
        <v>0</v>
      </c>
      <c r="AN151" s="368">
        <f t="shared" si="36"/>
        <v>0</v>
      </c>
      <c r="AO151" s="368">
        <f t="shared" si="36"/>
        <v>0</v>
      </c>
      <c r="AP151" s="368">
        <f t="shared" si="36"/>
        <v>0</v>
      </c>
      <c r="AQ151" s="368">
        <f t="shared" si="36"/>
        <v>0</v>
      </c>
      <c r="AR151" s="368">
        <f t="shared" si="36"/>
        <v>0</v>
      </c>
      <c r="AS151" s="368">
        <f t="shared" si="36"/>
        <v>0</v>
      </c>
      <c r="AT151" s="368"/>
      <c r="AU151" s="368"/>
      <c r="AV151" s="368"/>
      <c r="AW151" s="368"/>
      <c r="AX151" s="368"/>
      <c r="AY151" s="368"/>
      <c r="AZ151" s="368"/>
      <c r="BA151" s="1933">
        <f>SUM(BA146:BA150)</f>
        <v>0</v>
      </c>
      <c r="BB151" s="1915">
        <f>SUM(BB146:BB150)</f>
        <v>0</v>
      </c>
      <c r="BC151" s="82" t="s">
        <v>41</v>
      </c>
      <c r="BD151" s="356"/>
      <c r="BE151" s="82"/>
    </row>
    <row r="152" spans="1:57" outlineLevel="1" x14ac:dyDescent="0.25">
      <c r="A152" s="394">
        <f>ROW()</f>
        <v>152</v>
      </c>
      <c r="B152" s="349"/>
      <c r="C152" s="350" t="s">
        <v>159</v>
      </c>
      <c r="D152" s="366"/>
      <c r="E152" s="412"/>
      <c r="F152" s="412"/>
      <c r="G152" s="412"/>
      <c r="H152" s="412"/>
      <c r="I152" s="412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  <c r="AA152" s="356"/>
      <c r="AB152" s="356"/>
      <c r="AC152" s="356"/>
      <c r="AD152" s="356"/>
      <c r="AE152" s="356"/>
      <c r="AF152" s="356"/>
      <c r="AG152" s="356"/>
      <c r="AH152" s="356"/>
      <c r="AI152" s="356"/>
      <c r="AJ152" s="356"/>
      <c r="AK152" s="356"/>
      <c r="AL152" s="356"/>
      <c r="AM152" s="356"/>
      <c r="AN152" s="356"/>
      <c r="AO152" s="356"/>
      <c r="AP152" s="356"/>
      <c r="AQ152" s="356"/>
      <c r="AR152" s="356"/>
      <c r="AS152" s="356"/>
      <c r="AT152" s="356"/>
      <c r="AU152" s="356"/>
      <c r="AV152" s="356"/>
      <c r="AW152" s="356"/>
      <c r="AX152" s="356"/>
      <c r="AY152" s="356"/>
      <c r="AZ152" s="356"/>
      <c r="BA152" s="1929"/>
      <c r="BB152" s="366"/>
      <c r="BC152" s="82" t="s">
        <v>41</v>
      </c>
      <c r="BD152" s="356"/>
      <c r="BE152" s="82"/>
    </row>
    <row r="153" spans="1:57" outlineLevel="1" x14ac:dyDescent="0.25">
      <c r="A153" s="394">
        <f>ROW()</f>
        <v>153</v>
      </c>
      <c r="B153" s="369" t="s">
        <v>94</v>
      </c>
      <c r="C153" s="350" t="s">
        <v>159</v>
      </c>
      <c r="D153" s="357">
        <f t="shared" ref="D153:D166" si="37">+BB92</f>
        <v>7868532.0721845422</v>
      </c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>
        <f>'SEF-36 pg 1-33, 37'!GG18+'SEF-36 pg 1-33, 37'!GG17+'SEF-36 pg 1-33, 37'!GG19</f>
        <v>7528.1196549577071</v>
      </c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  <c r="AA153" s="358"/>
      <c r="AB153" s="358"/>
      <c r="AC153" s="358"/>
      <c r="AD153" s="358"/>
      <c r="AE153" s="358"/>
      <c r="AF153" s="358"/>
      <c r="AG153" s="358"/>
      <c r="AH153" s="358"/>
      <c r="AI153" s="358"/>
      <c r="AJ153" s="358"/>
      <c r="AK153" s="358"/>
      <c r="AL153" s="358"/>
      <c r="AM153" s="408"/>
      <c r="AN153" s="358"/>
      <c r="AO153" s="358"/>
      <c r="AP153" s="358"/>
      <c r="AQ153" s="358"/>
      <c r="AR153" s="358"/>
      <c r="AS153" s="356"/>
      <c r="AT153" s="356"/>
      <c r="AU153" s="356"/>
      <c r="AV153" s="356"/>
      <c r="AW153" s="356"/>
      <c r="AX153" s="356"/>
      <c r="AY153" s="356"/>
      <c r="AZ153" s="356"/>
      <c r="BA153" s="1924">
        <f t="shared" ref="BA153:BA166" si="38">SUM(E153:AZ153)</f>
        <v>7528.1196549577071</v>
      </c>
      <c r="BB153" s="366">
        <f t="shared" ref="BB153:BB166" si="39">+BA153+BB92</f>
        <v>7876060.1918395003</v>
      </c>
      <c r="BC153" s="82" t="s">
        <v>41</v>
      </c>
      <c r="BD153" s="356"/>
      <c r="BE153" s="82"/>
    </row>
    <row r="154" spans="1:57" outlineLevel="1" x14ac:dyDescent="0.25">
      <c r="A154" s="394">
        <f>ROW()</f>
        <v>154</v>
      </c>
      <c r="B154" s="349" t="s">
        <v>95</v>
      </c>
      <c r="C154" s="350" t="s">
        <v>159</v>
      </c>
      <c r="D154" s="357">
        <f t="shared" si="37"/>
        <v>0</v>
      </c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>
        <f>+'SEF-36 pg 1-33, 37'!GG20</f>
        <v>0</v>
      </c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  <c r="AA154" s="358"/>
      <c r="AB154" s="358"/>
      <c r="AC154" s="358"/>
      <c r="AD154" s="358"/>
      <c r="AE154" s="358"/>
      <c r="AF154" s="358"/>
      <c r="AG154" s="358"/>
      <c r="AH154" s="358"/>
      <c r="AI154" s="358"/>
      <c r="AJ154" s="358"/>
      <c r="AK154" s="358"/>
      <c r="AL154" s="358"/>
      <c r="AM154" s="408"/>
      <c r="AN154" s="358"/>
      <c r="AO154" s="358"/>
      <c r="AP154" s="358"/>
      <c r="AQ154" s="358"/>
      <c r="AR154" s="358"/>
      <c r="AS154" s="358"/>
      <c r="AT154" s="358"/>
      <c r="AU154" s="358"/>
      <c r="AV154" s="358"/>
      <c r="AW154" s="358"/>
      <c r="AX154" s="358"/>
      <c r="AY154" s="358"/>
      <c r="AZ154" s="358"/>
      <c r="BA154" s="1924">
        <f t="shared" si="38"/>
        <v>0</v>
      </c>
      <c r="BB154" s="357">
        <f t="shared" si="39"/>
        <v>0</v>
      </c>
      <c r="BC154" s="82" t="s">
        <v>41</v>
      </c>
      <c r="BD154" s="356"/>
      <c r="BE154" s="82"/>
    </row>
    <row r="155" spans="1:57" outlineLevel="1" x14ac:dyDescent="0.25">
      <c r="A155" s="394">
        <f>ROW()</f>
        <v>155</v>
      </c>
      <c r="B155" s="349" t="s">
        <v>96</v>
      </c>
      <c r="C155" s="350" t="s">
        <v>159</v>
      </c>
      <c r="D155" s="357">
        <f t="shared" si="37"/>
        <v>64446443.13880299</v>
      </c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O155" s="358">
        <f>+'SEF-36 pg 1-33, 37'!GG21</f>
        <v>44973.15213659755</v>
      </c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  <c r="AA155" s="358"/>
      <c r="AB155" s="358"/>
      <c r="AC155" s="358"/>
      <c r="AD155" s="358"/>
      <c r="AE155" s="358"/>
      <c r="AF155" s="358"/>
      <c r="AG155" s="358"/>
      <c r="AH155" s="358"/>
      <c r="AI155" s="358"/>
      <c r="AJ155" s="358"/>
      <c r="AK155" s="358"/>
      <c r="AL155" s="358"/>
      <c r="AM155" s="408"/>
      <c r="AN155" s="358"/>
      <c r="AO155" s="358"/>
      <c r="AP155" s="358"/>
      <c r="AQ155" s="358"/>
      <c r="AR155" s="358"/>
      <c r="AS155" s="358"/>
      <c r="AT155" s="358"/>
      <c r="AU155" s="358"/>
      <c r="AV155" s="358"/>
      <c r="AW155" s="358"/>
      <c r="AX155" s="358"/>
      <c r="AY155" s="358"/>
      <c r="AZ155" s="358"/>
      <c r="BA155" s="1924">
        <f t="shared" si="38"/>
        <v>44973.15213659755</v>
      </c>
      <c r="BB155" s="357">
        <f t="shared" si="39"/>
        <v>64491416.290939584</v>
      </c>
      <c r="BC155" s="82" t="s">
        <v>41</v>
      </c>
      <c r="BD155" s="356"/>
      <c r="BE155" s="82"/>
    </row>
    <row r="156" spans="1:57" outlineLevel="1" x14ac:dyDescent="0.25">
      <c r="A156" s="394">
        <f>ROW()</f>
        <v>156</v>
      </c>
      <c r="B156" s="349" t="s">
        <v>97</v>
      </c>
      <c r="C156" s="350" t="s">
        <v>159</v>
      </c>
      <c r="D156" s="357">
        <f t="shared" si="37"/>
        <v>23490794.237619195</v>
      </c>
      <c r="E156" s="358">
        <f>'SEF-36 pg 1-33, 37'!I64</f>
        <v>-30006.959215535953</v>
      </c>
      <c r="F156" s="358"/>
      <c r="G156" s="358"/>
      <c r="H156" s="358"/>
      <c r="I156" s="358"/>
      <c r="J156" s="358"/>
      <c r="K156" s="358"/>
      <c r="L156" s="358"/>
      <c r="M156" s="358"/>
      <c r="N156" s="358"/>
      <c r="O156" s="358">
        <f>+'SEF-36 pg 1-33, 37'!GG22</f>
        <v>10051.621943489474</v>
      </c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  <c r="AA156" s="358"/>
      <c r="AB156" s="358"/>
      <c r="AC156" s="358"/>
      <c r="AD156" s="358"/>
      <c r="AE156" s="358"/>
      <c r="AF156" s="358"/>
      <c r="AG156" s="358"/>
      <c r="AH156" s="358"/>
      <c r="AI156" s="358"/>
      <c r="AJ156" s="358"/>
      <c r="AK156" s="358"/>
      <c r="AL156" s="358"/>
      <c r="AM156" s="408"/>
      <c r="AN156" s="358"/>
      <c r="AO156" s="358"/>
      <c r="AP156" s="358"/>
      <c r="AQ156" s="358"/>
      <c r="AR156" s="358"/>
      <c r="AS156" s="358"/>
      <c r="AT156" s="358"/>
      <c r="AU156" s="358"/>
      <c r="AV156" s="358"/>
      <c r="AW156" s="358"/>
      <c r="AX156" s="358"/>
      <c r="AY156" s="358"/>
      <c r="AZ156" s="358"/>
      <c r="BA156" s="1924">
        <f t="shared" si="38"/>
        <v>-19955.337272046479</v>
      </c>
      <c r="BB156" s="357">
        <f t="shared" si="39"/>
        <v>23470838.900347147</v>
      </c>
      <c r="BC156" s="82" t="s">
        <v>41</v>
      </c>
      <c r="BD156" s="356"/>
      <c r="BE156" s="82"/>
    </row>
    <row r="157" spans="1:57" outlineLevel="1" x14ac:dyDescent="0.25">
      <c r="A157" s="394">
        <f>ROW()</f>
        <v>157</v>
      </c>
      <c r="B157" s="349" t="s">
        <v>98</v>
      </c>
      <c r="C157" s="350" t="s">
        <v>159</v>
      </c>
      <c r="D157" s="357">
        <f t="shared" si="37"/>
        <v>2400079.1042956277</v>
      </c>
      <c r="E157" s="358"/>
      <c r="F157" s="358"/>
      <c r="G157" s="358"/>
      <c r="H157" s="358"/>
      <c r="I157" s="358"/>
      <c r="J157" s="358"/>
      <c r="K157" s="358"/>
      <c r="L157" s="358"/>
      <c r="M157" s="358"/>
      <c r="N157" s="358"/>
      <c r="O157" s="358">
        <f>+'SEF-36 pg 1-33, 37'!GG23+'SEF-36 pg 1-33, 37'!GG24</f>
        <v>1733.1554567787998</v>
      </c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  <c r="AA157" s="358"/>
      <c r="AB157" s="358"/>
      <c r="AC157" s="358"/>
      <c r="AD157" s="358"/>
      <c r="AE157" s="358"/>
      <c r="AF157" s="358"/>
      <c r="AG157" s="358"/>
      <c r="AH157" s="358"/>
      <c r="AI157" s="358"/>
      <c r="AJ157" s="358"/>
      <c r="AK157" s="358"/>
      <c r="AL157" s="358"/>
      <c r="AM157" s="408"/>
      <c r="AN157" s="358"/>
      <c r="AO157" s="358"/>
      <c r="AP157" s="358"/>
      <c r="AQ157" s="358"/>
      <c r="AR157" s="358"/>
      <c r="AS157" s="358"/>
      <c r="AT157" s="358"/>
      <c r="AU157" s="358"/>
      <c r="AV157" s="358"/>
      <c r="AW157" s="358"/>
      <c r="AX157" s="358"/>
      <c r="AY157" s="358"/>
      <c r="AZ157" s="358"/>
      <c r="BA157" s="1924">
        <f t="shared" si="38"/>
        <v>1733.1554567787998</v>
      </c>
      <c r="BB157" s="357">
        <f t="shared" si="39"/>
        <v>2401812.2597524063</v>
      </c>
      <c r="BC157" s="82" t="s">
        <v>41</v>
      </c>
      <c r="BD157" s="356"/>
      <c r="BE157" s="82"/>
    </row>
    <row r="158" spans="1:57" outlineLevel="1" x14ac:dyDescent="0.25">
      <c r="A158" s="394">
        <f>ROW()</f>
        <v>158</v>
      </c>
      <c r="B158" s="349" t="s">
        <v>99</v>
      </c>
      <c r="C158" s="350" t="s">
        <v>159</v>
      </c>
      <c r="D158" s="357">
        <f t="shared" si="37"/>
        <v>0</v>
      </c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  <c r="AA158" s="358"/>
      <c r="AB158" s="358"/>
      <c r="AC158" s="358"/>
      <c r="AD158" s="358"/>
      <c r="AE158" s="358"/>
      <c r="AF158" s="358"/>
      <c r="AG158" s="358"/>
      <c r="AH158" s="358"/>
      <c r="AI158" s="358"/>
      <c r="AJ158" s="358"/>
      <c r="AK158" s="358"/>
      <c r="AL158" s="358"/>
      <c r="AM158" s="408"/>
      <c r="AN158" s="358"/>
      <c r="AO158" s="358"/>
      <c r="AP158" s="358"/>
      <c r="AQ158" s="358"/>
      <c r="AR158" s="358"/>
      <c r="AS158" s="358"/>
      <c r="AT158" s="358"/>
      <c r="AU158" s="358"/>
      <c r="AV158" s="358"/>
      <c r="AW158" s="358"/>
      <c r="AX158" s="358"/>
      <c r="AY158" s="358"/>
      <c r="AZ158" s="358"/>
      <c r="BA158" s="1924">
        <f t="shared" si="38"/>
        <v>0</v>
      </c>
      <c r="BB158" s="357">
        <f t="shared" si="39"/>
        <v>0</v>
      </c>
      <c r="BC158" s="82" t="s">
        <v>41</v>
      </c>
      <c r="BD158" s="356"/>
      <c r="BE158" s="82"/>
    </row>
    <row r="159" spans="1:57" outlineLevel="1" x14ac:dyDescent="0.25">
      <c r="A159" s="394">
        <f>ROW()</f>
        <v>159</v>
      </c>
      <c r="B159" s="349" t="s">
        <v>100</v>
      </c>
      <c r="C159" s="350" t="s">
        <v>159</v>
      </c>
      <c r="D159" s="371">
        <f t="shared" si="37"/>
        <v>74494959.988931939</v>
      </c>
      <c r="E159" s="370">
        <f>'SEF-36 pg 1-33, 37'!I65</f>
        <v>-51897.196844579652</v>
      </c>
      <c r="F159" s="358"/>
      <c r="G159" s="358"/>
      <c r="H159" s="358"/>
      <c r="I159" s="358"/>
      <c r="J159" s="358"/>
      <c r="K159" s="358"/>
      <c r="L159" s="358"/>
      <c r="M159" s="358"/>
      <c r="N159" s="358"/>
      <c r="O159" s="358">
        <f>+'SEF-36 pg 1-33, 37'!GG25</f>
        <v>30118.048431473668</v>
      </c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  <c r="AA159" s="358"/>
      <c r="AB159" s="358"/>
      <c r="AC159" s="358"/>
      <c r="AD159" s="358"/>
      <c r="AE159" s="358"/>
      <c r="AF159" s="358"/>
      <c r="AG159" s="358"/>
      <c r="AH159" s="358"/>
      <c r="AI159" s="358"/>
      <c r="AJ159" s="358"/>
      <c r="AK159" s="358"/>
      <c r="AL159" s="358"/>
      <c r="AM159" s="408"/>
      <c r="AN159" s="358"/>
      <c r="AO159" s="358"/>
      <c r="AP159" s="358"/>
      <c r="AQ159" s="358"/>
      <c r="AR159" s="358"/>
      <c r="AS159" s="358"/>
      <c r="AT159" s="358"/>
      <c r="AU159" s="370"/>
      <c r="AV159" s="358"/>
      <c r="AW159" s="358"/>
      <c r="AX159" s="358"/>
      <c r="AY159" s="358"/>
      <c r="AZ159" s="358"/>
      <c r="BA159" s="1924">
        <f t="shared" si="38"/>
        <v>-21779.148413105984</v>
      </c>
      <c r="BB159" s="371">
        <f t="shared" si="39"/>
        <v>74473180.840518832</v>
      </c>
      <c r="BC159" s="82" t="s">
        <v>41</v>
      </c>
      <c r="BD159" s="356"/>
      <c r="BE159" s="82"/>
    </row>
    <row r="160" spans="1:57" outlineLevel="1" x14ac:dyDescent="0.25">
      <c r="A160" s="394">
        <f>ROW()</f>
        <v>160</v>
      </c>
      <c r="B160" s="349" t="s">
        <v>101</v>
      </c>
      <c r="C160" s="350" t="s">
        <v>159</v>
      </c>
      <c r="D160" s="357">
        <f t="shared" si="37"/>
        <v>168798371.72929665</v>
      </c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  <c r="AA160" s="358"/>
      <c r="AB160" s="358"/>
      <c r="AC160" s="358"/>
      <c r="AD160" s="358"/>
      <c r="AE160" s="358">
        <f>'SEF-36 pg 1-33, 37'!RJ17+'SEF-36 pg 1-33, 37'!RJ18</f>
        <v>284689.21257165074</v>
      </c>
      <c r="AF160" s="358">
        <f>'SEF-36 pg 1-33, 37'!SB16+'SEF-36 pg 1-33, 37'!SB17</f>
        <v>-254648.25999999995</v>
      </c>
      <c r="AG160" s="358">
        <f>'SEF-36 pg 1-33, 37'!$ST$16+'SEF-36 pg 1-33, 37'!$ST$17</f>
        <v>4488505.0870949998</v>
      </c>
      <c r="AH160" s="358">
        <f>'SEF-36 pg 1-33, 37'!$ST$34+'SEF-36 pg 1-33, 37'!$ST$35</f>
        <v>2788911.22</v>
      </c>
      <c r="AI160" s="358">
        <f>'SEF-36 pg 1-33, 37'!$ST$52+'SEF-36 pg 1-33, 37'!$ST$53</f>
        <v>15198.15</v>
      </c>
      <c r="AJ160" s="358">
        <f>'SEF-36 pg 1-33, 37'!$ST$70+'SEF-36 pg 1-33, 37'!$ST$71</f>
        <v>1332275.6806800002</v>
      </c>
      <c r="AK160" s="358"/>
      <c r="AL160" s="358"/>
      <c r="AM160" s="408"/>
      <c r="AN160" s="358"/>
      <c r="AO160" s="358"/>
      <c r="AP160" s="358"/>
      <c r="AQ160" s="358"/>
      <c r="AR160" s="358">
        <f>'SEF-36 pg 34-36'!CU25</f>
        <v>-687308.34716399759</v>
      </c>
      <c r="AT160" s="356"/>
      <c r="AW160" s="414"/>
      <c r="AX160" s="411"/>
      <c r="BA160" s="1924">
        <f t="shared" si="38"/>
        <v>7967622.7431826554</v>
      </c>
      <c r="BB160" s="357">
        <f t="shared" si="39"/>
        <v>176765994.47247931</v>
      </c>
      <c r="BC160" s="82" t="s">
        <v>41</v>
      </c>
      <c r="BD160" s="356"/>
      <c r="BE160" s="82"/>
    </row>
    <row r="161" spans="1:57" outlineLevel="1" x14ac:dyDescent="0.25">
      <c r="A161" s="394">
        <f>ROW()</f>
        <v>161</v>
      </c>
      <c r="B161" s="349" t="s">
        <v>102</v>
      </c>
      <c r="C161" s="350" t="s">
        <v>159</v>
      </c>
      <c r="D161" s="357">
        <f t="shared" si="37"/>
        <v>25292226.692707248</v>
      </c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  <c r="AA161" s="358"/>
      <c r="AB161" s="358"/>
      <c r="AC161" s="358"/>
      <c r="AD161" s="358"/>
      <c r="AE161" s="358">
        <f>'SEF-36 pg 1-33, 37'!RJ19+'SEF-36 pg 1-33, 37'!RJ20</f>
        <v>-2253078.2972623855</v>
      </c>
      <c r="AF161" s="358">
        <f>'SEF-36 pg 1-33, 37'!SB18+'SEF-36 pg 1-33, 37'!SB19</f>
        <v>0</v>
      </c>
      <c r="AG161" s="358">
        <f>'SEF-36 pg 1-33, 37'!$ST$18+'SEF-36 pg 1-33, 37'!$ST$19</f>
        <v>2503718.8050599997</v>
      </c>
      <c r="AH161" s="358">
        <f>'SEF-36 pg 1-33, 37'!$ST$36+'SEF-36 pg 1-33, 37'!$ST$37</f>
        <v>0</v>
      </c>
      <c r="AI161" s="358">
        <f>'SEF-36 pg 1-33, 37'!$ST$54+'SEF-36 pg 1-33, 37'!$ST$55</f>
        <v>0</v>
      </c>
      <c r="AJ161" s="358">
        <f>'SEF-36 pg 1-33, 37'!$ST$72+'SEF-36 pg 1-33, 37'!$ST$73</f>
        <v>4767016.7120850002</v>
      </c>
      <c r="AK161" s="358"/>
      <c r="AL161" s="358"/>
      <c r="AM161" s="408"/>
      <c r="AN161" s="358"/>
      <c r="AO161" s="358"/>
      <c r="AP161" s="358"/>
      <c r="AQ161" s="358"/>
      <c r="AR161" s="358">
        <f>'SEF-36 pg 34-36'!CU26</f>
        <v>-149248.62200000003</v>
      </c>
      <c r="AS161" s="358"/>
      <c r="AT161" s="358"/>
      <c r="AU161" s="358"/>
      <c r="AV161" s="358"/>
      <c r="AW161" s="408"/>
      <c r="AX161" s="408"/>
      <c r="AY161" s="358"/>
      <c r="AZ161" s="358"/>
      <c r="BA161" s="1924">
        <f t="shared" si="38"/>
        <v>4868408.5978826145</v>
      </c>
      <c r="BB161" s="357">
        <f t="shared" si="39"/>
        <v>30160635.290589862</v>
      </c>
      <c r="BC161" s="82" t="s">
        <v>41</v>
      </c>
      <c r="BD161" s="356"/>
      <c r="BE161" s="82"/>
    </row>
    <row r="162" spans="1:57" outlineLevel="1" x14ac:dyDescent="0.25">
      <c r="A162" s="394">
        <f>ROW()</f>
        <v>162</v>
      </c>
      <c r="B162" s="369" t="s">
        <v>103</v>
      </c>
      <c r="C162" s="350" t="s">
        <v>159</v>
      </c>
      <c r="D162" s="357">
        <f t="shared" si="37"/>
        <v>0</v>
      </c>
      <c r="E162" s="358"/>
      <c r="F162" s="358"/>
      <c r="G162" s="358"/>
      <c r="H162" s="358"/>
      <c r="I162" s="358"/>
      <c r="J162" s="358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  <c r="AA162" s="358"/>
      <c r="AB162" s="358"/>
      <c r="AC162" s="358"/>
      <c r="AD162" s="358"/>
      <c r="AE162" s="358"/>
      <c r="AF162" s="358"/>
      <c r="AG162" s="358"/>
      <c r="AH162" s="358"/>
      <c r="AI162" s="358"/>
      <c r="AJ162" s="358"/>
      <c r="AK162" s="358"/>
      <c r="AL162" s="358"/>
      <c r="AM162" s="408"/>
      <c r="AN162" s="358"/>
      <c r="AO162" s="358"/>
      <c r="AP162" s="358"/>
      <c r="AQ162" s="358"/>
      <c r="AR162" s="358"/>
      <c r="AS162" s="358"/>
      <c r="AT162" s="358"/>
      <c r="AU162" s="358"/>
      <c r="AV162" s="358"/>
      <c r="AW162" s="408"/>
      <c r="AX162" s="408"/>
      <c r="AY162" s="358"/>
      <c r="AZ162" s="358"/>
      <c r="BA162" s="1924">
        <f t="shared" si="38"/>
        <v>0</v>
      </c>
      <c r="BB162" s="357">
        <f t="shared" si="39"/>
        <v>0</v>
      </c>
      <c r="BC162" s="82" t="s">
        <v>41</v>
      </c>
      <c r="BD162" s="356"/>
      <c r="BE162" s="82"/>
    </row>
    <row r="163" spans="1:57" outlineLevel="1" x14ac:dyDescent="0.25">
      <c r="A163" s="394">
        <f>ROW()</f>
        <v>163</v>
      </c>
      <c r="B163" s="349" t="s">
        <v>104</v>
      </c>
      <c r="C163" s="350" t="s">
        <v>159</v>
      </c>
      <c r="D163" s="357">
        <f t="shared" si="37"/>
        <v>18008170.846447498</v>
      </c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  <c r="AA163" s="358"/>
      <c r="AB163" s="358"/>
      <c r="AC163" s="358">
        <f>'SEF-36 pg 1-33, 37'!PY17</f>
        <v>10589.591500000097</v>
      </c>
      <c r="AD163" s="358"/>
      <c r="AE163" s="358"/>
      <c r="AF163" s="358"/>
      <c r="AG163" s="358"/>
      <c r="AH163" s="358"/>
      <c r="AI163" s="358"/>
      <c r="AJ163" s="358"/>
      <c r="AK163" s="358"/>
      <c r="AL163" s="358">
        <f>'SEF-36 pg 1-33, 37'!UY24</f>
        <v>0</v>
      </c>
      <c r="AM163" s="408"/>
      <c r="AN163" s="358"/>
      <c r="AO163" s="358"/>
      <c r="AP163" s="358"/>
      <c r="AQ163" s="358">
        <f>'SEF-36 pg 34-36'!CC44-'SEF-36 pg 34-36'!CC33-'SEF-36 pg 34-36'!CC36</f>
        <v>-2567889.2523350799</v>
      </c>
      <c r="AR163" s="358"/>
      <c r="AS163" s="358"/>
      <c r="AT163" s="358"/>
      <c r="AU163" s="358"/>
      <c r="AV163" s="358"/>
      <c r="AW163" s="408"/>
      <c r="AX163" s="408"/>
      <c r="AY163" s="358"/>
      <c r="AZ163" s="358"/>
      <c r="BA163" s="1924">
        <f t="shared" si="38"/>
        <v>-2557299.6608350798</v>
      </c>
      <c r="BB163" s="357">
        <f t="shared" si="39"/>
        <v>15450871.185612418</v>
      </c>
      <c r="BC163" s="82" t="s">
        <v>41</v>
      </c>
      <c r="BD163" s="356"/>
      <c r="BE163" s="82"/>
    </row>
    <row r="164" spans="1:57" outlineLevel="1" x14ac:dyDescent="0.25">
      <c r="A164" s="394">
        <f>ROW()</f>
        <v>164</v>
      </c>
      <c r="B164" s="349" t="s">
        <v>105</v>
      </c>
      <c r="C164" s="350" t="s">
        <v>159</v>
      </c>
      <c r="D164" s="357">
        <f t="shared" si="37"/>
        <v>26272052.521834753</v>
      </c>
      <c r="E164" s="358">
        <f>'SEF-36 pg 1-33, 37'!I66</f>
        <v>-398663.88672069198</v>
      </c>
      <c r="F164" s="358"/>
      <c r="G164" s="358"/>
      <c r="H164" s="358"/>
      <c r="I164" s="358"/>
      <c r="J164" s="358"/>
      <c r="K164" s="358"/>
      <c r="L164" s="358"/>
      <c r="M164" s="358"/>
      <c r="N164" s="358"/>
      <c r="O164" s="358">
        <f>+'SEF-36 pg 1-33, 37'!GG28</f>
        <v>8298.1201810878229</v>
      </c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  <c r="AA164" s="358"/>
      <c r="AB164" s="358"/>
      <c r="AC164" s="358"/>
      <c r="AD164" s="358"/>
      <c r="AE164" s="358"/>
      <c r="AF164" s="358"/>
      <c r="AG164" s="358"/>
      <c r="AH164" s="358"/>
      <c r="AI164" s="358"/>
      <c r="AJ164" s="358"/>
      <c r="AK164" s="358"/>
      <c r="AL164" s="358"/>
      <c r="AM164" s="408"/>
      <c r="AN164" s="358"/>
      <c r="AO164" s="358"/>
      <c r="AP164" s="358"/>
      <c r="AQ164" s="358"/>
      <c r="AR164" s="358"/>
      <c r="AS164" s="358"/>
      <c r="AT164" s="358"/>
      <c r="AU164" s="358"/>
      <c r="AV164" s="358"/>
      <c r="AW164" s="408"/>
      <c r="AX164" s="408"/>
      <c r="AY164" s="358"/>
      <c r="AZ164" s="358"/>
      <c r="BA164" s="1924">
        <f t="shared" si="38"/>
        <v>-390365.76653960417</v>
      </c>
      <c r="BB164" s="357">
        <f t="shared" si="39"/>
        <v>25881686.75529515</v>
      </c>
      <c r="BC164" s="82" t="s">
        <v>41</v>
      </c>
      <c r="BD164" s="356"/>
      <c r="BE164" s="82"/>
    </row>
    <row r="165" spans="1:57" outlineLevel="1" x14ac:dyDescent="0.25">
      <c r="A165" s="394">
        <f>ROW()</f>
        <v>165</v>
      </c>
      <c r="B165" s="349" t="s">
        <v>106</v>
      </c>
      <c r="C165" s="350" t="s">
        <v>159</v>
      </c>
      <c r="D165" s="371">
        <f t="shared" si="37"/>
        <v>15434149.479526997</v>
      </c>
      <c r="E165" s="370">
        <f>'SEF-36 pg 1-33, 37'!I70</f>
        <v>-2078762.9784883759</v>
      </c>
      <c r="F165" s="358"/>
      <c r="G165" s="358"/>
      <c r="H165" s="358"/>
      <c r="I165" s="358">
        <f>'SEF-36 pg 1-33, 37'!CC23</f>
        <v>-543136.50103020924</v>
      </c>
      <c r="J165" s="358"/>
      <c r="K165" s="358"/>
      <c r="L165" s="358"/>
      <c r="M165" s="358"/>
      <c r="N165" s="358"/>
      <c r="O165" s="358">
        <f>+'SEF-36 pg 1-33, 37'!GG31</f>
        <v>-21567.465738920851</v>
      </c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  <c r="AA165" s="358"/>
      <c r="AB165" s="358"/>
      <c r="AC165" s="358">
        <f>'SEF-36 pg 1-33, 37'!PY20</f>
        <v>-2223.8142150000203</v>
      </c>
      <c r="AD165" s="358"/>
      <c r="AE165" s="358">
        <f>'SEF-36 pg 1-33, 37'!RJ29</f>
        <v>413361.70778505428</v>
      </c>
      <c r="AF165" s="358">
        <f>'SEF-36 pg 1-33, 37'!SB28</f>
        <v>53476.13459999999</v>
      </c>
      <c r="AG165" s="358">
        <f>'SEF-36 pg 1-33, 37'!$ST$24</f>
        <v>-1468367.0173525501</v>
      </c>
      <c r="AH165" s="358">
        <f>'SEF-36 pg 1-33, 37'!$ST$42</f>
        <v>-585671.35620000004</v>
      </c>
      <c r="AI165" s="358">
        <f>'SEF-36 pg 1-33, 37'!$ST$60</f>
        <v>-3191.6115</v>
      </c>
      <c r="AJ165" s="358">
        <f>'SEF-36 pg 1-33, 37'!$ST$78</f>
        <v>-1280851.40248065</v>
      </c>
      <c r="AK165" s="358"/>
      <c r="AL165" s="358">
        <f>'SEF-36 pg 1-33, 37'!UY26</f>
        <v>0</v>
      </c>
      <c r="AM165" s="408"/>
      <c r="AN165" s="358"/>
      <c r="AO165" s="358"/>
      <c r="AP165" s="358"/>
      <c r="AQ165" s="358">
        <f>'SEF-36 pg 34-36'!CC46</f>
        <v>530200.96671911981</v>
      </c>
      <c r="AR165" s="358">
        <f>'SEF-36 pg 34-36'!CU29</f>
        <v>175676.96352443949</v>
      </c>
      <c r="AS165" s="358"/>
      <c r="AT165" s="385"/>
      <c r="AU165" s="358"/>
      <c r="AV165" s="358"/>
      <c r="AW165" s="408"/>
      <c r="AX165" s="408"/>
      <c r="AY165" s="358"/>
      <c r="AZ165" s="358"/>
      <c r="BA165" s="1924">
        <f t="shared" si="38"/>
        <v>-4811056.3743770923</v>
      </c>
      <c r="BB165" s="371">
        <f t="shared" si="39"/>
        <v>10623093.105149904</v>
      </c>
      <c r="BC165" s="82" t="s">
        <v>41</v>
      </c>
      <c r="BD165" s="356"/>
      <c r="BE165" s="82"/>
    </row>
    <row r="166" spans="1:57" outlineLevel="1" x14ac:dyDescent="0.25">
      <c r="A166" s="394">
        <f>ROW()</f>
        <v>166</v>
      </c>
      <c r="B166" s="365" t="s">
        <v>107</v>
      </c>
      <c r="C166" s="350" t="s">
        <v>159</v>
      </c>
      <c r="D166" s="357">
        <f t="shared" si="37"/>
        <v>-7286821.3381584706</v>
      </c>
      <c r="E166" s="358"/>
      <c r="F166" s="358"/>
      <c r="G166" s="358"/>
      <c r="H166" s="358">
        <f>SUM('SEF-36 pg 1-33, 37'!BK17:BK19)</f>
        <v>348814.75209316192</v>
      </c>
      <c r="I166" s="358"/>
      <c r="J166" s="358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  <c r="AA166" s="358"/>
      <c r="AB166" s="358"/>
      <c r="AC166" s="358"/>
      <c r="AD166" s="358"/>
      <c r="AE166" s="358"/>
      <c r="AF166" s="358"/>
      <c r="AG166" s="358"/>
      <c r="AH166" s="358"/>
      <c r="AI166" s="358"/>
      <c r="AJ166" s="358"/>
      <c r="AK166" s="358"/>
      <c r="AL166" s="358"/>
      <c r="AM166" s="408"/>
      <c r="AN166" s="358"/>
      <c r="AO166" s="358"/>
      <c r="AP166" s="358"/>
      <c r="AQ166" s="358"/>
      <c r="AR166" s="358"/>
      <c r="AS166" s="358"/>
      <c r="AT166" s="358"/>
      <c r="AU166" s="358"/>
      <c r="AV166" s="358"/>
      <c r="AW166" s="408"/>
      <c r="AX166" s="408"/>
      <c r="AY166" s="358"/>
      <c r="AZ166" s="358"/>
      <c r="BA166" s="1924">
        <f t="shared" si="38"/>
        <v>348814.75209316192</v>
      </c>
      <c r="BB166" s="357">
        <f t="shared" si="39"/>
        <v>-6938006.5860653091</v>
      </c>
      <c r="BC166" s="82" t="s">
        <v>41</v>
      </c>
      <c r="BD166" s="356"/>
      <c r="BE166" s="82"/>
    </row>
    <row r="167" spans="1:57" outlineLevel="1" x14ac:dyDescent="0.25">
      <c r="A167" s="394">
        <f>ROW()</f>
        <v>167</v>
      </c>
      <c r="B167" s="349" t="s">
        <v>109</v>
      </c>
      <c r="C167" s="350" t="s">
        <v>159</v>
      </c>
      <c r="D167" s="1914">
        <f t="shared" ref="D167:AS167" si="40">SUM(D151:D166)</f>
        <v>419218958.47348893</v>
      </c>
      <c r="E167" s="372">
        <f t="shared" si="40"/>
        <v>-2559331.0212691836</v>
      </c>
      <c r="F167" s="368">
        <f t="shared" si="40"/>
        <v>0</v>
      </c>
      <c r="G167" s="368">
        <f t="shared" si="40"/>
        <v>0</v>
      </c>
      <c r="H167" s="368">
        <f t="shared" si="40"/>
        <v>348814.75209316192</v>
      </c>
      <c r="I167" s="368">
        <f t="shared" si="40"/>
        <v>-543136.50103020924</v>
      </c>
      <c r="J167" s="368">
        <f t="shared" si="40"/>
        <v>0</v>
      </c>
      <c r="K167" s="368">
        <f t="shared" si="40"/>
        <v>0</v>
      </c>
      <c r="L167" s="368">
        <f t="shared" si="40"/>
        <v>0</v>
      </c>
      <c r="M167" s="368">
        <f t="shared" si="40"/>
        <v>0</v>
      </c>
      <c r="N167" s="368">
        <f t="shared" si="40"/>
        <v>0</v>
      </c>
      <c r="O167" s="368">
        <f t="shared" si="40"/>
        <v>81134.752065464156</v>
      </c>
      <c r="P167" s="368">
        <f t="shared" si="40"/>
        <v>0</v>
      </c>
      <c r="Q167" s="368">
        <f t="shared" si="40"/>
        <v>0</v>
      </c>
      <c r="R167" s="368">
        <f t="shared" si="40"/>
        <v>0</v>
      </c>
      <c r="S167" s="368">
        <f t="shared" si="40"/>
        <v>0</v>
      </c>
      <c r="T167" s="368">
        <f t="shared" si="40"/>
        <v>0</v>
      </c>
      <c r="U167" s="368">
        <f t="shared" si="40"/>
        <v>0</v>
      </c>
      <c r="V167" s="368">
        <f t="shared" si="40"/>
        <v>0</v>
      </c>
      <c r="W167" s="368">
        <f t="shared" si="40"/>
        <v>0</v>
      </c>
      <c r="X167" s="368">
        <f t="shared" si="40"/>
        <v>0</v>
      </c>
      <c r="Y167" s="368">
        <f t="shared" si="40"/>
        <v>0</v>
      </c>
      <c r="Z167" s="368">
        <f t="shared" si="40"/>
        <v>0</v>
      </c>
      <c r="AA167" s="368">
        <f t="shared" si="40"/>
        <v>0</v>
      </c>
      <c r="AB167" s="368">
        <f t="shared" si="40"/>
        <v>0</v>
      </c>
      <c r="AC167" s="368">
        <f t="shared" si="40"/>
        <v>8365.7772850000765</v>
      </c>
      <c r="AD167" s="368">
        <f t="shared" si="40"/>
        <v>0</v>
      </c>
      <c r="AE167" s="409">
        <f t="shared" si="40"/>
        <v>-1555027.3769056804</v>
      </c>
      <c r="AF167" s="409">
        <f t="shared" si="40"/>
        <v>-201172.12539999996</v>
      </c>
      <c r="AG167" s="368">
        <f t="shared" si="40"/>
        <v>5523856.8748024488</v>
      </c>
      <c r="AH167" s="368">
        <f t="shared" si="40"/>
        <v>2203239.8638000004</v>
      </c>
      <c r="AI167" s="368">
        <f t="shared" si="40"/>
        <v>12006.538499999999</v>
      </c>
      <c r="AJ167" s="368">
        <f t="shared" si="40"/>
        <v>4818440.9902843507</v>
      </c>
      <c r="AK167" s="368">
        <f t="shared" si="40"/>
        <v>0</v>
      </c>
      <c r="AL167" s="368">
        <f t="shared" si="40"/>
        <v>0</v>
      </c>
      <c r="AM167" s="368">
        <f t="shared" si="40"/>
        <v>0</v>
      </c>
      <c r="AN167" s="368">
        <f t="shared" si="40"/>
        <v>0</v>
      </c>
      <c r="AO167" s="368">
        <f t="shared" si="40"/>
        <v>0</v>
      </c>
      <c r="AP167" s="368">
        <f t="shared" si="40"/>
        <v>0</v>
      </c>
      <c r="AQ167" s="368">
        <f t="shared" si="40"/>
        <v>-2037688.2856159601</v>
      </c>
      <c r="AR167" s="368">
        <f t="shared" si="40"/>
        <v>-660880.00563955808</v>
      </c>
      <c r="AS167" s="368">
        <f t="shared" si="40"/>
        <v>0</v>
      </c>
      <c r="AT167" s="368"/>
      <c r="AU167" s="368"/>
      <c r="AV167" s="368"/>
      <c r="AW167" s="409"/>
      <c r="AX167" s="409"/>
      <c r="AY167" s="368"/>
      <c r="AZ167" s="368"/>
      <c r="BA167" s="1933">
        <f>SUM(BA151:BA166)</f>
        <v>5438624.2329698373</v>
      </c>
      <c r="BB167" s="1914">
        <f>SUM(BB151:BB166)</f>
        <v>424657582.70645893</v>
      </c>
      <c r="BC167" s="82" t="s">
        <v>41</v>
      </c>
      <c r="BD167" s="356"/>
      <c r="BE167" s="82"/>
    </row>
    <row r="168" spans="1:57" outlineLevel="1" x14ac:dyDescent="0.25">
      <c r="A168" s="394">
        <f>ROW()</f>
        <v>168</v>
      </c>
      <c r="B168" s="365"/>
      <c r="C168" s="350" t="s">
        <v>159</v>
      </c>
      <c r="D168" s="351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417"/>
      <c r="AF168" s="417"/>
      <c r="AG168" s="375"/>
      <c r="AH168" s="375"/>
      <c r="AI168" s="375"/>
      <c r="AJ168" s="375"/>
      <c r="AK168" s="375"/>
      <c r="AL168" s="375"/>
      <c r="AM168" s="375"/>
      <c r="AN168" s="375"/>
      <c r="AO168" s="375"/>
      <c r="AP168" s="375"/>
      <c r="AQ168" s="375"/>
      <c r="AR168" s="375"/>
      <c r="AS168" s="375"/>
      <c r="AT168" s="375"/>
      <c r="AU168" s="375"/>
      <c r="AV168" s="375"/>
      <c r="AW168" s="417"/>
      <c r="AX168" s="417"/>
      <c r="AY168" s="375"/>
      <c r="AZ168" s="375"/>
      <c r="BA168" s="1932"/>
      <c r="BB168" s="351"/>
      <c r="BC168" s="82" t="s">
        <v>41</v>
      </c>
      <c r="BD168" s="356"/>
      <c r="BE168" s="82"/>
    </row>
    <row r="169" spans="1:57" ht="15.75" outlineLevel="1" thickBot="1" x14ac:dyDescent="0.3">
      <c r="A169" s="394">
        <f>ROW()</f>
        <v>169</v>
      </c>
      <c r="B169" s="365" t="s">
        <v>110</v>
      </c>
      <c r="C169" s="350" t="s">
        <v>159</v>
      </c>
      <c r="D169" s="355">
        <f t="shared" ref="D169:AS169" si="41">+D142-D167</f>
        <v>134005551.379233</v>
      </c>
      <c r="E169" s="377">
        <f t="shared" si="41"/>
        <v>-7820108.3476467468</v>
      </c>
      <c r="F169" s="378">
        <f t="shared" si="41"/>
        <v>0</v>
      </c>
      <c r="G169" s="378">
        <f t="shared" si="41"/>
        <v>0</v>
      </c>
      <c r="H169" s="378">
        <f t="shared" si="41"/>
        <v>-348814.75209316192</v>
      </c>
      <c r="I169" s="378">
        <f t="shared" si="41"/>
        <v>543136.50103020924</v>
      </c>
      <c r="J169" s="378">
        <f t="shared" si="41"/>
        <v>0</v>
      </c>
      <c r="K169" s="378">
        <f t="shared" si="41"/>
        <v>0</v>
      </c>
      <c r="L169" s="378">
        <f t="shared" si="41"/>
        <v>0</v>
      </c>
      <c r="M169" s="378">
        <f t="shared" si="41"/>
        <v>0</v>
      </c>
      <c r="N169" s="378">
        <f t="shared" si="41"/>
        <v>0</v>
      </c>
      <c r="O169" s="378">
        <f t="shared" si="41"/>
        <v>-81134.752065464156</v>
      </c>
      <c r="P169" s="378">
        <f t="shared" si="41"/>
        <v>0</v>
      </c>
      <c r="Q169" s="378">
        <f t="shared" si="41"/>
        <v>0</v>
      </c>
      <c r="R169" s="378">
        <f t="shared" si="41"/>
        <v>0</v>
      </c>
      <c r="S169" s="378">
        <f t="shared" si="41"/>
        <v>0</v>
      </c>
      <c r="T169" s="378">
        <f t="shared" si="41"/>
        <v>0</v>
      </c>
      <c r="U169" s="378">
        <f t="shared" si="41"/>
        <v>0</v>
      </c>
      <c r="V169" s="378">
        <f t="shared" si="41"/>
        <v>0</v>
      </c>
      <c r="W169" s="378">
        <f t="shared" si="41"/>
        <v>0</v>
      </c>
      <c r="X169" s="378">
        <f t="shared" si="41"/>
        <v>0</v>
      </c>
      <c r="Y169" s="378">
        <f t="shared" si="41"/>
        <v>0</v>
      </c>
      <c r="Z169" s="378">
        <f t="shared" si="41"/>
        <v>0</v>
      </c>
      <c r="AA169" s="378">
        <f t="shared" si="41"/>
        <v>0</v>
      </c>
      <c r="AB169" s="378">
        <f t="shared" si="41"/>
        <v>0</v>
      </c>
      <c r="AC169" s="378">
        <f t="shared" si="41"/>
        <v>-8365.7772850000765</v>
      </c>
      <c r="AD169" s="378">
        <f t="shared" si="41"/>
        <v>0</v>
      </c>
      <c r="AE169" s="419">
        <f t="shared" si="41"/>
        <v>1555027.3769056804</v>
      </c>
      <c r="AF169" s="419">
        <f t="shared" si="41"/>
        <v>201172.12539999996</v>
      </c>
      <c r="AG169" s="378">
        <f t="shared" si="41"/>
        <v>-5523856.8748024488</v>
      </c>
      <c r="AH169" s="378">
        <f t="shared" si="41"/>
        <v>-2203239.8638000004</v>
      </c>
      <c r="AI169" s="378">
        <f t="shared" si="41"/>
        <v>-12006.538499999999</v>
      </c>
      <c r="AJ169" s="378">
        <f t="shared" si="41"/>
        <v>-4818440.9902843507</v>
      </c>
      <c r="AK169" s="378">
        <f t="shared" si="41"/>
        <v>0</v>
      </c>
      <c r="AL169" s="378">
        <f t="shared" si="41"/>
        <v>0</v>
      </c>
      <c r="AM169" s="378">
        <f t="shared" si="41"/>
        <v>0</v>
      </c>
      <c r="AN169" s="378">
        <f t="shared" si="41"/>
        <v>0</v>
      </c>
      <c r="AO169" s="378">
        <f t="shared" si="41"/>
        <v>0</v>
      </c>
      <c r="AP169" s="378">
        <f t="shared" si="41"/>
        <v>0</v>
      </c>
      <c r="AQ169" s="378">
        <f t="shared" si="41"/>
        <v>1994565.5414671653</v>
      </c>
      <c r="AR169" s="378">
        <f t="shared" si="41"/>
        <v>660880.00563955808</v>
      </c>
      <c r="AS169" s="378">
        <f t="shared" si="41"/>
        <v>0</v>
      </c>
      <c r="AT169" s="378"/>
      <c r="AU169" s="378"/>
      <c r="AV169" s="378"/>
      <c r="AW169" s="419"/>
      <c r="AX169" s="419"/>
      <c r="AY169" s="378"/>
      <c r="AZ169" s="378"/>
      <c r="BA169" s="1931">
        <f>+BA142-BA167</f>
        <v>-15861186.346034562</v>
      </c>
      <c r="BB169" s="355">
        <f>+BB142-BB167</f>
        <v>118144365.03319824</v>
      </c>
      <c r="BC169" s="82" t="s">
        <v>41</v>
      </c>
      <c r="BD169" s="356"/>
      <c r="BE169" s="82"/>
    </row>
    <row r="170" spans="1:57" ht="12" customHeight="1" outlineLevel="1" thickTop="1" x14ac:dyDescent="0.25">
      <c r="A170" s="394">
        <f>ROW()</f>
        <v>170</v>
      </c>
      <c r="B170" s="18"/>
      <c r="C170" s="350" t="s">
        <v>159</v>
      </c>
      <c r="D170" s="1913"/>
      <c r="E170" s="381"/>
      <c r="F170" s="381"/>
      <c r="G170" s="381"/>
      <c r="H170" s="381"/>
      <c r="I170" s="381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1"/>
      <c r="Z170" s="381"/>
      <c r="AA170" s="381" t="s">
        <v>160</v>
      </c>
      <c r="AB170" s="381"/>
      <c r="AC170" s="381"/>
      <c r="AD170" s="381"/>
      <c r="AE170" s="420"/>
      <c r="AF170" s="420"/>
      <c r="AG170" s="381"/>
      <c r="AH170" s="381"/>
      <c r="AI170" s="381"/>
      <c r="AJ170" s="381"/>
      <c r="AK170" s="381"/>
      <c r="AL170" s="381"/>
      <c r="AM170" s="381"/>
      <c r="AN170" s="381"/>
      <c r="AO170" s="381"/>
      <c r="AP170" s="381"/>
      <c r="AQ170" s="381"/>
      <c r="AR170" s="381"/>
      <c r="AS170" s="381"/>
      <c r="AT170" s="381"/>
      <c r="AU170" s="381"/>
      <c r="AV170" s="381"/>
      <c r="AW170" s="420"/>
      <c r="AX170" s="420"/>
      <c r="AY170" s="381"/>
      <c r="AZ170" s="381"/>
      <c r="BA170" s="1930"/>
      <c r="BB170" s="1913"/>
      <c r="BC170" s="82" t="s">
        <v>41</v>
      </c>
      <c r="BD170" s="356"/>
      <c r="BE170" s="82"/>
    </row>
    <row r="171" spans="1:57" outlineLevel="1" x14ac:dyDescent="0.25">
      <c r="A171" s="394">
        <f>ROW()</f>
        <v>171</v>
      </c>
      <c r="B171" s="349" t="s">
        <v>145</v>
      </c>
      <c r="C171" s="350" t="s">
        <v>159</v>
      </c>
      <c r="D171" s="366">
        <f t="shared" ref="D171:AN171" si="42">D182</f>
        <v>2802449377.1695061</v>
      </c>
      <c r="E171" s="356">
        <f t="shared" si="42"/>
        <v>0</v>
      </c>
      <c r="F171" s="356">
        <f t="shared" si="42"/>
        <v>0</v>
      </c>
      <c r="G171" s="356">
        <f t="shared" si="42"/>
        <v>0</v>
      </c>
      <c r="H171" s="356">
        <f t="shared" si="42"/>
        <v>0</v>
      </c>
      <c r="I171" s="356">
        <f t="shared" si="42"/>
        <v>0</v>
      </c>
      <c r="J171" s="356">
        <f t="shared" si="42"/>
        <v>0</v>
      </c>
      <c r="K171" s="356">
        <f t="shared" si="42"/>
        <v>0</v>
      </c>
      <c r="L171" s="356">
        <f t="shared" si="42"/>
        <v>0</v>
      </c>
      <c r="M171" s="356">
        <f t="shared" si="42"/>
        <v>0</v>
      </c>
      <c r="N171" s="356">
        <f t="shared" si="42"/>
        <v>0</v>
      </c>
      <c r="O171" s="356">
        <f t="shared" si="42"/>
        <v>0</v>
      </c>
      <c r="P171" s="356">
        <f t="shared" si="42"/>
        <v>0</v>
      </c>
      <c r="Q171" s="356">
        <f t="shared" si="42"/>
        <v>0</v>
      </c>
      <c r="R171" s="356">
        <f t="shared" si="42"/>
        <v>0</v>
      </c>
      <c r="S171" s="356">
        <f t="shared" si="42"/>
        <v>0</v>
      </c>
      <c r="T171" s="356">
        <f t="shared" si="42"/>
        <v>0</v>
      </c>
      <c r="U171" s="356">
        <f t="shared" si="42"/>
        <v>0</v>
      </c>
      <c r="V171" s="356">
        <f t="shared" si="42"/>
        <v>0</v>
      </c>
      <c r="W171" s="356">
        <f t="shared" si="42"/>
        <v>0</v>
      </c>
      <c r="X171" s="356">
        <f t="shared" si="42"/>
        <v>0</v>
      </c>
      <c r="Y171" s="356">
        <f t="shared" si="42"/>
        <v>0</v>
      </c>
      <c r="Z171" s="356">
        <f t="shared" si="42"/>
        <v>0</v>
      </c>
      <c r="AA171" s="356">
        <f t="shared" si="42"/>
        <v>0</v>
      </c>
      <c r="AB171" s="356">
        <f t="shared" si="42"/>
        <v>0</v>
      </c>
      <c r="AC171" s="356">
        <f t="shared" si="42"/>
        <v>0</v>
      </c>
      <c r="AD171" s="356">
        <f t="shared" si="42"/>
        <v>0</v>
      </c>
      <c r="AE171" s="412">
        <f t="shared" si="42"/>
        <v>-172911836.65312946</v>
      </c>
      <c r="AF171" s="412">
        <f t="shared" si="42"/>
        <v>297280.34000000003</v>
      </c>
      <c r="AG171" s="356">
        <f t="shared" si="42"/>
        <v>126477500.64549002</v>
      </c>
      <c r="AH171" s="356">
        <f t="shared" si="42"/>
        <v>85035899.859999985</v>
      </c>
      <c r="AI171" s="356">
        <f t="shared" si="42"/>
        <v>13028953.590000002</v>
      </c>
      <c r="AJ171" s="356">
        <f t="shared" si="42"/>
        <v>54132411.425150014</v>
      </c>
      <c r="AK171" s="356">
        <f t="shared" si="42"/>
        <v>0</v>
      </c>
      <c r="AL171" s="356">
        <f t="shared" si="42"/>
        <v>0</v>
      </c>
      <c r="AM171" s="356">
        <f t="shared" si="42"/>
        <v>0</v>
      </c>
      <c r="AN171" s="356">
        <f t="shared" si="42"/>
        <v>0</v>
      </c>
      <c r="AO171" s="356"/>
      <c r="AP171" s="356">
        <f>AP182</f>
        <v>0</v>
      </c>
      <c r="AQ171" s="356">
        <f>AQ182</f>
        <v>-8672507.3526021261</v>
      </c>
      <c r="AR171" s="356">
        <f>AR182</f>
        <v>953145.69718474289</v>
      </c>
      <c r="AS171" s="356">
        <f>AS182</f>
        <v>0</v>
      </c>
      <c r="AT171" s="356"/>
      <c r="AU171" s="356"/>
      <c r="AV171" s="356"/>
      <c r="AW171" s="412"/>
      <c r="AX171" s="412"/>
      <c r="AY171" s="356"/>
      <c r="AZ171" s="356"/>
      <c r="BA171" s="1929">
        <f>BA182</f>
        <v>98340847.552093089</v>
      </c>
      <c r="BB171" s="366">
        <f>BB182</f>
        <v>2900790224.7215991</v>
      </c>
      <c r="BC171" s="82" t="s">
        <v>41</v>
      </c>
      <c r="BD171" s="356"/>
      <c r="BE171" s="82"/>
    </row>
    <row r="172" spans="1:57" outlineLevel="1" x14ac:dyDescent="0.25">
      <c r="A172" s="394">
        <f>ROW()</f>
        <v>172</v>
      </c>
      <c r="B172" s="365"/>
      <c r="C172" s="350" t="s">
        <v>159</v>
      </c>
      <c r="D172" s="351"/>
      <c r="AE172" s="411"/>
      <c r="AF172" s="411"/>
      <c r="AM172" s="1900"/>
      <c r="AW172" s="411"/>
      <c r="AX172" s="411"/>
      <c r="BA172" s="1918"/>
      <c r="BB172" s="351"/>
      <c r="BC172" s="82" t="s">
        <v>41</v>
      </c>
      <c r="BD172" s="356"/>
      <c r="BE172" s="82"/>
    </row>
    <row r="173" spans="1:57" outlineLevel="1" x14ac:dyDescent="0.25">
      <c r="A173" s="394">
        <f>ROW()</f>
        <v>173</v>
      </c>
      <c r="B173" s="349" t="s">
        <v>18</v>
      </c>
      <c r="C173" s="350" t="s">
        <v>159</v>
      </c>
      <c r="D173" s="403">
        <f>+D169/D171</f>
        <v>4.7817295995041156E-2</v>
      </c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408"/>
      <c r="AF173" s="408"/>
      <c r="AG173" s="358"/>
      <c r="AH173" s="358"/>
      <c r="AI173" s="358"/>
      <c r="AJ173" s="358"/>
      <c r="AK173" s="358"/>
      <c r="AL173" s="358"/>
      <c r="AM173" s="1899"/>
      <c r="AN173" s="358"/>
      <c r="AO173" s="358"/>
      <c r="AP173" s="358"/>
      <c r="AQ173" s="358"/>
      <c r="AR173" s="358"/>
      <c r="AS173" s="358"/>
      <c r="AT173" s="358"/>
      <c r="AU173" s="358"/>
      <c r="AV173" s="358"/>
      <c r="AW173" s="408"/>
      <c r="AX173" s="408"/>
      <c r="AY173" s="358"/>
      <c r="AZ173" s="358"/>
      <c r="BA173" s="1924"/>
      <c r="BB173" s="403">
        <f>+BB169/BB171</f>
        <v>4.0728338101227932E-2</v>
      </c>
      <c r="BC173" s="82" t="s">
        <v>41</v>
      </c>
      <c r="BD173" s="356"/>
      <c r="BE173" s="82"/>
    </row>
    <row r="174" spans="1:57" outlineLevel="1" x14ac:dyDescent="0.25">
      <c r="A174" s="394">
        <f>ROW()</f>
        <v>174</v>
      </c>
      <c r="B174" s="365"/>
      <c r="C174" s="350" t="s">
        <v>159</v>
      </c>
      <c r="D174" s="357"/>
      <c r="E174" s="358"/>
      <c r="F174" s="358"/>
      <c r="G174" s="358"/>
      <c r="H174" s="358"/>
      <c r="I174" s="358"/>
      <c r="J174" s="358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408"/>
      <c r="AF174" s="408"/>
      <c r="AG174" s="358"/>
      <c r="AH174" s="358"/>
      <c r="AI174" s="358"/>
      <c r="AJ174" s="358"/>
      <c r="AK174" s="358"/>
      <c r="AL174" s="358"/>
      <c r="AM174" s="358"/>
      <c r="AN174" s="358"/>
      <c r="AO174" s="358"/>
      <c r="AP174" s="358"/>
      <c r="AQ174" s="358"/>
      <c r="AR174" s="358"/>
      <c r="AS174" s="358"/>
      <c r="AT174" s="358"/>
      <c r="AU174" s="358"/>
      <c r="AV174" s="358"/>
      <c r="AW174" s="408"/>
      <c r="AX174" s="408"/>
      <c r="AY174" s="358"/>
      <c r="AZ174" s="358"/>
      <c r="BA174" s="1924"/>
      <c r="BB174" s="357"/>
      <c r="BC174" s="82" t="s">
        <v>41</v>
      </c>
      <c r="BD174" s="356"/>
      <c r="BE174" s="82"/>
    </row>
    <row r="175" spans="1:57" outlineLevel="1" x14ac:dyDescent="0.25">
      <c r="A175" s="394">
        <f>ROW()</f>
        <v>175</v>
      </c>
      <c r="B175" s="365" t="s">
        <v>146</v>
      </c>
      <c r="C175" s="350" t="s">
        <v>159</v>
      </c>
      <c r="D175" s="357"/>
      <c r="E175" s="358"/>
      <c r="F175" s="358"/>
      <c r="G175" s="358"/>
      <c r="H175" s="358"/>
      <c r="I175" s="358"/>
      <c r="J175" s="358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408"/>
      <c r="AF175" s="408"/>
      <c r="AG175" s="358"/>
      <c r="AH175" s="358"/>
      <c r="AI175" s="358"/>
      <c r="AJ175" s="358"/>
      <c r="AK175" s="358"/>
      <c r="AL175" s="358"/>
      <c r="AM175" s="358"/>
      <c r="AN175" s="358"/>
      <c r="AO175" s="358"/>
      <c r="AP175" s="358"/>
      <c r="AQ175" s="358"/>
      <c r="AR175" s="358"/>
      <c r="AS175" s="358"/>
      <c r="AT175" s="358"/>
      <c r="AU175" s="358"/>
      <c r="AV175" s="358"/>
      <c r="AW175" s="408"/>
      <c r="AX175" s="408"/>
      <c r="AY175" s="358"/>
      <c r="AZ175" s="358"/>
      <c r="BA175" s="1924"/>
      <c r="BB175" s="357"/>
      <c r="BC175" s="82" t="s">
        <v>41</v>
      </c>
      <c r="BD175" s="356"/>
      <c r="BE175" s="82"/>
    </row>
    <row r="176" spans="1:57" outlineLevel="1" x14ac:dyDescent="0.25">
      <c r="A176" s="394">
        <f>ROW()</f>
        <v>176</v>
      </c>
      <c r="B176" s="384" t="s">
        <v>112</v>
      </c>
      <c r="C176" s="350" t="s">
        <v>159</v>
      </c>
      <c r="D176" s="366">
        <f t="shared" ref="D176:D181" si="43">+BB115</f>
        <v>5428282396.9336042</v>
      </c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  <c r="Q176" s="356"/>
      <c r="R176" s="356"/>
      <c r="S176" s="356"/>
      <c r="T176" s="356"/>
      <c r="U176" s="356"/>
      <c r="V176" s="356"/>
      <c r="W176" s="356"/>
      <c r="X176" s="356"/>
      <c r="Y176" s="356"/>
      <c r="Z176" s="356"/>
      <c r="AA176" s="356"/>
      <c r="AB176" s="356"/>
      <c r="AC176" s="356"/>
      <c r="AD176" s="356">
        <f>'SEF-36 pg 1-33, 37'!QR17</f>
        <v>-24880223.598138332</v>
      </c>
      <c r="AE176" s="356"/>
      <c r="AF176" s="356"/>
      <c r="AG176" s="356">
        <f>'SEF-36 pg 1-33, 37'!$ST$28</f>
        <v>135484651.20414501</v>
      </c>
      <c r="AH176" s="356">
        <f>'SEF-36 pg 1-33, 37'!$ST$46</f>
        <v>89119728.279999986</v>
      </c>
      <c r="AI176" s="356">
        <f>'SEF-36 pg 1-33, 37'!$ST$64</f>
        <v>13145865.390000001</v>
      </c>
      <c r="AJ176" s="356">
        <f>'SEF-36 pg 1-33, 37'!$ST$82</f>
        <v>62546234.740635008</v>
      </c>
      <c r="AK176" s="356"/>
      <c r="AL176" s="356"/>
      <c r="AM176" s="356"/>
      <c r="AN176" s="356">
        <f>'SEF-36 pg 1-33, 37'!VR20</f>
        <v>0</v>
      </c>
      <c r="AO176" s="356"/>
      <c r="AP176" s="356"/>
      <c r="AQ176" s="356"/>
      <c r="AR176" s="356">
        <f>'SEF-36 pg 34-36'!CU18</f>
        <v>0</v>
      </c>
      <c r="AS176" s="356"/>
      <c r="AT176" s="356"/>
      <c r="AU176" s="356"/>
      <c r="AV176" s="356"/>
      <c r="AW176" s="412"/>
      <c r="AX176" s="412"/>
      <c r="AY176" s="356"/>
      <c r="AZ176" s="356"/>
      <c r="BA176" s="1929">
        <f t="shared" ref="BA176:BA181" si="44">SUM(E176:AZ176)</f>
        <v>275416256.01664162</v>
      </c>
      <c r="BB176" s="366">
        <f t="shared" ref="BB176:BB181" si="45">+BA176+BB115</f>
        <v>5703698652.9502459</v>
      </c>
      <c r="BC176" s="82" t="s">
        <v>41</v>
      </c>
      <c r="BD176" s="356"/>
      <c r="BE176" s="82"/>
    </row>
    <row r="177" spans="1:59" outlineLevel="1" x14ac:dyDescent="0.25">
      <c r="A177" s="394">
        <f>ROW()</f>
        <v>177</v>
      </c>
      <c r="B177" s="384" t="s">
        <v>113</v>
      </c>
      <c r="C177" s="350" t="s">
        <v>159</v>
      </c>
      <c r="D177" s="357">
        <f t="shared" si="43"/>
        <v>-2195356802.5214171</v>
      </c>
      <c r="E177" s="358"/>
      <c r="F177" s="358"/>
      <c r="G177" s="358"/>
      <c r="H177" s="358"/>
      <c r="I177" s="358"/>
      <c r="J177" s="358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  <c r="AA177" s="358"/>
      <c r="AB177" s="358"/>
      <c r="AC177" s="358"/>
      <c r="AD177" s="358">
        <f>'SEF-36 pg 1-33, 37'!QR18</f>
        <v>24880223.598138332</v>
      </c>
      <c r="AE177" s="358">
        <f>'SEF-36 pg 1-33, 37'!RJ34</f>
        <v>-192199558.02446508</v>
      </c>
      <c r="AF177" s="358">
        <f>'SEF-36 pg 1-33, 37'!SB33</f>
        <v>297280.34000000003</v>
      </c>
      <c r="AG177" s="358">
        <f>'SEF-36 pg 1-33, 37'!$ST$29</f>
        <v>-7603494.9489650009</v>
      </c>
      <c r="AH177" s="358">
        <f>'SEF-36 pg 1-33, 37'!$ST$47</f>
        <v>-3192662.92</v>
      </c>
      <c r="AI177" s="358">
        <f>'SEF-36 pg 1-33, 37'!$ST$65</f>
        <v>-15815.929999999998</v>
      </c>
      <c r="AJ177" s="358">
        <f>'SEF-36 pg 1-33, 37'!$ST$83</f>
        <v>-6479803.2025349988</v>
      </c>
      <c r="AK177" s="358"/>
      <c r="AL177" s="358"/>
      <c r="AM177" s="385"/>
      <c r="AN177" s="358"/>
      <c r="AO177" s="358"/>
      <c r="AP177" s="358"/>
      <c r="AQ177" s="358"/>
      <c r="AR177" s="358">
        <f>'SEF-36 pg 34-36'!CU19+'SEF-36 pg 34-36'!CU20</f>
        <v>836556.96916399756</v>
      </c>
      <c r="AS177" s="358"/>
      <c r="AT177" s="385"/>
      <c r="AU177" s="358"/>
      <c r="AV177" s="358"/>
      <c r="AW177" s="408"/>
      <c r="AX177" s="408"/>
      <c r="AY177" s="358"/>
      <c r="AZ177" s="358"/>
      <c r="BA177" s="1924">
        <f t="shared" si="44"/>
        <v>-183477274.11866277</v>
      </c>
      <c r="BB177" s="357">
        <f t="shared" si="45"/>
        <v>-2378834076.64008</v>
      </c>
      <c r="BC177" s="82" t="s">
        <v>41</v>
      </c>
      <c r="BD177" s="356"/>
      <c r="BE177" s="82"/>
    </row>
    <row r="178" spans="1:59" outlineLevel="1" x14ac:dyDescent="0.25">
      <c r="A178" s="394">
        <f>ROW()</f>
        <v>178</v>
      </c>
      <c r="B178" s="365" t="s">
        <v>147</v>
      </c>
      <c r="C178" s="350" t="s">
        <v>159</v>
      </c>
      <c r="D178" s="357">
        <f t="shared" si="43"/>
        <v>27491696.96823791</v>
      </c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  <c r="AA178" s="358"/>
      <c r="AB178" s="358"/>
      <c r="AC178" s="358"/>
      <c r="AD178" s="358"/>
      <c r="AE178" s="358"/>
      <c r="AF178" s="358">
        <f>'SEF-36 pg 1-33, 37'!SB34</f>
        <v>0</v>
      </c>
      <c r="AG178" s="358"/>
      <c r="AH178" s="358"/>
      <c r="AI178" s="358"/>
      <c r="AJ178" s="358"/>
      <c r="AK178" s="358"/>
      <c r="AL178" s="358">
        <f>'SEF-36 pg 1-33, 37'!UY17</f>
        <v>0</v>
      </c>
      <c r="AM178" s="385"/>
      <c r="AN178" s="358"/>
      <c r="AO178" s="358"/>
      <c r="AP178" s="358"/>
      <c r="AQ178" s="358">
        <f>'SEF-36 pg 34-36'!CC25</f>
        <v>-10489888.836809613</v>
      </c>
      <c r="AR178" s="358"/>
      <c r="AS178" s="358"/>
      <c r="AT178" s="385"/>
      <c r="AU178" s="358"/>
      <c r="AV178" s="358"/>
      <c r="AW178" s="408"/>
      <c r="AX178" s="408"/>
      <c r="AY178" s="358"/>
      <c r="AZ178" s="358"/>
      <c r="BA178" s="1924">
        <f t="shared" si="44"/>
        <v>-10489888.836809613</v>
      </c>
      <c r="BB178" s="357">
        <f t="shared" si="45"/>
        <v>17001808.131428298</v>
      </c>
      <c r="BC178" s="82" t="s">
        <v>41</v>
      </c>
      <c r="BD178" s="356"/>
      <c r="BE178" s="82"/>
    </row>
    <row r="179" spans="1:59" outlineLevel="1" x14ac:dyDescent="0.25">
      <c r="A179" s="394">
        <f>ROW()</f>
        <v>179</v>
      </c>
      <c r="B179" s="365" t="s">
        <v>148</v>
      </c>
      <c r="C179" s="350" t="s">
        <v>159</v>
      </c>
      <c r="D179" s="357">
        <f t="shared" si="43"/>
        <v>-575795383.92351389</v>
      </c>
      <c r="E179" s="358"/>
      <c r="F179" s="358"/>
      <c r="G179" s="358"/>
      <c r="H179" s="358">
        <f>+'SEF-36 pg 1-33, 37'!BK24</f>
        <v>0</v>
      </c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  <c r="AA179" s="358"/>
      <c r="AB179" s="358"/>
      <c r="AC179" s="358"/>
      <c r="AD179" s="358"/>
      <c r="AE179" s="358">
        <f>'SEF-36 pg 1-33, 37'!RJ35</f>
        <v>19287721.371335626</v>
      </c>
      <c r="AF179" s="358"/>
      <c r="AG179" s="358">
        <f>'SEF-36 pg 1-33, 37'!$ST$30</f>
        <v>-1403655.6096900003</v>
      </c>
      <c r="AH179" s="358">
        <f>'SEF-36 pg 1-33, 37'!$ST$48</f>
        <v>-891165.5</v>
      </c>
      <c r="AI179" s="358">
        <f>'SEF-36 pg 1-33, 37'!$ST$66</f>
        <v>-101095.87</v>
      </c>
      <c r="AJ179" s="358">
        <f>'SEF-36 pg 1-33, 37'!$ST$84</f>
        <v>-1934020.11295</v>
      </c>
      <c r="AK179" s="358"/>
      <c r="AL179" s="358">
        <f>'SEF-36 pg 1-33, 37'!UY18</f>
        <v>0</v>
      </c>
      <c r="AM179" s="1898"/>
      <c r="AN179" s="358">
        <f>'SEF-36 pg 1-33, 37'!VR22</f>
        <v>0</v>
      </c>
      <c r="AO179" s="358"/>
      <c r="AP179" s="358"/>
      <c r="AQ179" s="358">
        <f>'SEF-36 pg 34-36'!CC26</f>
        <v>1817381.4842074867</v>
      </c>
      <c r="AR179" s="358">
        <f>'SEF-36 pg 34-36'!CU21</f>
        <v>116588.72802074533</v>
      </c>
      <c r="AS179" s="358"/>
      <c r="AT179" s="382"/>
      <c r="AU179" s="358"/>
      <c r="AV179" s="358"/>
      <c r="AW179" s="408"/>
      <c r="AX179" s="408"/>
      <c r="AY179" s="358"/>
      <c r="AZ179" s="358"/>
      <c r="BA179" s="1924">
        <f t="shared" si="44"/>
        <v>16891754.490923855</v>
      </c>
      <c r="BB179" s="357">
        <f t="shared" si="45"/>
        <v>-558903629.43259001</v>
      </c>
      <c r="BC179" s="82" t="s">
        <v>41</v>
      </c>
      <c r="BD179" s="356"/>
      <c r="BE179" s="82"/>
    </row>
    <row r="180" spans="1:59" outlineLevel="1" x14ac:dyDescent="0.25">
      <c r="A180" s="394">
        <f>ROW()</f>
        <v>180</v>
      </c>
      <c r="B180" s="365" t="s">
        <v>149</v>
      </c>
      <c r="C180" s="350" t="s">
        <v>159</v>
      </c>
      <c r="D180" s="386">
        <f t="shared" si="43"/>
        <v>119028167.29199991</v>
      </c>
      <c r="E180" s="358"/>
      <c r="F180" s="358"/>
      <c r="G180" s="358"/>
      <c r="H180" s="358"/>
      <c r="I180" s="358"/>
      <c r="J180" s="358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  <c r="AA180" s="358"/>
      <c r="AB180" s="358"/>
      <c r="AC180" s="358"/>
      <c r="AD180" s="358"/>
      <c r="AE180" s="358"/>
      <c r="AF180" s="358"/>
      <c r="AG180" s="358"/>
      <c r="AH180" s="358"/>
      <c r="AI180" s="358"/>
      <c r="AJ180" s="358"/>
      <c r="AK180" s="358"/>
      <c r="AL180" s="358"/>
      <c r="AM180" s="385"/>
      <c r="AN180" s="358"/>
      <c r="AO180" s="358"/>
      <c r="AP180" s="358"/>
      <c r="AQ180" s="358"/>
      <c r="AR180" s="358"/>
      <c r="AS180" s="358"/>
      <c r="AT180" s="358"/>
      <c r="AU180" s="358"/>
      <c r="AV180" s="358"/>
      <c r="AW180" s="358"/>
      <c r="AX180" s="358"/>
      <c r="AY180" s="358"/>
      <c r="AZ180" s="358"/>
      <c r="BA180" s="1924">
        <f t="shared" si="44"/>
        <v>0</v>
      </c>
      <c r="BB180" s="357">
        <f t="shared" si="45"/>
        <v>119028167.29199991</v>
      </c>
      <c r="BC180" s="82" t="s">
        <v>41</v>
      </c>
      <c r="BD180" s="356"/>
      <c r="BE180" s="82"/>
      <c r="BG180" s="317">
        <f>175+61</f>
        <v>236</v>
      </c>
    </row>
    <row r="181" spans="1:59" outlineLevel="1" x14ac:dyDescent="0.25">
      <c r="A181" s="394">
        <f>ROW()</f>
        <v>181</v>
      </c>
      <c r="B181" s="365" t="s">
        <v>150</v>
      </c>
      <c r="C181" s="350" t="s">
        <v>159</v>
      </c>
      <c r="D181" s="357">
        <f t="shared" si="43"/>
        <v>-1200697.579405</v>
      </c>
      <c r="E181" s="358"/>
      <c r="F181" s="358"/>
      <c r="G181" s="358"/>
      <c r="H181" s="358"/>
      <c r="I181" s="358"/>
      <c r="J181" s="358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  <c r="AA181" s="358"/>
      <c r="AB181" s="358"/>
      <c r="AC181" s="358"/>
      <c r="AD181" s="358"/>
      <c r="AE181" s="358"/>
      <c r="AF181" s="358"/>
      <c r="AG181" s="358"/>
      <c r="AH181" s="358"/>
      <c r="AI181" s="358"/>
      <c r="AJ181" s="358"/>
      <c r="AK181" s="358"/>
      <c r="AL181" s="358"/>
      <c r="AM181" s="385"/>
      <c r="AN181" s="358"/>
      <c r="AO181" s="358"/>
      <c r="AP181" s="358"/>
      <c r="AQ181" s="358"/>
      <c r="AR181" s="358"/>
      <c r="AS181" s="358"/>
      <c r="AT181" s="358"/>
      <c r="AU181" s="358"/>
      <c r="AV181" s="358"/>
      <c r="AW181" s="358"/>
      <c r="AX181" s="358"/>
      <c r="AY181" s="358"/>
      <c r="AZ181" s="358"/>
      <c r="BA181" s="1924">
        <f t="shared" si="44"/>
        <v>0</v>
      </c>
      <c r="BB181" s="357">
        <f t="shared" si="45"/>
        <v>-1200697.579405</v>
      </c>
      <c r="BC181" s="82" t="s">
        <v>41</v>
      </c>
      <c r="BD181" s="356"/>
      <c r="BE181" s="82"/>
    </row>
    <row r="182" spans="1:59" ht="15.75" outlineLevel="1" thickBot="1" x14ac:dyDescent="0.3">
      <c r="A182" s="394">
        <f>ROW()</f>
        <v>182</v>
      </c>
      <c r="B182" s="365" t="s">
        <v>118</v>
      </c>
      <c r="C182" s="350" t="s">
        <v>159</v>
      </c>
      <c r="D182" s="366">
        <f t="shared" ref="D182:AS182" si="46">SUM(D176:D181)</f>
        <v>2802449377.1695061</v>
      </c>
      <c r="E182" s="389">
        <f t="shared" si="46"/>
        <v>0</v>
      </c>
      <c r="F182" s="389">
        <f t="shared" si="46"/>
        <v>0</v>
      </c>
      <c r="G182" s="389">
        <f t="shared" si="46"/>
        <v>0</v>
      </c>
      <c r="H182" s="389">
        <f t="shared" si="46"/>
        <v>0</v>
      </c>
      <c r="I182" s="389">
        <f t="shared" si="46"/>
        <v>0</v>
      </c>
      <c r="J182" s="389">
        <f t="shared" si="46"/>
        <v>0</v>
      </c>
      <c r="K182" s="389">
        <f t="shared" si="46"/>
        <v>0</v>
      </c>
      <c r="L182" s="389">
        <f t="shared" si="46"/>
        <v>0</v>
      </c>
      <c r="M182" s="389">
        <f t="shared" si="46"/>
        <v>0</v>
      </c>
      <c r="N182" s="389">
        <f t="shared" si="46"/>
        <v>0</v>
      </c>
      <c r="O182" s="389">
        <f t="shared" si="46"/>
        <v>0</v>
      </c>
      <c r="P182" s="389">
        <f t="shared" si="46"/>
        <v>0</v>
      </c>
      <c r="Q182" s="389">
        <f t="shared" si="46"/>
        <v>0</v>
      </c>
      <c r="R182" s="389">
        <f t="shared" si="46"/>
        <v>0</v>
      </c>
      <c r="S182" s="389">
        <f t="shared" si="46"/>
        <v>0</v>
      </c>
      <c r="T182" s="389">
        <f t="shared" si="46"/>
        <v>0</v>
      </c>
      <c r="U182" s="389">
        <f t="shared" si="46"/>
        <v>0</v>
      </c>
      <c r="V182" s="389">
        <f t="shared" si="46"/>
        <v>0</v>
      </c>
      <c r="W182" s="389">
        <f t="shared" si="46"/>
        <v>0</v>
      </c>
      <c r="X182" s="389">
        <f t="shared" si="46"/>
        <v>0</v>
      </c>
      <c r="Y182" s="389">
        <f t="shared" si="46"/>
        <v>0</v>
      </c>
      <c r="Z182" s="389">
        <f t="shared" si="46"/>
        <v>0</v>
      </c>
      <c r="AA182" s="389">
        <f t="shared" si="46"/>
        <v>0</v>
      </c>
      <c r="AB182" s="389">
        <f t="shared" si="46"/>
        <v>0</v>
      </c>
      <c r="AC182" s="389">
        <f t="shared" si="46"/>
        <v>0</v>
      </c>
      <c r="AD182" s="389">
        <f t="shared" si="46"/>
        <v>0</v>
      </c>
      <c r="AE182" s="389">
        <f t="shared" si="46"/>
        <v>-172911836.65312946</v>
      </c>
      <c r="AF182" s="389">
        <f t="shared" si="46"/>
        <v>297280.34000000003</v>
      </c>
      <c r="AG182" s="389">
        <f t="shared" si="46"/>
        <v>126477500.64549002</v>
      </c>
      <c r="AH182" s="389">
        <f t="shared" si="46"/>
        <v>85035899.859999985</v>
      </c>
      <c r="AI182" s="389">
        <f t="shared" si="46"/>
        <v>13028953.590000002</v>
      </c>
      <c r="AJ182" s="389">
        <f t="shared" si="46"/>
        <v>54132411.425150014</v>
      </c>
      <c r="AK182" s="389">
        <f t="shared" si="46"/>
        <v>0</v>
      </c>
      <c r="AL182" s="389">
        <f t="shared" si="46"/>
        <v>0</v>
      </c>
      <c r="AM182" s="389">
        <f t="shared" si="46"/>
        <v>0</v>
      </c>
      <c r="AN182" s="389">
        <f t="shared" si="46"/>
        <v>0</v>
      </c>
      <c r="AO182" s="389">
        <f t="shared" si="46"/>
        <v>0</v>
      </c>
      <c r="AP182" s="389">
        <f t="shared" si="46"/>
        <v>0</v>
      </c>
      <c r="AQ182" s="389">
        <f t="shared" si="46"/>
        <v>-8672507.3526021261</v>
      </c>
      <c r="AR182" s="389">
        <f t="shared" si="46"/>
        <v>953145.69718474289</v>
      </c>
      <c r="AS182" s="389">
        <f t="shared" si="46"/>
        <v>0</v>
      </c>
      <c r="AT182" s="389"/>
      <c r="AU182" s="389"/>
      <c r="AV182" s="389"/>
      <c r="AW182" s="389"/>
      <c r="AX182" s="389"/>
      <c r="AY182" s="389"/>
      <c r="AZ182" s="389"/>
      <c r="BA182" s="1928">
        <f>SUM(BA176:BA181)</f>
        <v>98340847.552093089</v>
      </c>
      <c r="BB182" s="366">
        <f>SUM(BB176:BB181)</f>
        <v>2900790224.7215991</v>
      </c>
      <c r="BC182" s="82" t="s">
        <v>41</v>
      </c>
      <c r="BD182" s="356"/>
      <c r="BE182" s="82"/>
    </row>
    <row r="183" spans="1:59" ht="15.75" outlineLevel="1" thickTop="1" x14ac:dyDescent="0.25">
      <c r="A183" s="394">
        <f>ROW()</f>
        <v>183</v>
      </c>
      <c r="B183" s="65" t="s">
        <v>30</v>
      </c>
      <c r="C183" s="350" t="s">
        <v>159</v>
      </c>
      <c r="H183" s="1897"/>
      <c r="BA183" s="351"/>
      <c r="BB183" s="351"/>
      <c r="BC183" s="82" t="s">
        <v>41</v>
      </c>
      <c r="BD183" s="356"/>
      <c r="BE183" s="82"/>
    </row>
    <row r="184" spans="1:59" outlineLevel="1" x14ac:dyDescent="0.25">
      <c r="A184" s="394">
        <f>ROW()</f>
        <v>184</v>
      </c>
      <c r="B184" s="365" t="s">
        <v>119</v>
      </c>
      <c r="C184" s="350" t="s">
        <v>159</v>
      </c>
      <c r="D184" s="1921">
        <f>+'SEF-33 pg 1-2'!C13</f>
        <v>7.6499999999999999E-2</v>
      </c>
      <c r="E184" s="80">
        <f>+'SEF-33 pg 1-2'!C13</f>
        <v>7.6499999999999999E-2</v>
      </c>
      <c r="F184" s="80">
        <f>+'SEF-33 pg 1-2'!C13</f>
        <v>7.6499999999999999E-2</v>
      </c>
      <c r="G184" s="80">
        <f>+'SEF-33 pg 1-2'!C13</f>
        <v>7.6499999999999999E-2</v>
      </c>
      <c r="H184" s="80">
        <f>+'SEF-33 pg 1-2'!C13</f>
        <v>7.6499999999999999E-2</v>
      </c>
      <c r="I184" s="80">
        <f>+'SEF-33 pg 1-2'!C13</f>
        <v>7.6499999999999999E-2</v>
      </c>
      <c r="J184" s="80">
        <f>+'SEF-33 pg 1-2'!C13</f>
        <v>7.6499999999999999E-2</v>
      </c>
      <c r="K184" s="80">
        <f>+'SEF-33 pg 1-2'!C13</f>
        <v>7.6499999999999999E-2</v>
      </c>
      <c r="L184" s="80">
        <f>+'SEF-33 pg 1-2'!C13</f>
        <v>7.6499999999999999E-2</v>
      </c>
      <c r="M184" s="80">
        <f>+'SEF-33 pg 1-2'!C13</f>
        <v>7.6499999999999999E-2</v>
      </c>
      <c r="N184" s="80">
        <f>+'SEF-33 pg 1-2'!C13</f>
        <v>7.6499999999999999E-2</v>
      </c>
      <c r="O184" s="80">
        <f>+'SEF-33 pg 1-2'!C13</f>
        <v>7.6499999999999999E-2</v>
      </c>
      <c r="P184" s="80">
        <f>+'SEF-33 pg 1-2'!C13</f>
        <v>7.6499999999999999E-2</v>
      </c>
      <c r="Q184" s="80">
        <f>+'SEF-33 pg 1-2'!C13</f>
        <v>7.6499999999999999E-2</v>
      </c>
      <c r="R184" s="80">
        <f>+'SEF-33 pg 1-2'!C13</f>
        <v>7.6499999999999999E-2</v>
      </c>
      <c r="S184" s="80">
        <f>+'SEF-33 pg 1-2'!C13</f>
        <v>7.6499999999999999E-2</v>
      </c>
      <c r="T184" s="80">
        <f>+'SEF-33 pg 1-2'!C13</f>
        <v>7.6499999999999999E-2</v>
      </c>
      <c r="U184" s="80">
        <f>+'SEF-33 pg 1-2'!C13</f>
        <v>7.6499999999999999E-2</v>
      </c>
      <c r="V184" s="80">
        <f>+'SEF-33 pg 1-2'!C13</f>
        <v>7.6499999999999999E-2</v>
      </c>
      <c r="W184" s="80">
        <f>+'SEF-33 pg 1-2'!C13</f>
        <v>7.6499999999999999E-2</v>
      </c>
      <c r="X184" s="80">
        <f>+'SEF-33 pg 1-2'!C13</f>
        <v>7.6499999999999999E-2</v>
      </c>
      <c r="Y184" s="80">
        <f>+'SEF-33 pg 1-2'!C13</f>
        <v>7.6499999999999999E-2</v>
      </c>
      <c r="Z184" s="80">
        <f>+'SEF-33 pg 1-2'!C13</f>
        <v>7.6499999999999999E-2</v>
      </c>
      <c r="AA184" s="80">
        <f>+'SEF-33 pg 1-2'!C13</f>
        <v>7.6499999999999999E-2</v>
      </c>
      <c r="AB184" s="80">
        <f>+'SEF-33 pg 1-2'!C13</f>
        <v>7.6499999999999999E-2</v>
      </c>
      <c r="AC184" s="80">
        <f>+'SEF-33 pg 1-2'!C13</f>
        <v>7.6499999999999999E-2</v>
      </c>
      <c r="AD184" s="80">
        <f>+'SEF-33 pg 1-2'!C13</f>
        <v>7.6499999999999999E-2</v>
      </c>
      <c r="AE184" s="80">
        <f>+'SEF-33 pg 1-2'!C13</f>
        <v>7.6499999999999999E-2</v>
      </c>
      <c r="AF184" s="80">
        <f>+'SEF-33 pg 1-2'!C13</f>
        <v>7.6499999999999999E-2</v>
      </c>
      <c r="AG184" s="80">
        <f>+'SEF-33 pg 1-2'!$C$13</f>
        <v>7.6499999999999999E-2</v>
      </c>
      <c r="AH184" s="80">
        <f>+'SEF-33 pg 1-2'!$C$13</f>
        <v>7.6499999999999999E-2</v>
      </c>
      <c r="AI184" s="80">
        <f>+'SEF-33 pg 1-2'!$C$13</f>
        <v>7.6499999999999999E-2</v>
      </c>
      <c r="AJ184" s="80">
        <f>+'SEF-33 pg 1-2'!$C$13</f>
        <v>7.6499999999999999E-2</v>
      </c>
      <c r="AK184" s="80">
        <f>+'SEF-33 pg 1-2'!$C$13</f>
        <v>7.6499999999999999E-2</v>
      </c>
      <c r="AL184" s="80">
        <f>+'SEF-33 pg 1-2'!$C$13</f>
        <v>7.6499999999999999E-2</v>
      </c>
      <c r="AM184" s="80">
        <f>+'SEF-33 pg 1-2'!$C$13</f>
        <v>7.6499999999999999E-2</v>
      </c>
      <c r="AN184" s="80">
        <f>+'SEF-33 pg 1-2'!$C$13</f>
        <v>7.6499999999999999E-2</v>
      </c>
      <c r="AO184" s="80">
        <f>+'SEF-33 pg 1-2'!$C$13</f>
        <v>7.6499999999999999E-2</v>
      </c>
      <c r="AP184" s="80">
        <f>+'SEF-33 pg 1-2'!C13</f>
        <v>7.6499999999999999E-2</v>
      </c>
      <c r="AQ184" s="80">
        <f>+'SEF-33 pg 1-2'!C13</f>
        <v>7.6499999999999999E-2</v>
      </c>
      <c r="AR184" s="80">
        <f>+'SEF-33 pg 1-2'!C13</f>
        <v>7.6499999999999999E-2</v>
      </c>
      <c r="AS184" s="80"/>
      <c r="AT184" s="80"/>
      <c r="AU184" s="80"/>
      <c r="AV184" s="80"/>
      <c r="AW184" s="80"/>
      <c r="AX184" s="80"/>
      <c r="AY184" s="80"/>
      <c r="AZ184" s="80"/>
      <c r="BA184" s="1927">
        <f>+'SEF-33 pg 1-2'!C13</f>
        <v>7.6499999999999999E-2</v>
      </c>
      <c r="BB184" s="81">
        <f>+'SEF-33 pg 1-2'!C13</f>
        <v>7.6499999999999999E-2</v>
      </c>
      <c r="BC184" s="82" t="s">
        <v>41</v>
      </c>
      <c r="BD184" s="356"/>
      <c r="BE184" s="82"/>
    </row>
    <row r="185" spans="1:59" outlineLevel="1" x14ac:dyDescent="0.25">
      <c r="A185" s="394">
        <f>ROW()</f>
        <v>185</v>
      </c>
      <c r="B185" s="365" t="s">
        <v>3</v>
      </c>
      <c r="C185" s="350" t="s">
        <v>159</v>
      </c>
      <c r="D185" s="1926">
        <f>+'SEF-35'!E20</f>
        <v>0.75342299999999995</v>
      </c>
      <c r="E185" s="391">
        <f>+'SEF-35'!E20</f>
        <v>0.75342299999999995</v>
      </c>
      <c r="F185" s="391">
        <f>+'SEF-35'!E20</f>
        <v>0.75342299999999995</v>
      </c>
      <c r="G185" s="391">
        <f>+'SEF-35'!E20</f>
        <v>0.75342299999999995</v>
      </c>
      <c r="H185" s="391">
        <f>+'SEF-35'!E20</f>
        <v>0.75342299999999995</v>
      </c>
      <c r="I185" s="391">
        <f>+'SEF-35'!E20</f>
        <v>0.75342299999999995</v>
      </c>
      <c r="J185" s="391">
        <f>+'SEF-35'!E20</f>
        <v>0.75342299999999995</v>
      </c>
      <c r="K185" s="391">
        <f>+'SEF-35'!E20</f>
        <v>0.75342299999999995</v>
      </c>
      <c r="L185" s="391">
        <f>+'SEF-35'!E20</f>
        <v>0.75342299999999995</v>
      </c>
      <c r="M185" s="391">
        <f>+'SEF-35'!E20</f>
        <v>0.75342299999999995</v>
      </c>
      <c r="N185" s="391">
        <f>+'SEF-35'!E20</f>
        <v>0.75342299999999995</v>
      </c>
      <c r="O185" s="391">
        <f>+'SEF-35'!E20</f>
        <v>0.75342299999999995</v>
      </c>
      <c r="P185" s="391">
        <f>+'SEF-35'!E20</f>
        <v>0.75342299999999995</v>
      </c>
      <c r="Q185" s="391">
        <f>+'SEF-35'!E20</f>
        <v>0.75342299999999995</v>
      </c>
      <c r="R185" s="391">
        <f>+'SEF-35'!E20</f>
        <v>0.75342299999999995</v>
      </c>
      <c r="S185" s="391">
        <f>+'SEF-35'!E20</f>
        <v>0.75342299999999995</v>
      </c>
      <c r="T185" s="391">
        <f>+'SEF-35'!E20</f>
        <v>0.75342299999999995</v>
      </c>
      <c r="U185" s="391">
        <f>+'SEF-35'!E20</f>
        <v>0.75342299999999995</v>
      </c>
      <c r="V185" s="391">
        <f>+'SEF-35'!E20</f>
        <v>0.75342299999999995</v>
      </c>
      <c r="W185" s="391">
        <f>+'SEF-35'!E20</f>
        <v>0.75342299999999995</v>
      </c>
      <c r="X185" s="391">
        <f>+'SEF-35'!E20</f>
        <v>0.75342299999999995</v>
      </c>
      <c r="Y185" s="391">
        <f>+'SEF-35'!E20</f>
        <v>0.75342299999999995</v>
      </c>
      <c r="Z185" s="391">
        <f>+'SEF-35'!E20</f>
        <v>0.75342299999999995</v>
      </c>
      <c r="AA185" s="391">
        <f>+'SEF-35'!E20</f>
        <v>0.75342299999999995</v>
      </c>
      <c r="AB185" s="391">
        <f>+'SEF-35'!E20</f>
        <v>0.75342299999999995</v>
      </c>
      <c r="AC185" s="391">
        <f>+'SEF-35'!E20</f>
        <v>0.75342299999999995</v>
      </c>
      <c r="AD185" s="391">
        <f>+'SEF-35'!E20</f>
        <v>0.75342299999999995</v>
      </c>
      <c r="AE185" s="391">
        <f>+'SEF-35'!E20</f>
        <v>0.75342299999999995</v>
      </c>
      <c r="AF185" s="391">
        <f>+'SEF-35'!E20</f>
        <v>0.75342299999999995</v>
      </c>
      <c r="AG185" s="391">
        <f>+'SEF-35'!$E$20</f>
        <v>0.75342299999999995</v>
      </c>
      <c r="AH185" s="391">
        <f>+'SEF-35'!$E$20</f>
        <v>0.75342299999999995</v>
      </c>
      <c r="AI185" s="391">
        <f>+'SEF-35'!$E$20</f>
        <v>0.75342299999999995</v>
      </c>
      <c r="AJ185" s="391">
        <f>+'SEF-35'!$E$20</f>
        <v>0.75342299999999995</v>
      </c>
      <c r="AK185" s="391">
        <f>+'SEF-35'!$E$20</f>
        <v>0.75342299999999995</v>
      </c>
      <c r="AL185" s="391">
        <f>+'SEF-35'!$E$20</f>
        <v>0.75342299999999995</v>
      </c>
      <c r="AM185" s="391">
        <f>+'SEF-35'!$E$20</f>
        <v>0.75342299999999995</v>
      </c>
      <c r="AN185" s="391">
        <f>+'SEF-35'!$E$20</f>
        <v>0.75342299999999995</v>
      </c>
      <c r="AO185" s="391">
        <f>+'SEF-35'!$E$20</f>
        <v>0.75342299999999995</v>
      </c>
      <c r="AP185" s="391">
        <f>+'SEF-35'!E20</f>
        <v>0.75342299999999995</v>
      </c>
      <c r="AQ185" s="391">
        <f>+'SEF-35'!E20</f>
        <v>0.75342299999999995</v>
      </c>
      <c r="AR185" s="391">
        <f>+'SEF-35'!E20</f>
        <v>0.75342299999999995</v>
      </c>
      <c r="AS185" s="391"/>
      <c r="AT185" s="391"/>
      <c r="AU185" s="391"/>
      <c r="AV185" s="391"/>
      <c r="AW185" s="391"/>
      <c r="AX185" s="391"/>
      <c r="AY185" s="391"/>
      <c r="AZ185" s="391"/>
      <c r="BA185" s="391">
        <f>+'SEF-35'!E20</f>
        <v>0.75342299999999995</v>
      </c>
      <c r="BB185" s="390">
        <f>+'SEF-35'!E20</f>
        <v>0.75342299999999995</v>
      </c>
      <c r="BC185" s="82" t="s">
        <v>41</v>
      </c>
      <c r="BD185" s="356"/>
      <c r="BE185" s="82"/>
    </row>
    <row r="186" spans="1:59" outlineLevel="1" x14ac:dyDescent="0.25">
      <c r="A186" s="394">
        <f>ROW()</f>
        <v>186</v>
      </c>
      <c r="B186" s="365" t="s">
        <v>152</v>
      </c>
      <c r="C186" s="350" t="s">
        <v>159</v>
      </c>
      <c r="D186" s="1925">
        <f t="shared" ref="D186:AR186" si="47">+D169-(D182*D184)</f>
        <v>-80381825.974234194</v>
      </c>
      <c r="E186" s="392">
        <f t="shared" si="47"/>
        <v>-7820108.3476467468</v>
      </c>
      <c r="F186" s="382">
        <f t="shared" si="47"/>
        <v>0</v>
      </c>
      <c r="G186" s="382">
        <f t="shared" si="47"/>
        <v>0</v>
      </c>
      <c r="H186" s="382">
        <f t="shared" si="47"/>
        <v>-348814.75209316192</v>
      </c>
      <c r="I186" s="382">
        <f t="shared" si="47"/>
        <v>543136.50103020924</v>
      </c>
      <c r="J186" s="382">
        <f t="shared" si="47"/>
        <v>0</v>
      </c>
      <c r="K186" s="382">
        <f t="shared" si="47"/>
        <v>0</v>
      </c>
      <c r="L186" s="382">
        <f t="shared" si="47"/>
        <v>0</v>
      </c>
      <c r="M186" s="382">
        <f t="shared" si="47"/>
        <v>0</v>
      </c>
      <c r="N186" s="382">
        <f t="shared" si="47"/>
        <v>0</v>
      </c>
      <c r="O186" s="382">
        <f t="shared" si="47"/>
        <v>-81134.752065464156</v>
      </c>
      <c r="P186" s="382">
        <f t="shared" si="47"/>
        <v>0</v>
      </c>
      <c r="Q186" s="382">
        <f t="shared" si="47"/>
        <v>0</v>
      </c>
      <c r="R186" s="382">
        <f t="shared" si="47"/>
        <v>0</v>
      </c>
      <c r="S186" s="382">
        <f t="shared" si="47"/>
        <v>0</v>
      </c>
      <c r="T186" s="382">
        <f t="shared" si="47"/>
        <v>0</v>
      </c>
      <c r="U186" s="382">
        <f t="shared" si="47"/>
        <v>0</v>
      </c>
      <c r="V186" s="382">
        <f t="shared" si="47"/>
        <v>0</v>
      </c>
      <c r="W186" s="382">
        <f t="shared" si="47"/>
        <v>0</v>
      </c>
      <c r="X186" s="382">
        <f t="shared" si="47"/>
        <v>0</v>
      </c>
      <c r="Y186" s="382">
        <f t="shared" si="47"/>
        <v>0</v>
      </c>
      <c r="Z186" s="382">
        <f t="shared" si="47"/>
        <v>0</v>
      </c>
      <c r="AA186" s="382">
        <f t="shared" si="47"/>
        <v>0</v>
      </c>
      <c r="AB186" s="382">
        <f t="shared" si="47"/>
        <v>0</v>
      </c>
      <c r="AC186" s="382">
        <f t="shared" si="47"/>
        <v>-8365.7772850000765</v>
      </c>
      <c r="AD186" s="382">
        <f t="shared" si="47"/>
        <v>0</v>
      </c>
      <c r="AE186" s="382">
        <f t="shared" si="47"/>
        <v>14782782.880870083</v>
      </c>
      <c r="AF186" s="382">
        <f t="shared" si="47"/>
        <v>178430.17938999995</v>
      </c>
      <c r="AG186" s="382">
        <f t="shared" si="47"/>
        <v>-15199385.674182434</v>
      </c>
      <c r="AH186" s="382">
        <f t="shared" si="47"/>
        <v>-8708486.203089999</v>
      </c>
      <c r="AI186" s="382">
        <f t="shared" si="47"/>
        <v>-1008721.4881350001</v>
      </c>
      <c r="AJ186" s="382">
        <f t="shared" si="47"/>
        <v>-8959570.4643083271</v>
      </c>
      <c r="AK186" s="382">
        <f t="shared" si="47"/>
        <v>0</v>
      </c>
      <c r="AL186" s="382">
        <f t="shared" si="47"/>
        <v>0</v>
      </c>
      <c r="AM186" s="382">
        <f t="shared" si="47"/>
        <v>0</v>
      </c>
      <c r="AN186" s="382">
        <f t="shared" si="47"/>
        <v>0</v>
      </c>
      <c r="AO186" s="382">
        <f t="shared" si="47"/>
        <v>0</v>
      </c>
      <c r="AP186" s="382">
        <f t="shared" si="47"/>
        <v>0</v>
      </c>
      <c r="AQ186" s="382">
        <f t="shared" si="47"/>
        <v>2658012.3539412282</v>
      </c>
      <c r="AR186" s="382">
        <f t="shared" si="47"/>
        <v>587964.35980492528</v>
      </c>
      <c r="AS186" s="382"/>
      <c r="AT186" s="382"/>
      <c r="AU186" s="382"/>
      <c r="AV186" s="382"/>
      <c r="AW186" s="382"/>
      <c r="AX186" s="382"/>
      <c r="AY186" s="382"/>
      <c r="AZ186" s="382"/>
      <c r="BA186" s="1924">
        <f>SUM(E186:AZ186)</f>
        <v>-23384261.183769688</v>
      </c>
      <c r="BB186" s="371">
        <f>+BB169-(BB182*BB184)</f>
        <v>-103766087.15800408</v>
      </c>
      <c r="BC186" s="82" t="s">
        <v>41</v>
      </c>
      <c r="BD186" s="356"/>
      <c r="BE186" s="82"/>
    </row>
    <row r="187" spans="1:59" outlineLevel="1" x14ac:dyDescent="0.25">
      <c r="A187" s="394">
        <f>ROW()</f>
        <v>187</v>
      </c>
      <c r="B187" s="365" t="s">
        <v>153</v>
      </c>
      <c r="C187" s="350" t="s">
        <v>159</v>
      </c>
      <c r="D187" s="1925">
        <f t="shared" ref="D187:AR187" si="48">-D186/D185</f>
        <v>106688840.0994318</v>
      </c>
      <c r="E187" s="382">
        <f t="shared" si="48"/>
        <v>10379439.36891593</v>
      </c>
      <c r="F187" s="382">
        <f t="shared" si="48"/>
        <v>0</v>
      </c>
      <c r="G187" s="382">
        <f t="shared" si="48"/>
        <v>0</v>
      </c>
      <c r="H187" s="392">
        <f t="shared" si="48"/>
        <v>462973.32586496818</v>
      </c>
      <c r="I187" s="392">
        <f t="shared" si="48"/>
        <v>-720891.85096580442</v>
      </c>
      <c r="J187" s="382">
        <f t="shared" si="48"/>
        <v>0</v>
      </c>
      <c r="K187" s="382">
        <f t="shared" si="48"/>
        <v>0</v>
      </c>
      <c r="L187" s="382">
        <f t="shared" si="48"/>
        <v>0</v>
      </c>
      <c r="M187" s="382">
        <f t="shared" si="48"/>
        <v>0</v>
      </c>
      <c r="N187" s="382">
        <f t="shared" si="48"/>
        <v>0</v>
      </c>
      <c r="O187" s="392">
        <f t="shared" si="48"/>
        <v>107688.18056452239</v>
      </c>
      <c r="P187" s="382">
        <f t="shared" si="48"/>
        <v>0</v>
      </c>
      <c r="Q187" s="382">
        <f t="shared" si="48"/>
        <v>0</v>
      </c>
      <c r="R187" s="382">
        <f t="shared" si="48"/>
        <v>0</v>
      </c>
      <c r="S187" s="382">
        <f t="shared" si="48"/>
        <v>0</v>
      </c>
      <c r="T187" s="382">
        <f t="shared" si="48"/>
        <v>0</v>
      </c>
      <c r="U187" s="382">
        <f t="shared" si="48"/>
        <v>0</v>
      </c>
      <c r="V187" s="382">
        <f t="shared" si="48"/>
        <v>0</v>
      </c>
      <c r="W187" s="382">
        <f t="shared" si="48"/>
        <v>0</v>
      </c>
      <c r="X187" s="382">
        <f t="shared" si="48"/>
        <v>0</v>
      </c>
      <c r="Y187" s="382">
        <f t="shared" si="48"/>
        <v>0</v>
      </c>
      <c r="Z187" s="382">
        <f t="shared" si="48"/>
        <v>0</v>
      </c>
      <c r="AA187" s="382">
        <f t="shared" si="48"/>
        <v>0</v>
      </c>
      <c r="AB187" s="382">
        <f t="shared" si="48"/>
        <v>0</v>
      </c>
      <c r="AC187" s="392">
        <f t="shared" si="48"/>
        <v>11103.692460941698</v>
      </c>
      <c r="AD187" s="382">
        <f t="shared" si="48"/>
        <v>0</v>
      </c>
      <c r="AE187" s="392">
        <f t="shared" si="48"/>
        <v>-19620827.716793999</v>
      </c>
      <c r="AF187" s="392">
        <f t="shared" si="48"/>
        <v>-236826.03184399728</v>
      </c>
      <c r="AG187" s="392">
        <f t="shared" si="48"/>
        <v>20173774.458945949</v>
      </c>
      <c r="AH187" s="392">
        <f t="shared" si="48"/>
        <v>11558561.662027838</v>
      </c>
      <c r="AI187" s="392">
        <f t="shared" si="48"/>
        <v>1338851.4660887711</v>
      </c>
      <c r="AJ187" s="392">
        <f t="shared" si="48"/>
        <v>11891819.687358001</v>
      </c>
      <c r="AK187" s="382">
        <f t="shared" si="48"/>
        <v>0</v>
      </c>
      <c r="AL187" s="382">
        <f t="shared" si="48"/>
        <v>0</v>
      </c>
      <c r="AM187" s="382">
        <f t="shared" si="48"/>
        <v>0</v>
      </c>
      <c r="AN187" s="382">
        <f t="shared" si="48"/>
        <v>0</v>
      </c>
      <c r="AO187" s="382">
        <f t="shared" si="48"/>
        <v>0</v>
      </c>
      <c r="AP187" s="382">
        <f t="shared" si="48"/>
        <v>0</v>
      </c>
      <c r="AQ187" s="392">
        <f t="shared" si="48"/>
        <v>-3527915.0675533246</v>
      </c>
      <c r="AR187" s="392">
        <f t="shared" si="48"/>
        <v>-780390.77623715403</v>
      </c>
      <c r="AS187" s="382"/>
      <c r="AT187" s="382"/>
      <c r="AU187" s="382"/>
      <c r="AV187" s="382"/>
      <c r="AW187" s="382"/>
      <c r="AX187" s="382"/>
      <c r="AY187" s="382"/>
      <c r="AZ187" s="382"/>
      <c r="BA187" s="1924">
        <f>SUM(E187:AZ187)</f>
        <v>31037360.398832642</v>
      </c>
      <c r="BB187" s="371">
        <f>-BB186/BB185</f>
        <v>137726200.4982647</v>
      </c>
      <c r="BC187" s="82" t="s">
        <v>41</v>
      </c>
      <c r="BD187" s="356"/>
      <c r="BE187" s="82"/>
    </row>
    <row r="188" spans="1:59" outlineLevel="1" x14ac:dyDescent="0.25">
      <c r="A188" s="394">
        <f>ROW()</f>
        <v>188</v>
      </c>
      <c r="B188" s="365" t="s">
        <v>128</v>
      </c>
      <c r="C188" s="350" t="s">
        <v>159</v>
      </c>
      <c r="D188" s="1923"/>
      <c r="E188" s="382"/>
      <c r="F188" s="382"/>
      <c r="G188" s="382"/>
      <c r="H188" s="382"/>
      <c r="I188" s="382"/>
      <c r="J188" s="382"/>
      <c r="K188" s="382"/>
      <c r="L188" s="382"/>
      <c r="M188" s="382"/>
      <c r="N188" s="382"/>
      <c r="O188" s="382"/>
      <c r="P188" s="382"/>
      <c r="Q188" s="382"/>
      <c r="R188" s="382"/>
      <c r="S188" s="382"/>
      <c r="T188" s="382"/>
      <c r="U188" s="382"/>
      <c r="V188" s="382"/>
      <c r="W188" s="382"/>
      <c r="X188" s="382"/>
      <c r="Y188" s="382"/>
      <c r="Z188" s="382"/>
      <c r="AA188" s="382"/>
      <c r="AB188" s="382"/>
      <c r="AC188" s="382"/>
      <c r="AD188" s="382"/>
      <c r="AE188" s="382"/>
      <c r="AF188" s="382"/>
      <c r="AG188" s="382"/>
      <c r="AH188" s="382"/>
      <c r="AI188" s="382"/>
      <c r="AJ188" s="382"/>
      <c r="AK188" s="382"/>
      <c r="AL188" s="382"/>
      <c r="AM188" s="382"/>
      <c r="AN188" s="382"/>
      <c r="AO188" s="382"/>
      <c r="AP188" s="382"/>
      <c r="AQ188" s="382"/>
      <c r="AR188" s="382"/>
      <c r="AS188" s="382"/>
      <c r="AT188" s="382"/>
      <c r="AU188" s="382"/>
      <c r="AV188" s="382"/>
      <c r="AW188" s="382"/>
      <c r="AX188" s="382"/>
      <c r="AY188" s="382"/>
      <c r="AZ188" s="382"/>
      <c r="BA188" s="1924"/>
      <c r="BB188" s="357">
        <f>BB127</f>
        <v>1033773304.3797647</v>
      </c>
      <c r="BC188" s="82" t="s">
        <v>41</v>
      </c>
      <c r="BD188" s="356"/>
      <c r="BE188" s="82"/>
    </row>
    <row r="189" spans="1:59" outlineLevel="1" x14ac:dyDescent="0.25">
      <c r="A189" s="394">
        <f>ROW()</f>
        <v>189</v>
      </c>
      <c r="B189" s="365" t="s">
        <v>129</v>
      </c>
      <c r="C189" s="350" t="s">
        <v>159</v>
      </c>
      <c r="D189" s="1923"/>
      <c r="E189" s="382"/>
      <c r="F189" s="382"/>
      <c r="G189" s="382"/>
      <c r="H189" s="382"/>
      <c r="I189" s="382"/>
      <c r="J189" s="382"/>
      <c r="K189" s="382"/>
      <c r="L189" s="382"/>
      <c r="M189" s="382"/>
      <c r="N189" s="382"/>
      <c r="O189" s="382"/>
      <c r="P189" s="382"/>
      <c r="Q189" s="382"/>
      <c r="R189" s="382"/>
      <c r="S189" s="382"/>
      <c r="T189" s="382"/>
      <c r="U189" s="382"/>
      <c r="V189" s="382"/>
      <c r="W189" s="382"/>
      <c r="X189" s="382"/>
      <c r="Y189" s="382"/>
      <c r="Z189" s="382"/>
      <c r="AA189" s="382"/>
      <c r="AB189" s="382"/>
      <c r="AC189" s="382"/>
      <c r="AD189" s="382"/>
      <c r="AE189" s="382"/>
      <c r="AF189" s="382"/>
      <c r="AG189" s="382"/>
      <c r="AH189" s="382"/>
      <c r="AI189" s="382"/>
      <c r="AJ189" s="382"/>
      <c r="AK189" s="382"/>
      <c r="AL189" s="382"/>
      <c r="AM189" s="382"/>
      <c r="AN189" s="382"/>
      <c r="AO189" s="382"/>
      <c r="AP189" s="382"/>
      <c r="AQ189" s="382"/>
      <c r="AR189" s="382"/>
      <c r="AS189" s="382"/>
      <c r="AT189" s="382"/>
      <c r="AU189" s="382"/>
      <c r="AV189" s="382"/>
      <c r="AW189" s="382"/>
      <c r="AX189" s="382"/>
      <c r="AY189" s="382"/>
      <c r="AZ189" s="382"/>
      <c r="BA189" s="1924"/>
      <c r="BB189" s="1911">
        <f>SUM(BB187:BB188)</f>
        <v>1171499504.8780293</v>
      </c>
      <c r="BC189" s="82" t="s">
        <v>41</v>
      </c>
      <c r="BD189" s="356"/>
      <c r="BE189" s="82"/>
    </row>
    <row r="190" spans="1:59" outlineLevel="1" x14ac:dyDescent="0.25">
      <c r="A190" s="394">
        <f>ROW()</f>
        <v>190</v>
      </c>
      <c r="B190" s="365"/>
      <c r="C190" s="350" t="s">
        <v>159</v>
      </c>
      <c r="D190" s="1923"/>
      <c r="E190" s="382"/>
      <c r="F190" s="382"/>
      <c r="G190" s="382"/>
      <c r="H190" s="382"/>
      <c r="I190" s="382"/>
      <c r="J190" s="382"/>
      <c r="K190" s="382"/>
      <c r="L190" s="382"/>
      <c r="M190" s="382"/>
      <c r="N190" s="382"/>
      <c r="O190" s="382"/>
      <c r="P190" s="382"/>
      <c r="Q190" s="382"/>
      <c r="R190" s="382"/>
      <c r="S190" s="382"/>
      <c r="T190" s="382"/>
      <c r="U190" s="382"/>
      <c r="V190" s="382"/>
      <c r="W190" s="382"/>
      <c r="X190" s="382"/>
      <c r="Y190" s="382"/>
      <c r="Z190" s="382"/>
      <c r="AA190" s="382"/>
      <c r="AB190" s="382"/>
      <c r="AC190" s="382"/>
      <c r="AD190" s="382"/>
      <c r="AE190" s="382"/>
      <c r="AF190" s="382"/>
      <c r="AG190" s="382"/>
      <c r="AH190" s="382"/>
      <c r="AI190" s="382"/>
      <c r="AJ190" s="382"/>
      <c r="AK190" s="382"/>
      <c r="AL190" s="382"/>
      <c r="AM190" s="382"/>
      <c r="AN190" s="382"/>
      <c r="AO190" s="382"/>
      <c r="AP190" s="382"/>
      <c r="AQ190" s="382"/>
      <c r="AR190" s="382"/>
      <c r="AS190" s="382"/>
      <c r="AT190" s="382"/>
      <c r="AU190" s="382"/>
      <c r="AV190" s="382"/>
      <c r="AW190" s="382"/>
      <c r="AX190" s="382"/>
      <c r="AY190" s="382"/>
      <c r="AZ190" s="382"/>
      <c r="BA190" s="1922"/>
      <c r="BB190" s="357"/>
      <c r="BC190" s="82" t="s">
        <v>41</v>
      </c>
      <c r="BD190" s="356"/>
      <c r="BE190" s="82"/>
    </row>
    <row r="191" spans="1:59" outlineLevel="1" x14ac:dyDescent="0.25">
      <c r="A191" s="394">
        <f>ROW()</f>
        <v>191</v>
      </c>
      <c r="B191" s="365"/>
      <c r="C191" s="350" t="s">
        <v>159</v>
      </c>
      <c r="D191" s="1910"/>
      <c r="BA191" s="80">
        <f>+'SEF-33 pg 1-2'!K24</f>
        <v>7.6499999999999999E-2</v>
      </c>
      <c r="BB191" s="1921">
        <f>+'SEF-33 pg 1-2'!K24</f>
        <v>7.6499999999999999E-2</v>
      </c>
      <c r="BC191" s="82" t="s">
        <v>41</v>
      </c>
      <c r="BD191" s="356"/>
      <c r="BE191" s="82"/>
    </row>
    <row r="192" spans="1:59" outlineLevel="1" x14ac:dyDescent="0.25">
      <c r="A192" s="394">
        <f>ROW()</f>
        <v>192</v>
      </c>
      <c r="B192" s="395" t="s">
        <v>154</v>
      </c>
      <c r="C192" s="404" t="s">
        <v>159</v>
      </c>
      <c r="D192" s="1909"/>
      <c r="E192" s="429">
        <f>ROUND('SEF-36 pg 1-33, 37'!I$71-E169,0)+E171</f>
        <v>0</v>
      </c>
      <c r="F192" s="429">
        <f>ROUND('SEF-36 pg 1-33, 37'!AA$65-F169,0)+F171</f>
        <v>0</v>
      </c>
      <c r="G192" s="429">
        <f>ROUND('SEF-36 pg 1-33, 37'!AS$30-G169,0)+G171</f>
        <v>0</v>
      </c>
      <c r="H192" s="429">
        <f>ROUND('SEF-36 pg 1-33, 37'!BK$22-H169,0)+ROUND('SEF-36 pg 1-33, 37'!BK$24-H171,0)</f>
        <v>0</v>
      </c>
      <c r="I192" s="429">
        <f>ROUND('SEF-36 pg 1-33, 37'!CC$24-I169,0)+I171</f>
        <v>0</v>
      </c>
      <c r="J192" s="429">
        <f>ROUND('SEF-36 pg 1-33, 37'!CU$20-J169,0)+J171</f>
        <v>0</v>
      </c>
      <c r="K192" s="429">
        <f>ROUND('SEF-36 pg 1-33, 37'!DM$22-K169,0)+K171</f>
        <v>0</v>
      </c>
      <c r="L192" s="429">
        <f>ROUND('SEF-36 pg 1-33, 37'!EE$21-L169,0)+L171</f>
        <v>0</v>
      </c>
      <c r="M192" s="429">
        <f>ROUND('SEF-36 pg 1-33, 37'!EW$27-M169,0)+M171</f>
        <v>0</v>
      </c>
      <c r="N192" s="429">
        <f>ROUND('SEF-36 pg 1-33, 37'!FO$23-N169,0)+N171</f>
        <v>0</v>
      </c>
      <c r="O192" s="429">
        <f>ROUND('SEF-36 pg 1-33, 37'!GG$32-O169,0)+O171</f>
        <v>0</v>
      </c>
      <c r="P192" s="429">
        <f>ROUND('SEF-36 pg 1-33, 37'!GY$36-P169,0)+P171</f>
        <v>0</v>
      </c>
      <c r="Q192" s="429">
        <f>ROUND('SEF-36 pg 1-33, 37'!HQ$18-Q169,0)+Q171</f>
        <v>0</v>
      </c>
      <c r="R192" s="429">
        <f>ROUND('SEF-36 pg 1-33, 37'!II$21-R169,0)+R171</f>
        <v>0</v>
      </c>
      <c r="S192" s="429">
        <f>ROUND('SEF-36 pg 1-33, 37'!JA$22-S169,0)+S171</f>
        <v>0</v>
      </c>
      <c r="T192" s="429">
        <f>ROUND('SEF-36 pg 1-33, 37'!JS$23-T169,0)+T171</f>
        <v>0</v>
      </c>
      <c r="U192" s="429">
        <f>ROUND('SEF-36 pg 1-33, 37'!KK$20-U169,0)+U171</f>
        <v>0</v>
      </c>
      <c r="V192" s="429">
        <f>ROUND('SEF-36 pg 1-33, 37'!LC$33-V169,0)+V171</f>
        <v>0</v>
      </c>
      <c r="W192" s="429">
        <f>ROUND('SEF-36 pg 1-33, 37'!LU$22-W171,0)+W169</f>
        <v>0</v>
      </c>
      <c r="X192" s="429">
        <f>ROUND('SEF-36 pg 1-33, 37'!MM$31-X169,0)+ROUND('SEF-36 pg 1-33, 37'!MM$36-X171,0)</f>
        <v>0</v>
      </c>
      <c r="Y192" s="429">
        <f>ROUND('SEF-36 pg 1-33, 37'!NE$22-Y169,0)+Y171</f>
        <v>0</v>
      </c>
      <c r="Z192" s="429">
        <f>ROUND('SEF-36 pg 1-33, 37'!NW$31-Z169,0)+Z171</f>
        <v>0</v>
      </c>
      <c r="AA192" s="429">
        <f>ROUND('SEF-36 pg 1-33, 37'!OO$35-AA169,0)+ROUND('SEF-36 pg 1-33, 37'!OO$24-AA171,0)</f>
        <v>0</v>
      </c>
      <c r="AB192" s="429">
        <f>ROUND('SEF-36 pg 1-33, 37'!PG$51-AB169,0)+ROUND('SEF-36 pg 1-33, 37'!PG$35-AB171,0)</f>
        <v>0</v>
      </c>
      <c r="AC192" s="429">
        <f>ROUND('SEF-36 pg 1-33, 37'!PY$21-AC169,0)+AC171</f>
        <v>0</v>
      </c>
      <c r="AD192" s="429">
        <f>ROUND('SEF-36 pg 1-33, 37'!QR19-AD171,0)</f>
        <v>0</v>
      </c>
      <c r="AE192" s="429">
        <f>ROUND('SEF-36 pg 1-33, 37'!RJ31-AE169,0)+ROUND('SEF-36 pg 1-33, 37'!RJ36-AE171,0)</f>
        <v>0</v>
      </c>
      <c r="AF192" s="429">
        <f>ROUND('SEF-36 pg 1-33, 37'!SB30-AF169,0)+ROUND('SEF-36 pg 1-33, 37'!SB35-AF171,0)</f>
        <v>0</v>
      </c>
      <c r="AG192" s="429">
        <f>ROUND('SEF-36 pg 1-33, 37'!$ST$26-AG169,0)+ROUND('SEF-36 pg 1-33, 37'!$ST$31-AG171,0)</f>
        <v>0</v>
      </c>
      <c r="AH192" s="429">
        <f>ROUND('SEF-36 pg 1-33, 37'!$ST$44-AH169,0)+ROUND('SEF-36 pg 1-33, 37'!$ST$49-AH171,0)</f>
        <v>0</v>
      </c>
      <c r="AI192" s="429">
        <f>ROUND('SEF-36 pg 1-33, 37'!$ST$62-AI169,0)+ROUND('SEF-36 pg 1-33, 37'!$ST$67-AI171,0)</f>
        <v>0</v>
      </c>
      <c r="AJ192" s="429">
        <f>ROUND('SEF-36 pg 1-33, 37'!$ST$80-AJ169,0)+ROUND('SEF-36 pg 1-33, 37'!$ST$85-AJ171,0)</f>
        <v>0</v>
      </c>
      <c r="AK192" s="429">
        <f>ROUND('SEF-36 pg 1-33, 37'!UF$38-AK169,0)</f>
        <v>0</v>
      </c>
      <c r="AL192" s="429">
        <f>ROUND('SEF-36 pg 1-33, 37'!UY$27-AL169,0)+ROUND('SEF-36 pg 1-33, 37'!UY$19-AL171,0)</f>
        <v>0</v>
      </c>
      <c r="AM192" s="429">
        <f>ROUND('SEF-36 pg 1-33, 37'!TM$25-AM169,0)</f>
        <v>0</v>
      </c>
      <c r="AN192" s="429">
        <f>ROUND('SEF-36 pg 1-33, 37'!VR$32-AN169,0)+ROUND(AN182-'SEF-36 pg 1-33, 37'!VR24,0)</f>
        <v>0</v>
      </c>
      <c r="AO192" s="429">
        <f>ROUND('SEF-36 pg 1-33, 37'!WG$21-AO169,0)</f>
        <v>0</v>
      </c>
      <c r="AP192" s="429">
        <f>ROUND('SEF-36 pg 34-36'!BK$49-AP171,0)+ROUND('SEF-36 pg 34-36'!BK$33-AP169,0)</f>
        <v>0</v>
      </c>
      <c r="AQ192" s="429">
        <f>ROUND('SEF-36 pg 34-36'!CC$47-AQ169,0)+ROUND('SEF-36 pg 34-36'!CC$27-AQ171,0)</f>
        <v>0</v>
      </c>
      <c r="AR192" s="429">
        <f>ROUND('SEF-36 pg 34-36'!CU22-AR169+'SEF-36 pg 34-36'!CU31-AR171,0)</f>
        <v>0</v>
      </c>
      <c r="AS192" s="1890"/>
      <c r="AT192" s="1890"/>
      <c r="AU192" s="1889"/>
      <c r="AV192" s="1888"/>
      <c r="AW192" s="1888"/>
      <c r="AX192" s="1888"/>
      <c r="AY192" s="1888"/>
      <c r="AZ192" s="1888"/>
      <c r="BA192" s="398"/>
      <c r="BB192" s="1920"/>
      <c r="BC192" s="82" t="s">
        <v>41</v>
      </c>
      <c r="BE192" s="82"/>
    </row>
    <row r="193" spans="1:57" outlineLevel="1" x14ac:dyDescent="0.25">
      <c r="A193" s="394">
        <f>ROW()</f>
        <v>193</v>
      </c>
      <c r="B193" s="395" t="s">
        <v>155</v>
      </c>
      <c r="C193" s="350" t="s">
        <v>159</v>
      </c>
      <c r="D193" s="1908">
        <f>'SEF-34 pg 1'!G47-D169</f>
        <v>0</v>
      </c>
      <c r="BB193" s="1908">
        <f>'SEF-34 pg 1'!I47-BB169</f>
        <v>0</v>
      </c>
      <c r="BC193" s="1919" t="s">
        <v>41</v>
      </c>
      <c r="BE193" s="82"/>
    </row>
    <row r="194" spans="1:57" outlineLevel="1" x14ac:dyDescent="0.25">
      <c r="A194" s="394">
        <f>ROW()</f>
        <v>194</v>
      </c>
      <c r="B194" s="395" t="s">
        <v>156</v>
      </c>
      <c r="C194" s="350" t="s">
        <v>159</v>
      </c>
      <c r="D194" s="1908">
        <f>'SEF-34 pg 1'!G58-D182</f>
        <v>0</v>
      </c>
      <c r="BB194" s="1908">
        <f>'SEF-34 pg 1'!I58-BB182</f>
        <v>0</v>
      </c>
      <c r="BC194" s="1919" t="s">
        <v>41</v>
      </c>
      <c r="BE194" s="82"/>
    </row>
    <row r="195" spans="1:57" x14ac:dyDescent="0.25">
      <c r="A195" s="394">
        <f>ROW()</f>
        <v>195</v>
      </c>
      <c r="B195" s="461"/>
      <c r="C195" s="350"/>
      <c r="D195" s="1906"/>
      <c r="BA195" s="1918"/>
      <c r="BB195" s="1904"/>
      <c r="BC195" s="82" t="s">
        <v>41</v>
      </c>
      <c r="BE195" s="82"/>
    </row>
    <row r="196" spans="1:57" outlineLevel="1" x14ac:dyDescent="0.25">
      <c r="A196" s="394">
        <f>ROW()</f>
        <v>196</v>
      </c>
      <c r="B196" s="399"/>
      <c r="C196" s="1290" t="s">
        <v>161</v>
      </c>
      <c r="D196" s="1906"/>
      <c r="E196" s="326">
        <v>45992</v>
      </c>
      <c r="F196" s="326">
        <v>45992</v>
      </c>
      <c r="G196" s="326">
        <v>45992</v>
      </c>
      <c r="H196" s="326">
        <v>45992</v>
      </c>
      <c r="I196" s="326">
        <v>45992</v>
      </c>
      <c r="J196" s="326">
        <v>45992</v>
      </c>
      <c r="K196" s="326">
        <v>45992</v>
      </c>
      <c r="L196" s="326">
        <v>45992</v>
      </c>
      <c r="M196" s="326">
        <v>45992</v>
      </c>
      <c r="N196" s="326">
        <v>45992</v>
      </c>
      <c r="O196" s="326">
        <v>45992</v>
      </c>
      <c r="P196" s="326">
        <v>45992</v>
      </c>
      <c r="Q196" s="326">
        <v>45992</v>
      </c>
      <c r="R196" s="326">
        <v>45992</v>
      </c>
      <c r="S196" s="326">
        <v>45992</v>
      </c>
      <c r="T196" s="326">
        <v>45992</v>
      </c>
      <c r="U196" s="326">
        <v>45992</v>
      </c>
      <c r="V196" s="326">
        <v>45992</v>
      </c>
      <c r="W196" s="326">
        <v>45992</v>
      </c>
      <c r="X196" s="326">
        <v>45992</v>
      </c>
      <c r="Y196" s="326">
        <v>45992</v>
      </c>
      <c r="Z196" s="326">
        <v>45992</v>
      </c>
      <c r="AA196" s="326">
        <v>45992</v>
      </c>
      <c r="AB196" s="326">
        <v>45992</v>
      </c>
      <c r="AC196" s="326">
        <v>45992</v>
      </c>
      <c r="AD196" s="326">
        <v>45992</v>
      </c>
      <c r="AE196" s="326">
        <v>45992</v>
      </c>
      <c r="AF196" s="326">
        <v>45992</v>
      </c>
      <c r="AG196" s="326">
        <v>45992</v>
      </c>
      <c r="AH196" s="326">
        <v>45992</v>
      </c>
      <c r="AI196" s="326">
        <v>45992</v>
      </c>
      <c r="AJ196" s="326">
        <v>45992</v>
      </c>
      <c r="AK196" s="326">
        <v>45992</v>
      </c>
      <c r="AL196" s="326">
        <v>45992</v>
      </c>
      <c r="AM196" s="326">
        <v>45992</v>
      </c>
      <c r="AN196" s="326">
        <v>45992</v>
      </c>
      <c r="AO196" s="326">
        <v>45992</v>
      </c>
      <c r="AP196" s="326">
        <v>45992</v>
      </c>
      <c r="AQ196" s="326">
        <v>45992</v>
      </c>
      <c r="AR196" s="326">
        <v>45992</v>
      </c>
      <c r="AS196" s="326">
        <v>45992</v>
      </c>
      <c r="AT196" s="326">
        <v>45992</v>
      </c>
      <c r="AU196" s="326">
        <v>45992</v>
      </c>
      <c r="AV196" s="326">
        <v>45992</v>
      </c>
      <c r="AW196" s="326">
        <v>45992</v>
      </c>
      <c r="AX196" s="326">
        <v>45992</v>
      </c>
      <c r="AY196" s="326">
        <v>45992</v>
      </c>
      <c r="AZ196" s="326">
        <v>45992</v>
      </c>
      <c r="BA196" s="1905">
        <v>45992</v>
      </c>
      <c r="BB196" s="1905">
        <v>45992</v>
      </c>
      <c r="BC196" s="82" t="s">
        <v>41</v>
      </c>
      <c r="BE196" s="82"/>
    </row>
    <row r="197" spans="1:57" ht="13.5" customHeight="1" outlineLevel="1" x14ac:dyDescent="0.25">
      <c r="A197" s="394">
        <f>ROW()</f>
        <v>197</v>
      </c>
      <c r="B197" s="399"/>
      <c r="C197" s="1290">
        <v>2025</v>
      </c>
      <c r="D197" s="1906"/>
      <c r="E197" s="1249"/>
      <c r="F197" s="1249"/>
      <c r="G197" s="1249"/>
      <c r="H197" s="1249"/>
      <c r="I197" s="1249"/>
      <c r="J197" s="1249"/>
      <c r="K197" s="1249"/>
      <c r="L197" s="1249"/>
      <c r="M197" s="1249"/>
      <c r="N197" s="1249"/>
      <c r="O197" s="1249"/>
      <c r="P197" s="1249"/>
      <c r="Q197" s="1249"/>
      <c r="R197" s="1249"/>
      <c r="S197" s="1249"/>
      <c r="T197" s="1249"/>
      <c r="U197" s="1249"/>
      <c r="V197" s="1249"/>
      <c r="W197" s="1249"/>
      <c r="X197" s="1249"/>
      <c r="Y197" s="1249"/>
      <c r="Z197" s="1249"/>
      <c r="AA197" s="1249"/>
      <c r="AB197" s="1249"/>
      <c r="AC197" s="1249"/>
      <c r="AD197" s="1249"/>
      <c r="AE197" s="1249"/>
      <c r="AF197" s="1249"/>
      <c r="AG197" s="1249"/>
      <c r="AH197" s="1249"/>
      <c r="AI197" s="1249"/>
      <c r="AJ197" s="1249"/>
      <c r="AK197" s="1249"/>
      <c r="AL197" s="1249"/>
      <c r="AM197" s="1249"/>
      <c r="AN197" s="1249"/>
      <c r="AO197" s="1249"/>
      <c r="AP197" s="1249"/>
      <c r="AQ197" s="1249"/>
      <c r="AR197" s="1249"/>
      <c r="AS197" s="1249"/>
      <c r="AT197" s="1249"/>
      <c r="AU197" s="1249"/>
      <c r="AV197" s="1249"/>
      <c r="AW197" s="1249"/>
      <c r="AX197" s="1249"/>
      <c r="AY197" s="1249"/>
      <c r="AZ197" s="1249"/>
      <c r="BA197" s="351"/>
      <c r="BB197" s="1904"/>
      <c r="BC197" s="82" t="s">
        <v>41</v>
      </c>
      <c r="BE197" s="82"/>
    </row>
    <row r="198" spans="1:57" outlineLevel="1" x14ac:dyDescent="0.25">
      <c r="A198" s="394">
        <f>ROW()</f>
        <v>198</v>
      </c>
      <c r="B198" s="349" t="s">
        <v>81</v>
      </c>
      <c r="C198" s="406" t="s">
        <v>162</v>
      </c>
      <c r="D198" s="366"/>
      <c r="BA198" s="352"/>
      <c r="BB198" s="352"/>
      <c r="BC198" s="82" t="s">
        <v>41</v>
      </c>
      <c r="BE198" s="82"/>
    </row>
    <row r="199" spans="1:57" outlineLevel="1" x14ac:dyDescent="0.25">
      <c r="A199" s="394">
        <f>ROW()</f>
        <v>199</v>
      </c>
      <c r="B199" s="349" t="s">
        <v>82</v>
      </c>
      <c r="C199" s="406" t="s">
        <v>162</v>
      </c>
      <c r="D199" s="352">
        <f>+BB138</f>
        <v>543406737.52210355</v>
      </c>
      <c r="E199" s="407">
        <f>'SEF-36 pg 1-33, 37'!$K$37</f>
        <v>-8527588.8853307366</v>
      </c>
      <c r="F199" s="407"/>
      <c r="G199" s="407"/>
      <c r="H199" s="407"/>
      <c r="I199" s="407"/>
      <c r="J199" s="407"/>
      <c r="K199" s="407"/>
      <c r="L199" s="407"/>
      <c r="M199" s="407"/>
      <c r="N199" s="407"/>
      <c r="O199" s="407"/>
      <c r="P199" s="407"/>
      <c r="Q199" s="407"/>
      <c r="R199" s="407"/>
      <c r="S199" s="407"/>
      <c r="T199" s="407"/>
      <c r="U199" s="407"/>
      <c r="V199" s="407"/>
      <c r="W199" s="407"/>
      <c r="X199" s="407"/>
      <c r="Y199" s="407"/>
      <c r="Z199" s="407"/>
      <c r="AA199" s="407"/>
      <c r="AB199" s="407"/>
      <c r="AC199" s="407"/>
      <c r="AD199" s="407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07"/>
      <c r="AO199" s="407"/>
      <c r="AP199" s="407"/>
      <c r="AQ199" s="407"/>
      <c r="AR199" s="407"/>
      <c r="AS199" s="407"/>
      <c r="AT199" s="407"/>
      <c r="AU199" s="407"/>
      <c r="AV199" s="407"/>
      <c r="AW199" s="407"/>
      <c r="AX199" s="407"/>
      <c r="AY199" s="407"/>
      <c r="AZ199" s="407"/>
      <c r="BA199" s="352">
        <f>SUM(E199:AZ199)</f>
        <v>-8527588.8853307366</v>
      </c>
      <c r="BB199" s="352">
        <f>+BA199+D199</f>
        <v>534879148.63677281</v>
      </c>
      <c r="BC199" s="82" t="s">
        <v>41</v>
      </c>
      <c r="BD199" s="356"/>
      <c r="BE199" s="82"/>
    </row>
    <row r="200" spans="1:57" outlineLevel="1" x14ac:dyDescent="0.25">
      <c r="A200" s="394">
        <f>ROW()</f>
        <v>200</v>
      </c>
      <c r="B200" s="349" t="s">
        <v>83</v>
      </c>
      <c r="C200" s="406" t="s">
        <v>162</v>
      </c>
      <c r="D200" s="357">
        <f>+BB139</f>
        <v>0</v>
      </c>
      <c r="E200" s="408"/>
      <c r="F200" s="408"/>
      <c r="G200" s="408"/>
      <c r="H200" s="408"/>
      <c r="I200" s="408"/>
      <c r="J200" s="408"/>
      <c r="K200" s="408"/>
      <c r="L200" s="408"/>
      <c r="M200" s="408"/>
      <c r="N200" s="408"/>
      <c r="O200" s="408"/>
      <c r="P200" s="408"/>
      <c r="Q200" s="408"/>
      <c r="R200" s="408"/>
      <c r="S200" s="408"/>
      <c r="T200" s="408"/>
      <c r="U200" s="408"/>
      <c r="V200" s="408"/>
      <c r="W200" s="408"/>
      <c r="X200" s="408"/>
      <c r="Y200" s="408"/>
      <c r="Z200" s="408"/>
      <c r="AA200" s="408"/>
      <c r="AB200" s="408"/>
      <c r="AC200" s="408"/>
      <c r="AD200" s="408"/>
      <c r="AE200" s="408"/>
      <c r="AF200" s="408"/>
      <c r="AG200" s="408"/>
      <c r="AH200" s="408"/>
      <c r="AI200" s="408"/>
      <c r="AJ200" s="408"/>
      <c r="AK200" s="408"/>
      <c r="AL200" s="408"/>
      <c r="AM200" s="408"/>
      <c r="AN200" s="40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8"/>
      <c r="AZ200" s="408"/>
      <c r="BA200" s="357">
        <f>SUM(E200:AZ200)</f>
        <v>0</v>
      </c>
      <c r="BB200" s="357">
        <f>+BA200+D200</f>
        <v>0</v>
      </c>
      <c r="BC200" s="82" t="s">
        <v>41</v>
      </c>
      <c r="BD200" s="356"/>
      <c r="BE200" s="82"/>
    </row>
    <row r="201" spans="1:57" outlineLevel="1" x14ac:dyDescent="0.25">
      <c r="A201" s="394">
        <f>ROW()</f>
        <v>201</v>
      </c>
      <c r="B201" s="349" t="s">
        <v>84</v>
      </c>
      <c r="C201" s="406" t="s">
        <v>162</v>
      </c>
      <c r="D201" s="357">
        <f>+BB140</f>
        <v>0</v>
      </c>
      <c r="E201" s="408"/>
      <c r="F201" s="408"/>
      <c r="G201" s="408"/>
      <c r="H201" s="408"/>
      <c r="I201" s="408"/>
      <c r="J201" s="408"/>
      <c r="K201" s="408"/>
      <c r="L201" s="408"/>
      <c r="M201" s="408"/>
      <c r="N201" s="408"/>
      <c r="O201" s="408"/>
      <c r="P201" s="408"/>
      <c r="Q201" s="408"/>
      <c r="R201" s="408"/>
      <c r="S201" s="408"/>
      <c r="T201" s="408"/>
      <c r="U201" s="408"/>
      <c r="V201" s="408"/>
      <c r="W201" s="408"/>
      <c r="X201" s="408"/>
      <c r="Y201" s="408"/>
      <c r="Z201" s="408"/>
      <c r="AA201" s="408"/>
      <c r="AB201" s="408"/>
      <c r="AC201" s="408"/>
      <c r="AD201" s="408"/>
      <c r="AE201" s="408"/>
      <c r="AF201" s="408"/>
      <c r="AG201" s="408"/>
      <c r="AH201" s="408"/>
      <c r="AI201" s="408"/>
      <c r="AJ201" s="408"/>
      <c r="AK201" s="408"/>
      <c r="AL201" s="408"/>
      <c r="AM201" s="408"/>
      <c r="AN201" s="40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8"/>
      <c r="AZ201" s="408"/>
      <c r="BA201" s="357">
        <f>SUM(E201:AZ201)</f>
        <v>0</v>
      </c>
      <c r="BB201" s="357">
        <f>+BA201+D201</f>
        <v>0</v>
      </c>
      <c r="BC201" s="82" t="s">
        <v>41</v>
      </c>
      <c r="BD201" s="356"/>
      <c r="BE201" s="82"/>
    </row>
    <row r="202" spans="1:57" outlineLevel="1" x14ac:dyDescent="0.25">
      <c r="A202" s="394">
        <f>ROW()</f>
        <v>202</v>
      </c>
      <c r="B202" s="349" t="s">
        <v>85</v>
      </c>
      <c r="C202" s="406" t="s">
        <v>162</v>
      </c>
      <c r="D202" s="357">
        <f>+BB141</f>
        <v>-604789.78244638466</v>
      </c>
      <c r="E202" s="408"/>
      <c r="F202" s="408"/>
      <c r="G202" s="408"/>
      <c r="H202" s="408"/>
      <c r="I202" s="408"/>
      <c r="J202" s="408"/>
      <c r="K202" s="408"/>
      <c r="L202" s="408"/>
      <c r="M202" s="408"/>
      <c r="N202" s="408"/>
      <c r="O202" s="408"/>
      <c r="P202" s="408"/>
      <c r="Q202" s="408"/>
      <c r="R202" s="408"/>
      <c r="S202" s="408"/>
      <c r="T202" s="408"/>
      <c r="U202" s="408"/>
      <c r="V202" s="408"/>
      <c r="W202" s="408"/>
      <c r="X202" s="408"/>
      <c r="Y202" s="408"/>
      <c r="Z202" s="408"/>
      <c r="AA202" s="408"/>
      <c r="AB202" s="408"/>
      <c r="AC202" s="408"/>
      <c r="AD202" s="408"/>
      <c r="AE202" s="408"/>
      <c r="AF202" s="408"/>
      <c r="AG202" s="408"/>
      <c r="AH202" s="408"/>
      <c r="AI202" s="408"/>
      <c r="AJ202" s="408"/>
      <c r="AK202" s="408"/>
      <c r="AL202" s="408"/>
      <c r="AM202" s="408"/>
      <c r="AN202" s="408"/>
      <c r="AO202" s="408"/>
      <c r="AP202" s="408">
        <f>-'SEF-36 pg 34-36'!BM39</f>
        <v>0</v>
      </c>
      <c r="AQ202" s="408">
        <f>-'SEF-36 pg 34-36'!CE33-'SEF-36 pg 34-36'!CE36</f>
        <v>0</v>
      </c>
      <c r="AR202" s="408"/>
      <c r="AS202" s="408"/>
      <c r="AT202" s="408"/>
      <c r="AU202" s="408"/>
      <c r="AV202" s="408"/>
      <c r="AW202" s="408"/>
      <c r="AX202" s="408"/>
      <c r="AY202" s="408"/>
      <c r="AZ202" s="408"/>
      <c r="BA202" s="357">
        <f>SUM(E202:AZ202)</f>
        <v>0</v>
      </c>
      <c r="BB202" s="357">
        <f>+BA202+D202</f>
        <v>-604789.78244638466</v>
      </c>
      <c r="BC202" s="82" t="s">
        <v>41</v>
      </c>
      <c r="BD202" s="356"/>
      <c r="BE202" s="82"/>
    </row>
    <row r="203" spans="1:57" outlineLevel="1" x14ac:dyDescent="0.25">
      <c r="A203" s="394">
        <f>ROW()</f>
        <v>203</v>
      </c>
      <c r="B203" s="349" t="s">
        <v>86</v>
      </c>
      <c r="C203" s="406" t="s">
        <v>162</v>
      </c>
      <c r="D203" s="1917">
        <f t="shared" ref="D203:AR203" si="49">SUM(D199:D202)</f>
        <v>542801947.73965716</v>
      </c>
      <c r="E203" s="410">
        <f t="shared" si="49"/>
        <v>-8527588.8853307366</v>
      </c>
      <c r="F203" s="410">
        <f t="shared" si="49"/>
        <v>0</v>
      </c>
      <c r="G203" s="410">
        <f t="shared" si="49"/>
        <v>0</v>
      </c>
      <c r="H203" s="410">
        <f t="shared" si="49"/>
        <v>0</v>
      </c>
      <c r="I203" s="410">
        <f t="shared" si="49"/>
        <v>0</v>
      </c>
      <c r="J203" s="410">
        <f t="shared" si="49"/>
        <v>0</v>
      </c>
      <c r="K203" s="410">
        <f t="shared" si="49"/>
        <v>0</v>
      </c>
      <c r="L203" s="410">
        <f t="shared" si="49"/>
        <v>0</v>
      </c>
      <c r="M203" s="410">
        <f t="shared" si="49"/>
        <v>0</v>
      </c>
      <c r="N203" s="410">
        <f t="shared" si="49"/>
        <v>0</v>
      </c>
      <c r="O203" s="410">
        <f t="shared" si="49"/>
        <v>0</v>
      </c>
      <c r="P203" s="410">
        <f t="shared" si="49"/>
        <v>0</v>
      </c>
      <c r="Q203" s="410">
        <f t="shared" si="49"/>
        <v>0</v>
      </c>
      <c r="R203" s="410">
        <f t="shared" si="49"/>
        <v>0</v>
      </c>
      <c r="S203" s="410">
        <f t="shared" si="49"/>
        <v>0</v>
      </c>
      <c r="T203" s="410">
        <f t="shared" si="49"/>
        <v>0</v>
      </c>
      <c r="U203" s="410">
        <f t="shared" si="49"/>
        <v>0</v>
      </c>
      <c r="V203" s="410">
        <f t="shared" si="49"/>
        <v>0</v>
      </c>
      <c r="W203" s="410">
        <f t="shared" si="49"/>
        <v>0</v>
      </c>
      <c r="X203" s="410">
        <f t="shared" si="49"/>
        <v>0</v>
      </c>
      <c r="Y203" s="410">
        <f t="shared" si="49"/>
        <v>0</v>
      </c>
      <c r="Z203" s="410">
        <f t="shared" si="49"/>
        <v>0</v>
      </c>
      <c r="AA203" s="410">
        <f t="shared" si="49"/>
        <v>0</v>
      </c>
      <c r="AB203" s="410">
        <f t="shared" si="49"/>
        <v>0</v>
      </c>
      <c r="AC203" s="410">
        <f t="shared" si="49"/>
        <v>0</v>
      </c>
      <c r="AD203" s="410">
        <f t="shared" si="49"/>
        <v>0</v>
      </c>
      <c r="AE203" s="410">
        <f t="shared" si="49"/>
        <v>0</v>
      </c>
      <c r="AF203" s="410">
        <f t="shared" si="49"/>
        <v>0</v>
      </c>
      <c r="AG203" s="410">
        <f t="shared" si="49"/>
        <v>0</v>
      </c>
      <c r="AH203" s="410">
        <f t="shared" si="49"/>
        <v>0</v>
      </c>
      <c r="AI203" s="410">
        <f t="shared" si="49"/>
        <v>0</v>
      </c>
      <c r="AJ203" s="410">
        <f t="shared" si="49"/>
        <v>0</v>
      </c>
      <c r="AK203" s="410">
        <f t="shared" si="49"/>
        <v>0</v>
      </c>
      <c r="AL203" s="410">
        <f t="shared" si="49"/>
        <v>0</v>
      </c>
      <c r="AM203" s="410">
        <f t="shared" si="49"/>
        <v>0</v>
      </c>
      <c r="AN203" s="410">
        <f t="shared" si="49"/>
        <v>0</v>
      </c>
      <c r="AO203" s="410">
        <f t="shared" si="49"/>
        <v>0</v>
      </c>
      <c r="AP203" s="410">
        <f t="shared" si="49"/>
        <v>0</v>
      </c>
      <c r="AQ203" s="410">
        <f t="shared" si="49"/>
        <v>0</v>
      </c>
      <c r="AR203" s="410">
        <f t="shared" si="49"/>
        <v>0</v>
      </c>
      <c r="AS203" s="410"/>
      <c r="AT203" s="410"/>
      <c r="AU203" s="410"/>
      <c r="AV203" s="410"/>
      <c r="AW203" s="410"/>
      <c r="AX203" s="410"/>
      <c r="AY203" s="410"/>
      <c r="AZ203" s="410"/>
      <c r="BA203" s="359">
        <f>SUM(BA199:BA202)</f>
        <v>-8527588.8853307366</v>
      </c>
      <c r="BB203" s="359">
        <f>SUM(BB199:BB202)</f>
        <v>534274358.85432643</v>
      </c>
      <c r="BC203" s="82" t="s">
        <v>41</v>
      </c>
      <c r="BD203" s="356"/>
      <c r="BE203" s="82"/>
    </row>
    <row r="204" spans="1:57" outlineLevel="1" x14ac:dyDescent="0.25">
      <c r="A204" s="394">
        <f>ROW()</f>
        <v>204</v>
      </c>
      <c r="B204" s="363"/>
      <c r="C204" s="406" t="s">
        <v>162</v>
      </c>
      <c r="D204" s="357"/>
      <c r="E204" s="408"/>
      <c r="F204" s="408"/>
      <c r="G204" s="408"/>
      <c r="H204" s="408"/>
      <c r="I204" s="408"/>
      <c r="J204" s="408"/>
      <c r="K204" s="408"/>
      <c r="L204" s="408"/>
      <c r="M204" s="408"/>
      <c r="N204" s="408"/>
      <c r="O204" s="408"/>
      <c r="P204" s="408"/>
      <c r="Q204" s="408"/>
      <c r="R204" s="408"/>
      <c r="S204" s="408"/>
      <c r="T204" s="408"/>
      <c r="U204" s="408"/>
      <c r="V204" s="408"/>
      <c r="W204" s="408"/>
      <c r="X204" s="408"/>
      <c r="Y204" s="408"/>
      <c r="Z204" s="408"/>
      <c r="AA204" s="408"/>
      <c r="AB204" s="408"/>
      <c r="AC204" s="408"/>
      <c r="AD204" s="408"/>
      <c r="AE204" s="408"/>
      <c r="AF204" s="408"/>
      <c r="AG204" s="408"/>
      <c r="AH204" s="408"/>
      <c r="AI204" s="408"/>
      <c r="AJ204" s="408"/>
      <c r="AK204" s="408"/>
      <c r="AL204" s="408"/>
      <c r="AM204" s="408"/>
      <c r="AN204" s="408"/>
      <c r="AO204" s="408"/>
      <c r="AP204" s="408"/>
      <c r="AQ204" s="408"/>
      <c r="AR204" s="408"/>
      <c r="AS204" s="408"/>
      <c r="AT204" s="408"/>
      <c r="AU204" s="408"/>
      <c r="AV204" s="408"/>
      <c r="AW204" s="408"/>
      <c r="AX204" s="408"/>
      <c r="AY204" s="408"/>
      <c r="AZ204" s="408"/>
      <c r="BA204" s="357"/>
      <c r="BB204" s="357"/>
      <c r="BC204" s="82" t="s">
        <v>41</v>
      </c>
      <c r="BD204" s="356"/>
      <c r="BE204" s="82"/>
    </row>
    <row r="205" spans="1:57" outlineLevel="1" x14ac:dyDescent="0.25">
      <c r="A205" s="394">
        <f>ROW()</f>
        <v>205</v>
      </c>
      <c r="B205" s="349" t="s">
        <v>87</v>
      </c>
      <c r="C205" s="406" t="s">
        <v>162</v>
      </c>
      <c r="D205" s="351"/>
      <c r="E205" s="411"/>
      <c r="F205" s="411"/>
      <c r="G205" s="411"/>
      <c r="H205" s="411"/>
      <c r="I205" s="411"/>
      <c r="J205" s="411"/>
      <c r="K205" s="411"/>
      <c r="L205" s="411"/>
      <c r="M205" s="411"/>
      <c r="N205" s="411"/>
      <c r="O205" s="411"/>
      <c r="P205" s="411"/>
      <c r="Q205" s="411"/>
      <c r="R205" s="411"/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  <c r="AU205" s="411"/>
      <c r="AV205" s="411"/>
      <c r="AW205" s="411"/>
      <c r="AX205" s="411"/>
      <c r="AY205" s="411"/>
      <c r="AZ205" s="411"/>
      <c r="BA205" s="351"/>
      <c r="BB205" s="351"/>
      <c r="BC205" s="82" t="s">
        <v>41</v>
      </c>
      <c r="BD205" s="356"/>
      <c r="BE205" s="82"/>
    </row>
    <row r="206" spans="1:57" outlineLevel="1" x14ac:dyDescent="0.25">
      <c r="A206" s="394">
        <f>ROW()</f>
        <v>206</v>
      </c>
      <c r="B206" s="365"/>
      <c r="C206" s="406" t="s">
        <v>162</v>
      </c>
      <c r="D206" s="351"/>
      <c r="E206" s="411"/>
      <c r="F206" s="411"/>
      <c r="G206" s="411"/>
      <c r="H206" s="411"/>
      <c r="I206" s="411"/>
      <c r="J206" s="411"/>
      <c r="K206" s="411"/>
      <c r="L206" s="411"/>
      <c r="M206" s="411"/>
      <c r="N206" s="411"/>
      <c r="O206" s="411"/>
      <c r="P206" s="411"/>
      <c r="Q206" s="411"/>
      <c r="R206" s="411"/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  <c r="AU206" s="411"/>
      <c r="AV206" s="411"/>
      <c r="AW206" s="411"/>
      <c r="AX206" s="411"/>
      <c r="AY206" s="411"/>
      <c r="AZ206" s="411"/>
      <c r="BA206" s="351"/>
      <c r="BB206" s="351"/>
      <c r="BC206" s="82" t="s">
        <v>41</v>
      </c>
      <c r="BD206" s="356"/>
      <c r="BE206" s="82"/>
    </row>
    <row r="207" spans="1:57" outlineLevel="1" x14ac:dyDescent="0.25">
      <c r="A207" s="394">
        <f>ROW()</f>
        <v>207</v>
      </c>
      <c r="B207" s="349" t="s">
        <v>88</v>
      </c>
      <c r="C207" s="406" t="s">
        <v>162</v>
      </c>
      <c r="D207" s="351"/>
      <c r="E207" s="411"/>
      <c r="F207" s="411"/>
      <c r="G207" s="411"/>
      <c r="H207" s="411"/>
      <c r="I207" s="411"/>
      <c r="J207" s="411"/>
      <c r="K207" s="411"/>
      <c r="L207" s="411"/>
      <c r="M207" s="411"/>
      <c r="N207" s="411"/>
      <c r="O207" s="411"/>
      <c r="P207" s="411"/>
      <c r="Q207" s="411"/>
      <c r="R207" s="411"/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  <c r="AU207" s="411"/>
      <c r="AV207" s="411"/>
      <c r="AW207" s="411"/>
      <c r="AX207" s="411"/>
      <c r="AY207" s="411"/>
      <c r="AZ207" s="411"/>
      <c r="BA207" s="351"/>
      <c r="BB207" s="351"/>
      <c r="BC207" s="82" t="s">
        <v>41</v>
      </c>
      <c r="BD207" s="356"/>
      <c r="BE207" s="82"/>
    </row>
    <row r="208" spans="1:57" outlineLevel="1" x14ac:dyDescent="0.25">
      <c r="A208" s="394">
        <f>ROW()</f>
        <v>208</v>
      </c>
      <c r="B208" s="349" t="s">
        <v>89</v>
      </c>
      <c r="C208" s="406" t="s">
        <v>162</v>
      </c>
      <c r="D208" s="366">
        <f>+BB147</f>
        <v>0</v>
      </c>
      <c r="E208" s="412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412"/>
      <c r="Q208" s="412"/>
      <c r="R208" s="412"/>
      <c r="S208" s="412"/>
      <c r="T208" s="412"/>
      <c r="U208" s="412"/>
      <c r="V208" s="412"/>
      <c r="W208" s="412"/>
      <c r="X208" s="412"/>
      <c r="Y208" s="412"/>
      <c r="Z208" s="412"/>
      <c r="AA208" s="412"/>
      <c r="AB208" s="412"/>
      <c r="AC208" s="412"/>
      <c r="AD208" s="412"/>
      <c r="AE208" s="412"/>
      <c r="AF208" s="412"/>
      <c r="AG208" s="412"/>
      <c r="AH208" s="412"/>
      <c r="AI208" s="412"/>
      <c r="AJ208" s="412"/>
      <c r="AK208" s="408"/>
      <c r="AL208" s="408"/>
      <c r="AM208" s="412"/>
      <c r="AN208" s="408"/>
      <c r="AO208" s="408"/>
      <c r="AP208" s="412"/>
      <c r="AQ208" s="412"/>
      <c r="AR208" s="412"/>
      <c r="AS208" s="412"/>
      <c r="AT208" s="412"/>
      <c r="AU208" s="412"/>
      <c r="AV208" s="412"/>
      <c r="AW208" s="412"/>
      <c r="AX208" s="412"/>
      <c r="AY208" s="412"/>
      <c r="AZ208" s="412"/>
      <c r="BA208" s="366">
        <f>SUM(E208:AZ208)</f>
        <v>0</v>
      </c>
      <c r="BB208" s="366">
        <f>+BA208+D208</f>
        <v>0</v>
      </c>
      <c r="BC208" s="82" t="s">
        <v>41</v>
      </c>
      <c r="BD208" s="356"/>
      <c r="BE208" s="82"/>
    </row>
    <row r="209" spans="1:57" outlineLevel="1" x14ac:dyDescent="0.25">
      <c r="A209" s="394">
        <f>ROW()</f>
        <v>209</v>
      </c>
      <c r="B209" s="349" t="s">
        <v>90</v>
      </c>
      <c r="C209" s="406" t="s">
        <v>162</v>
      </c>
      <c r="D209" s="1916">
        <f>+BB148</f>
        <v>0</v>
      </c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08"/>
      <c r="V209" s="408"/>
      <c r="W209" s="408"/>
      <c r="X209" s="408"/>
      <c r="Y209" s="408"/>
      <c r="Z209" s="408"/>
      <c r="AA209" s="408"/>
      <c r="AB209" s="408"/>
      <c r="AC209" s="408"/>
      <c r="AD209" s="408"/>
      <c r="AE209" s="408"/>
      <c r="AF209" s="408"/>
      <c r="AG209" s="408"/>
      <c r="AH209" s="408"/>
      <c r="AI209" s="408"/>
      <c r="AJ209" s="408"/>
      <c r="AK209" s="408"/>
      <c r="AL209" s="408"/>
      <c r="AM209" s="408"/>
      <c r="AN209" s="408"/>
      <c r="AO209" s="408"/>
      <c r="AP209" s="408"/>
      <c r="AQ209" s="408"/>
      <c r="AR209" s="408"/>
      <c r="AS209" s="408"/>
      <c r="AT209" s="408"/>
      <c r="AU209" s="408"/>
      <c r="AV209" s="408"/>
      <c r="AW209" s="408"/>
      <c r="AX209" s="408"/>
      <c r="AY209" s="408"/>
      <c r="AZ209" s="408"/>
      <c r="BA209" s="357">
        <f>SUM(E209:AZ209)</f>
        <v>0</v>
      </c>
      <c r="BB209" s="357">
        <f>+BA209+D209</f>
        <v>0</v>
      </c>
      <c r="BC209" s="82" t="s">
        <v>41</v>
      </c>
      <c r="BD209" s="356"/>
      <c r="BE209" s="82"/>
    </row>
    <row r="210" spans="1:57" outlineLevel="1" x14ac:dyDescent="0.25">
      <c r="A210" s="394">
        <f>ROW()</f>
        <v>210</v>
      </c>
      <c r="B210" s="349" t="s">
        <v>91</v>
      </c>
      <c r="C210" s="406" t="s">
        <v>162</v>
      </c>
      <c r="D210" s="357">
        <f>+BB149</f>
        <v>0</v>
      </c>
      <c r="E210" s="408"/>
      <c r="F210" s="408"/>
      <c r="G210" s="408"/>
      <c r="H210" s="408"/>
      <c r="I210" s="408"/>
      <c r="J210" s="408"/>
      <c r="K210" s="408"/>
      <c r="L210" s="408"/>
      <c r="M210" s="408"/>
      <c r="N210" s="408"/>
      <c r="O210" s="408"/>
      <c r="P210" s="408"/>
      <c r="Q210" s="408"/>
      <c r="R210" s="408"/>
      <c r="S210" s="408"/>
      <c r="T210" s="408"/>
      <c r="U210" s="408"/>
      <c r="V210" s="408"/>
      <c r="W210" s="408"/>
      <c r="X210" s="408"/>
      <c r="Y210" s="408"/>
      <c r="Z210" s="408"/>
      <c r="AA210" s="408"/>
      <c r="AB210" s="408"/>
      <c r="AC210" s="408"/>
      <c r="AD210" s="408"/>
      <c r="AE210" s="408"/>
      <c r="AF210" s="408"/>
      <c r="AG210" s="408"/>
      <c r="AH210" s="408"/>
      <c r="AI210" s="408"/>
      <c r="AJ210" s="408"/>
      <c r="AK210" s="408"/>
      <c r="AL210" s="408"/>
      <c r="AM210" s="408"/>
      <c r="AN210" s="408"/>
      <c r="AO210" s="408"/>
      <c r="AP210" s="408"/>
      <c r="AQ210" s="408"/>
      <c r="AR210" s="408"/>
      <c r="AS210" s="408"/>
      <c r="AT210" s="408"/>
      <c r="AU210" s="408"/>
      <c r="AV210" s="408"/>
      <c r="AW210" s="408"/>
      <c r="AX210" s="408"/>
      <c r="AY210" s="408"/>
      <c r="AZ210" s="408"/>
      <c r="BA210" s="357">
        <f>SUM(E210:AZ210)</f>
        <v>0</v>
      </c>
      <c r="BB210" s="357">
        <f>+BA210+D210</f>
        <v>0</v>
      </c>
      <c r="BC210" s="82" t="s">
        <v>41</v>
      </c>
      <c r="BD210" s="356"/>
      <c r="BE210" s="82"/>
    </row>
    <row r="211" spans="1:57" outlineLevel="1" x14ac:dyDescent="0.25">
      <c r="A211" s="394">
        <f>ROW()</f>
        <v>211</v>
      </c>
      <c r="B211" s="365" t="s">
        <v>92</v>
      </c>
      <c r="C211" s="406" t="s">
        <v>162</v>
      </c>
      <c r="D211" s="357">
        <f>+BB150</f>
        <v>0</v>
      </c>
      <c r="E211" s="408"/>
      <c r="F211" s="408"/>
      <c r="G211" s="408"/>
      <c r="H211" s="408"/>
      <c r="I211" s="408"/>
      <c r="J211" s="408"/>
      <c r="K211" s="408"/>
      <c r="L211" s="408"/>
      <c r="M211" s="408"/>
      <c r="N211" s="408"/>
      <c r="O211" s="408"/>
      <c r="P211" s="408"/>
      <c r="Q211" s="408"/>
      <c r="R211" s="408"/>
      <c r="S211" s="408"/>
      <c r="T211" s="408"/>
      <c r="U211" s="408"/>
      <c r="V211" s="408"/>
      <c r="W211" s="408"/>
      <c r="X211" s="408"/>
      <c r="Y211" s="408"/>
      <c r="Z211" s="408"/>
      <c r="AA211" s="408"/>
      <c r="AB211" s="408"/>
      <c r="AC211" s="408"/>
      <c r="AD211" s="408"/>
      <c r="AE211" s="408"/>
      <c r="AF211" s="408"/>
      <c r="AG211" s="408"/>
      <c r="AH211" s="408"/>
      <c r="AI211" s="408"/>
      <c r="AJ211" s="408"/>
      <c r="AK211" s="408"/>
      <c r="AL211" s="408"/>
      <c r="AM211" s="408"/>
      <c r="AN211" s="408"/>
      <c r="AO211" s="408"/>
      <c r="AP211" s="408"/>
      <c r="AQ211" s="408"/>
      <c r="AR211" s="408"/>
      <c r="AS211" s="408"/>
      <c r="AT211" s="408"/>
      <c r="AU211" s="408"/>
      <c r="AV211" s="408"/>
      <c r="AW211" s="408"/>
      <c r="AX211" s="408"/>
      <c r="AY211" s="408"/>
      <c r="AZ211" s="408"/>
      <c r="BA211" s="357">
        <f>SUM(E211:AZ211)</f>
        <v>0</v>
      </c>
      <c r="BB211" s="357">
        <f>+BA211+D211</f>
        <v>0</v>
      </c>
      <c r="BC211" s="82" t="s">
        <v>41</v>
      </c>
      <c r="BD211" s="356"/>
      <c r="BE211" s="82"/>
    </row>
    <row r="212" spans="1:57" outlineLevel="1" x14ac:dyDescent="0.25">
      <c r="A212" s="394">
        <f>ROW()</f>
        <v>212</v>
      </c>
      <c r="B212" s="349" t="s">
        <v>93</v>
      </c>
      <c r="C212" s="406" t="s">
        <v>162</v>
      </c>
      <c r="D212" s="1915">
        <f t="shared" ref="D212:AR212" si="50">SUM(D207:D211)</f>
        <v>0</v>
      </c>
      <c r="E212" s="409">
        <f t="shared" si="50"/>
        <v>0</v>
      </c>
      <c r="F212" s="409">
        <f t="shared" si="50"/>
        <v>0</v>
      </c>
      <c r="G212" s="409">
        <f t="shared" si="50"/>
        <v>0</v>
      </c>
      <c r="H212" s="409">
        <f t="shared" si="50"/>
        <v>0</v>
      </c>
      <c r="I212" s="409">
        <f t="shared" si="50"/>
        <v>0</v>
      </c>
      <c r="J212" s="409">
        <f t="shared" si="50"/>
        <v>0</v>
      </c>
      <c r="K212" s="409">
        <f t="shared" si="50"/>
        <v>0</v>
      </c>
      <c r="L212" s="409">
        <f t="shared" si="50"/>
        <v>0</v>
      </c>
      <c r="M212" s="409">
        <f t="shared" si="50"/>
        <v>0</v>
      </c>
      <c r="N212" s="409">
        <f t="shared" si="50"/>
        <v>0</v>
      </c>
      <c r="O212" s="409">
        <f t="shared" si="50"/>
        <v>0</v>
      </c>
      <c r="P212" s="409">
        <f t="shared" si="50"/>
        <v>0</v>
      </c>
      <c r="Q212" s="409">
        <f t="shared" si="50"/>
        <v>0</v>
      </c>
      <c r="R212" s="409">
        <f t="shared" si="50"/>
        <v>0</v>
      </c>
      <c r="S212" s="409">
        <f t="shared" si="50"/>
        <v>0</v>
      </c>
      <c r="T212" s="409">
        <f t="shared" si="50"/>
        <v>0</v>
      </c>
      <c r="U212" s="409">
        <f t="shared" si="50"/>
        <v>0</v>
      </c>
      <c r="V212" s="409">
        <f t="shared" si="50"/>
        <v>0</v>
      </c>
      <c r="W212" s="409">
        <f t="shared" si="50"/>
        <v>0</v>
      </c>
      <c r="X212" s="409">
        <f t="shared" si="50"/>
        <v>0</v>
      </c>
      <c r="Y212" s="409">
        <f t="shared" si="50"/>
        <v>0</v>
      </c>
      <c r="Z212" s="409">
        <f t="shared" si="50"/>
        <v>0</v>
      </c>
      <c r="AA212" s="409">
        <f t="shared" si="50"/>
        <v>0</v>
      </c>
      <c r="AB212" s="409">
        <f t="shared" si="50"/>
        <v>0</v>
      </c>
      <c r="AC212" s="409">
        <f t="shared" si="50"/>
        <v>0</v>
      </c>
      <c r="AD212" s="409">
        <f t="shared" si="50"/>
        <v>0</v>
      </c>
      <c r="AE212" s="409">
        <f t="shared" si="50"/>
        <v>0</v>
      </c>
      <c r="AF212" s="409">
        <f t="shared" si="50"/>
        <v>0</v>
      </c>
      <c r="AG212" s="409">
        <f t="shared" si="50"/>
        <v>0</v>
      </c>
      <c r="AH212" s="409">
        <f t="shared" si="50"/>
        <v>0</v>
      </c>
      <c r="AI212" s="409">
        <f t="shared" si="50"/>
        <v>0</v>
      </c>
      <c r="AJ212" s="409">
        <f t="shared" si="50"/>
        <v>0</v>
      </c>
      <c r="AK212" s="409">
        <f t="shared" si="50"/>
        <v>0</v>
      </c>
      <c r="AL212" s="409">
        <f t="shared" si="50"/>
        <v>0</v>
      </c>
      <c r="AM212" s="368">
        <f t="shared" si="50"/>
        <v>0</v>
      </c>
      <c r="AN212" s="368">
        <f t="shared" si="50"/>
        <v>0</v>
      </c>
      <c r="AO212" s="368">
        <f t="shared" si="50"/>
        <v>0</v>
      </c>
      <c r="AP212" s="409">
        <f t="shared" si="50"/>
        <v>0</v>
      </c>
      <c r="AQ212" s="409">
        <f t="shared" si="50"/>
        <v>0</v>
      </c>
      <c r="AR212" s="409">
        <f t="shared" si="50"/>
        <v>0</v>
      </c>
      <c r="AS212" s="409"/>
      <c r="AT212" s="409"/>
      <c r="AU212" s="409"/>
      <c r="AV212" s="409"/>
      <c r="AW212" s="409"/>
      <c r="AX212" s="409"/>
      <c r="AY212" s="409"/>
      <c r="AZ212" s="409"/>
      <c r="BA212" s="367">
        <f>SUM(BA207:BA211)</f>
        <v>0</v>
      </c>
      <c r="BB212" s="367">
        <f>SUM(BB207:BB211)</f>
        <v>0</v>
      </c>
      <c r="BC212" s="82" t="s">
        <v>41</v>
      </c>
      <c r="BD212" s="356"/>
      <c r="BE212" s="82"/>
    </row>
    <row r="213" spans="1:57" outlineLevel="1" x14ac:dyDescent="0.25">
      <c r="A213" s="394">
        <f>ROW()</f>
        <v>213</v>
      </c>
      <c r="B213" s="349"/>
      <c r="C213" s="406" t="s">
        <v>162</v>
      </c>
      <c r="D213" s="366"/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/>
      <c r="P213" s="412"/>
      <c r="Q213" s="412"/>
      <c r="R213" s="412"/>
      <c r="S213" s="412"/>
      <c r="T213" s="412"/>
      <c r="U213" s="412"/>
      <c r="V213" s="412"/>
      <c r="W213" s="412"/>
      <c r="X213" s="412"/>
      <c r="Y213" s="412"/>
      <c r="Z213" s="412"/>
      <c r="AA213" s="412"/>
      <c r="AB213" s="412"/>
      <c r="AC213" s="412"/>
      <c r="AD213" s="412"/>
      <c r="AE213" s="412"/>
      <c r="AF213" s="412"/>
      <c r="AG213" s="412"/>
      <c r="AH213" s="412"/>
      <c r="AI213" s="412"/>
      <c r="AJ213" s="412"/>
      <c r="AK213" s="412"/>
      <c r="AL213" s="412"/>
      <c r="AM213" s="356"/>
      <c r="AN213" s="412"/>
      <c r="AO213" s="412"/>
      <c r="AP213" s="412"/>
      <c r="AQ213" s="412"/>
      <c r="AR213" s="412"/>
      <c r="AS213" s="412"/>
      <c r="AT213" s="412"/>
      <c r="AU213" s="412"/>
      <c r="AV213" s="412"/>
      <c r="AW213" s="412"/>
      <c r="AX213" s="412"/>
      <c r="AY213" s="412"/>
      <c r="AZ213" s="412"/>
      <c r="BA213" s="366"/>
      <c r="BB213" s="366"/>
      <c r="BC213" s="82" t="s">
        <v>41</v>
      </c>
      <c r="BD213" s="356"/>
      <c r="BE213" s="82"/>
    </row>
    <row r="214" spans="1:57" outlineLevel="1" x14ac:dyDescent="0.25">
      <c r="A214" s="394">
        <f>ROW()</f>
        <v>214</v>
      </c>
      <c r="B214" s="369" t="s">
        <v>94</v>
      </c>
      <c r="C214" s="406" t="s">
        <v>162</v>
      </c>
      <c r="D214" s="357">
        <f t="shared" ref="D214:D227" si="51">+BB153</f>
        <v>7876060.1918395003</v>
      </c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>
        <f>'SEF-36 pg 1-33, 37'!GI18+'SEF-36 pg 1-33, 37'!GI17+'SEF-36 pg 1-33, 37'!GI19</f>
        <v>1785.7888880723513</v>
      </c>
      <c r="P214" s="412"/>
      <c r="Q214" s="412"/>
      <c r="R214" s="412"/>
      <c r="S214" s="412"/>
      <c r="T214" s="412"/>
      <c r="U214" s="412"/>
      <c r="V214" s="412"/>
      <c r="W214" s="412"/>
      <c r="X214" s="412"/>
      <c r="Y214" s="412"/>
      <c r="Z214" s="415">
        <f>'SEF-36 pg 1-33, 37'!NY$16</f>
        <v>358964.49331030715</v>
      </c>
      <c r="AA214" s="412"/>
      <c r="AB214" s="412"/>
      <c r="AC214" s="412"/>
      <c r="AD214" s="412"/>
      <c r="AE214" s="412"/>
      <c r="AF214" s="412"/>
      <c r="AG214" s="412"/>
      <c r="AH214" s="412"/>
      <c r="AI214" s="412"/>
      <c r="AJ214" s="412"/>
      <c r="AK214" s="412"/>
      <c r="AL214" s="412"/>
      <c r="AM214" s="408"/>
      <c r="AN214" s="412"/>
      <c r="AO214" s="412"/>
      <c r="AP214" s="412"/>
      <c r="AQ214" s="412"/>
      <c r="AR214" s="412"/>
      <c r="AS214" s="412"/>
      <c r="AT214" s="412"/>
      <c r="AU214" s="412"/>
      <c r="AV214" s="412"/>
      <c r="AW214" s="412"/>
      <c r="AX214" s="412"/>
      <c r="AY214" s="412"/>
      <c r="AZ214" s="412"/>
      <c r="BA214" s="357">
        <f t="shared" ref="BA214:BA227" si="52">SUM(E214:AZ214)</f>
        <v>360750.28219837951</v>
      </c>
      <c r="BB214" s="366">
        <f t="shared" ref="BB214:BB227" si="53">+BA214+D214</f>
        <v>8236810.4740378801</v>
      </c>
      <c r="BC214" s="82" t="s">
        <v>41</v>
      </c>
      <c r="BD214" s="356"/>
      <c r="BE214" s="82"/>
    </row>
    <row r="215" spans="1:57" outlineLevel="1" x14ac:dyDescent="0.25">
      <c r="A215" s="394">
        <f>ROW()</f>
        <v>215</v>
      </c>
      <c r="B215" s="349" t="s">
        <v>95</v>
      </c>
      <c r="C215" s="406" t="s">
        <v>162</v>
      </c>
      <c r="D215" s="357">
        <f t="shared" si="51"/>
        <v>0</v>
      </c>
      <c r="E215" s="408"/>
      <c r="F215" s="408"/>
      <c r="G215" s="408"/>
      <c r="H215" s="408"/>
      <c r="I215" s="408"/>
      <c r="J215" s="408"/>
      <c r="K215" s="408"/>
      <c r="L215" s="408"/>
      <c r="M215" s="408"/>
      <c r="N215" s="408"/>
      <c r="O215" s="408">
        <f>+'SEF-36 pg 1-33, 37'!GI20</f>
        <v>0</v>
      </c>
      <c r="P215" s="408"/>
      <c r="Q215" s="408"/>
      <c r="R215" s="408"/>
      <c r="S215" s="408"/>
      <c r="T215" s="408"/>
      <c r="U215" s="408"/>
      <c r="V215" s="408"/>
      <c r="W215" s="408"/>
      <c r="X215" s="408"/>
      <c r="Y215" s="408"/>
      <c r="Z215" s="415">
        <f>'SEF-36 pg 1-33, 37'!NY$17</f>
        <v>0</v>
      </c>
      <c r="AA215" s="408"/>
      <c r="AB215" s="408"/>
      <c r="AC215" s="408"/>
      <c r="AD215" s="408"/>
      <c r="AE215" s="408"/>
      <c r="AF215" s="408"/>
      <c r="AG215" s="408"/>
      <c r="AH215" s="408"/>
      <c r="AI215" s="408"/>
      <c r="AJ215" s="408"/>
      <c r="AK215" s="408"/>
      <c r="AL215" s="408"/>
      <c r="AM215" s="408"/>
      <c r="AN215" s="408"/>
      <c r="AO215" s="408"/>
      <c r="AP215" s="408"/>
      <c r="AQ215" s="408"/>
      <c r="AR215" s="408"/>
      <c r="AS215" s="408"/>
      <c r="AT215" s="408"/>
      <c r="AU215" s="408"/>
      <c r="AV215" s="408"/>
      <c r="AW215" s="408"/>
      <c r="AX215" s="408"/>
      <c r="AY215" s="408"/>
      <c r="AZ215" s="408"/>
      <c r="BA215" s="357">
        <f t="shared" si="52"/>
        <v>0</v>
      </c>
      <c r="BB215" s="357">
        <f t="shared" si="53"/>
        <v>0</v>
      </c>
      <c r="BC215" s="82" t="s">
        <v>41</v>
      </c>
      <c r="BD215" s="356"/>
      <c r="BE215" s="82"/>
    </row>
    <row r="216" spans="1:57" outlineLevel="1" x14ac:dyDescent="0.25">
      <c r="A216" s="394">
        <f>ROW()</f>
        <v>216</v>
      </c>
      <c r="B216" s="349" t="s">
        <v>96</v>
      </c>
      <c r="C216" s="406" t="s">
        <v>162</v>
      </c>
      <c r="D216" s="357">
        <f t="shared" si="51"/>
        <v>64491416.290939584</v>
      </c>
      <c r="E216" s="408"/>
      <c r="F216" s="408"/>
      <c r="G216" s="408"/>
      <c r="H216" s="408"/>
      <c r="I216" s="408"/>
      <c r="J216" s="408"/>
      <c r="K216" s="408"/>
      <c r="L216" s="408"/>
      <c r="M216" s="408"/>
      <c r="N216" s="408"/>
      <c r="O216" s="408">
        <f>+'SEF-36 pg 1-33, 37'!GI21</f>
        <v>10668.579249151284</v>
      </c>
      <c r="P216" s="408"/>
      <c r="Q216" s="408"/>
      <c r="R216" s="408"/>
      <c r="S216" s="408"/>
      <c r="T216" s="408"/>
      <c r="U216" s="408"/>
      <c r="V216" s="408"/>
      <c r="W216" s="408"/>
      <c r="X216" s="408"/>
      <c r="Y216" s="408"/>
      <c r="Z216" s="415">
        <f>'SEF-36 pg 1-33, 37'!NY$18</f>
        <v>26412043.254408054</v>
      </c>
      <c r="AA216" s="408"/>
      <c r="AB216" s="408"/>
      <c r="AC216" s="408"/>
      <c r="AD216" s="408"/>
      <c r="AE216" s="408"/>
      <c r="AF216" s="408"/>
      <c r="AG216" s="408"/>
      <c r="AH216" s="408"/>
      <c r="AI216" s="408"/>
      <c r="AJ216" s="408"/>
      <c r="AK216" s="408"/>
      <c r="AL216" s="408"/>
      <c r="AM216" s="408"/>
      <c r="AN216" s="408"/>
      <c r="AO216" s="408"/>
      <c r="AP216" s="408"/>
      <c r="AQ216" s="408"/>
      <c r="AR216" s="408"/>
      <c r="AS216" s="408"/>
      <c r="AT216" s="408"/>
      <c r="AU216" s="408"/>
      <c r="AV216" s="408"/>
      <c r="AW216" s="408"/>
      <c r="AX216" s="408"/>
      <c r="AY216" s="408"/>
      <c r="AZ216" s="408"/>
      <c r="BA216" s="357">
        <f t="shared" si="52"/>
        <v>26422711.833657205</v>
      </c>
      <c r="BB216" s="357">
        <f t="shared" si="53"/>
        <v>90914128.124596789</v>
      </c>
      <c r="BC216" s="82" t="s">
        <v>41</v>
      </c>
      <c r="BD216" s="356"/>
      <c r="BE216" s="82"/>
    </row>
    <row r="217" spans="1:57" outlineLevel="1" x14ac:dyDescent="0.25">
      <c r="A217" s="394">
        <f>ROW()</f>
        <v>217</v>
      </c>
      <c r="B217" s="349" t="s">
        <v>97</v>
      </c>
      <c r="C217" s="406" t="s">
        <v>162</v>
      </c>
      <c r="D217" s="357">
        <f t="shared" si="51"/>
        <v>23470838.900347147</v>
      </c>
      <c r="E217" s="408">
        <f>'SEF-36 pg 1-33, 37'!$K$64</f>
        <v>-24653.25946749116</v>
      </c>
      <c r="F217" s="408"/>
      <c r="G217" s="408"/>
      <c r="H217" s="408"/>
      <c r="I217" s="408"/>
      <c r="J217" s="408"/>
      <c r="K217" s="408"/>
      <c r="L217" s="408"/>
      <c r="M217" s="408"/>
      <c r="N217" s="408"/>
      <c r="O217" s="408">
        <f>+'SEF-36 pg 1-33, 37'!GI22</f>
        <v>2384.4034893848002</v>
      </c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  <c r="Z217" s="415">
        <f>'SEF-36 pg 1-33, 37'!NY$19</f>
        <v>-7167323.3995859586</v>
      </c>
      <c r="AA217" s="408"/>
      <c r="AB217" s="408"/>
      <c r="AC217" s="408"/>
      <c r="AD217" s="408"/>
      <c r="AE217" s="408"/>
      <c r="AF217" s="408"/>
      <c r="AG217" s="408"/>
      <c r="AH217" s="408"/>
      <c r="AI217" s="408"/>
      <c r="AJ217" s="408"/>
      <c r="AK217" s="408"/>
      <c r="AL217" s="408"/>
      <c r="AM217" s="408"/>
      <c r="AN217" s="408"/>
      <c r="AO217" s="408"/>
      <c r="AP217" s="408"/>
      <c r="AQ217" s="408"/>
      <c r="AR217" s="408"/>
      <c r="AS217" s="408"/>
      <c r="AT217" s="408"/>
      <c r="AU217" s="408"/>
      <c r="AV217" s="408"/>
      <c r="AW217" s="408"/>
      <c r="AX217" s="408"/>
      <c r="AY217" s="408"/>
      <c r="AZ217" s="408"/>
      <c r="BA217" s="357">
        <f t="shared" si="52"/>
        <v>-7189592.2555640647</v>
      </c>
      <c r="BB217" s="357">
        <f t="shared" si="53"/>
        <v>16281246.644783083</v>
      </c>
      <c r="BC217" s="82" t="s">
        <v>41</v>
      </c>
      <c r="BD217" s="356"/>
      <c r="BE217" s="82"/>
    </row>
    <row r="218" spans="1:57" outlineLevel="1" x14ac:dyDescent="0.25">
      <c r="A218" s="394">
        <f>ROW()</f>
        <v>218</v>
      </c>
      <c r="B218" s="349" t="s">
        <v>98</v>
      </c>
      <c r="C218" s="406" t="s">
        <v>162</v>
      </c>
      <c r="D218" s="357">
        <f t="shared" si="51"/>
        <v>2401812.2597524063</v>
      </c>
      <c r="E218" s="408"/>
      <c r="F218" s="408"/>
      <c r="G218" s="408"/>
      <c r="H218" s="408"/>
      <c r="I218" s="408"/>
      <c r="J218" s="408"/>
      <c r="K218" s="408"/>
      <c r="L218" s="408"/>
      <c r="M218" s="408"/>
      <c r="N218" s="408"/>
      <c r="O218" s="408">
        <f>+'SEF-36 pg 1-33, 37'!GI23+'SEF-36 pg 1-33, 37'!GI24</f>
        <v>411.13184936948846</v>
      </c>
      <c r="P218" s="408"/>
      <c r="Q218" s="408"/>
      <c r="R218" s="408"/>
      <c r="S218" s="408"/>
      <c r="T218" s="408"/>
      <c r="U218" s="408"/>
      <c r="V218" s="408"/>
      <c r="W218" s="408"/>
      <c r="X218" s="408"/>
      <c r="Y218" s="408"/>
      <c r="Z218" s="415">
        <f>'SEF-36 pg 1-33, 37'!NY$20</f>
        <v>-527180.86679653171</v>
      </c>
      <c r="AA218" s="408"/>
      <c r="AB218" s="408"/>
      <c r="AC218" s="408"/>
      <c r="AD218" s="408"/>
      <c r="AE218" s="408"/>
      <c r="AF218" s="408"/>
      <c r="AG218" s="408"/>
      <c r="AH218" s="408"/>
      <c r="AI218" s="408"/>
      <c r="AJ218" s="408"/>
      <c r="AK218" s="408"/>
      <c r="AL218" s="408"/>
      <c r="AM218" s="408"/>
      <c r="AN218" s="408"/>
      <c r="AO218" s="408"/>
      <c r="AP218" s="408"/>
      <c r="AQ218" s="408"/>
      <c r="AR218" s="408"/>
      <c r="AS218" s="408"/>
      <c r="AT218" s="408"/>
      <c r="AU218" s="408"/>
      <c r="AV218" s="408"/>
      <c r="AW218" s="408"/>
      <c r="AX218" s="408"/>
      <c r="AY218" s="408"/>
      <c r="AZ218" s="408"/>
      <c r="BA218" s="357">
        <f t="shared" si="52"/>
        <v>-526769.73494716221</v>
      </c>
      <c r="BB218" s="357">
        <f t="shared" si="53"/>
        <v>1875042.5248052441</v>
      </c>
      <c r="BC218" s="82" t="s">
        <v>41</v>
      </c>
      <c r="BD218" s="356"/>
      <c r="BE218" s="82"/>
    </row>
    <row r="219" spans="1:57" outlineLevel="1" x14ac:dyDescent="0.25">
      <c r="A219" s="394">
        <f>ROW()</f>
        <v>219</v>
      </c>
      <c r="B219" s="349" t="s">
        <v>99</v>
      </c>
      <c r="C219" s="406" t="s">
        <v>162</v>
      </c>
      <c r="D219" s="357">
        <f t="shared" si="51"/>
        <v>0</v>
      </c>
      <c r="E219" s="408"/>
      <c r="F219" s="408"/>
      <c r="G219" s="408"/>
      <c r="H219" s="408"/>
      <c r="I219" s="408"/>
      <c r="J219" s="408"/>
      <c r="K219" s="408"/>
      <c r="L219" s="408"/>
      <c r="M219" s="408"/>
      <c r="N219" s="408"/>
      <c r="O219" s="408"/>
      <c r="P219" s="408"/>
      <c r="Q219" s="408"/>
      <c r="R219" s="408"/>
      <c r="S219" s="408"/>
      <c r="T219" s="408"/>
      <c r="U219" s="408"/>
      <c r="V219" s="408"/>
      <c r="W219" s="408"/>
      <c r="X219" s="408"/>
      <c r="Y219" s="408"/>
      <c r="Z219" s="415">
        <f>'SEF-36 pg 1-33, 37'!NY$21</f>
        <v>0</v>
      </c>
      <c r="AA219" s="408"/>
      <c r="AB219" s="408"/>
      <c r="AC219" s="408"/>
      <c r="AD219" s="408"/>
      <c r="AE219" s="408"/>
      <c r="AF219" s="408"/>
      <c r="AG219" s="408"/>
      <c r="AH219" s="408"/>
      <c r="AI219" s="408"/>
      <c r="AJ219" s="408"/>
      <c r="AK219" s="408"/>
      <c r="AL219" s="408"/>
      <c r="AM219" s="408"/>
      <c r="AN219" s="408"/>
      <c r="AO219" s="408"/>
      <c r="AP219" s="408"/>
      <c r="AQ219" s="408"/>
      <c r="AR219" s="408"/>
      <c r="AS219" s="408"/>
      <c r="AT219" s="408"/>
      <c r="AU219" s="408"/>
      <c r="AV219" s="408"/>
      <c r="AW219" s="408"/>
      <c r="AX219" s="408"/>
      <c r="AY219" s="408"/>
      <c r="AZ219" s="408"/>
      <c r="BA219" s="357">
        <f t="shared" si="52"/>
        <v>0</v>
      </c>
      <c r="BB219" s="357">
        <f t="shared" si="53"/>
        <v>0</v>
      </c>
      <c r="BC219" s="82" t="s">
        <v>41</v>
      </c>
      <c r="BD219" s="356"/>
      <c r="BE219" s="82"/>
    </row>
    <row r="220" spans="1:57" outlineLevel="1" x14ac:dyDescent="0.25">
      <c r="A220" s="394">
        <f>ROW()</f>
        <v>220</v>
      </c>
      <c r="B220" s="349" t="s">
        <v>100</v>
      </c>
      <c r="C220" s="406" t="s">
        <v>162</v>
      </c>
      <c r="D220" s="371">
        <f t="shared" si="51"/>
        <v>74473180.840518832</v>
      </c>
      <c r="E220" s="370">
        <f>'SEF-36 pg 1-33, 37'!$K$65</f>
        <v>-42637.944426653681</v>
      </c>
      <c r="F220" s="408"/>
      <c r="G220" s="408"/>
      <c r="H220" s="408"/>
      <c r="I220" s="408"/>
      <c r="J220" s="408"/>
      <c r="K220" s="408"/>
      <c r="L220" s="408"/>
      <c r="M220" s="408"/>
      <c r="N220" s="408"/>
      <c r="O220" s="408">
        <f>+'SEF-36 pg 1-33, 37'!GI25</f>
        <v>7144.4767995857401</v>
      </c>
      <c r="P220" s="408"/>
      <c r="Q220" s="408"/>
      <c r="R220" s="408"/>
      <c r="S220" s="408"/>
      <c r="T220" s="408"/>
      <c r="U220" s="408"/>
      <c r="V220" s="408"/>
      <c r="W220" s="408"/>
      <c r="X220" s="408"/>
      <c r="Y220" s="408"/>
      <c r="Z220" s="415">
        <f>'SEF-36 pg 1-33, 37'!NY$22</f>
        <v>-7292042.7571008801</v>
      </c>
      <c r="AA220" s="408"/>
      <c r="AB220" s="408"/>
      <c r="AC220" s="408"/>
      <c r="AD220" s="408"/>
      <c r="AE220" s="408"/>
      <c r="AF220" s="408"/>
      <c r="AG220" s="408"/>
      <c r="AH220" s="408"/>
      <c r="AI220" s="408"/>
      <c r="AJ220" s="408"/>
      <c r="AK220" s="408"/>
      <c r="AL220" s="408"/>
      <c r="AM220" s="408">
        <f>'SEF-36 pg 1-33, 37'!TO18</f>
        <v>62000</v>
      </c>
      <c r="AN220" s="408"/>
      <c r="AO220" s="408">
        <f>'SEF-36 pg 1-33, 37'!WI18</f>
        <v>403758.88800190948</v>
      </c>
      <c r="AP220" s="408"/>
      <c r="AQ220" s="408"/>
      <c r="AR220" s="408"/>
      <c r="AS220" s="408"/>
      <c r="AT220" s="408"/>
      <c r="AU220" s="408"/>
      <c r="AV220" s="408"/>
      <c r="AW220" s="408"/>
      <c r="AX220" s="408"/>
      <c r="AY220" s="408"/>
      <c r="AZ220" s="408"/>
      <c r="BA220" s="357">
        <f t="shared" si="52"/>
        <v>-6861777.3367260387</v>
      </c>
      <c r="BB220" s="357">
        <f t="shared" si="53"/>
        <v>67611403.503792793</v>
      </c>
      <c r="BC220" s="82" t="s">
        <v>41</v>
      </c>
      <c r="BD220" s="356"/>
      <c r="BE220" s="82"/>
    </row>
    <row r="221" spans="1:57" outlineLevel="1" x14ac:dyDescent="0.25">
      <c r="A221" s="394">
        <f>ROW()</f>
        <v>221</v>
      </c>
      <c r="B221" s="349" t="s">
        <v>101</v>
      </c>
      <c r="C221" s="406" t="s">
        <v>162</v>
      </c>
      <c r="D221" s="357">
        <f t="shared" si="51"/>
        <v>176765994.47247931</v>
      </c>
      <c r="E221" s="411"/>
      <c r="F221" s="411"/>
      <c r="G221" s="411"/>
      <c r="H221" s="411"/>
      <c r="I221" s="411"/>
      <c r="J221" s="411"/>
      <c r="K221" s="411"/>
      <c r="L221" s="411"/>
      <c r="M221" s="411"/>
      <c r="N221" s="411"/>
      <c r="O221" s="411"/>
      <c r="P221" s="411"/>
      <c r="Q221" s="411"/>
      <c r="R221" s="411"/>
      <c r="S221" s="411"/>
      <c r="T221" s="411"/>
      <c r="U221" s="411"/>
      <c r="V221" s="411"/>
      <c r="W221" s="411"/>
      <c r="X221" s="411"/>
      <c r="Y221" s="411"/>
      <c r="Z221" s="415"/>
      <c r="AA221" s="411"/>
      <c r="AB221" s="411"/>
      <c r="AC221" s="411"/>
      <c r="AD221" s="411"/>
      <c r="AE221" s="358">
        <f>'SEF-36 pg 1-33, 37'!RL17+'SEF-36 pg 1-33, 37'!RL18</f>
        <v>70461019.660000026</v>
      </c>
      <c r="AF221" s="358">
        <f>'SEF-36 pg 1-33, 37'!SD16+'SEF-36 pg 1-33, 37'!SD17</f>
        <v>-629245.79000000108</v>
      </c>
      <c r="AG221" s="358">
        <f>'SEF-36 pg 1-33, 37'!$SV$16+'SEF-36 pg 1-33, 37'!$SV$17</f>
        <v>8204929.9781749994</v>
      </c>
      <c r="AH221" s="358">
        <f>'SEF-36 pg 1-33, 37'!$SV$34+'SEF-36 pg 1-33, 37'!$SV$35</f>
        <v>4652973.419999999</v>
      </c>
      <c r="AI221" s="358">
        <f>'SEF-36 pg 1-33, 37'!$SV$52+'SEF-36 pg 1-33, 37'!$SV$53</f>
        <v>449917.27</v>
      </c>
      <c r="AJ221" s="358">
        <f>'SEF-36 pg 1-33, 37'!$SV$70+'SEF-36 pg 1-33, 37'!$SV$71</f>
        <v>2232184.6286599999</v>
      </c>
      <c r="AK221" s="411"/>
      <c r="AL221" s="411"/>
      <c r="AM221" s="408"/>
      <c r="AN221" s="411"/>
      <c r="AO221" s="411"/>
      <c r="AP221" s="411"/>
      <c r="AQ221" s="411"/>
      <c r="AR221" s="408">
        <f>'SEF-36 pg 34-36'!CW25</f>
        <v>-542973.59425955813</v>
      </c>
      <c r="AS221" s="411"/>
      <c r="AT221" s="412"/>
      <c r="AU221" s="411"/>
      <c r="AV221" s="411"/>
      <c r="AW221" s="414"/>
      <c r="AX221" s="415"/>
      <c r="AY221" s="411"/>
      <c r="AZ221" s="411"/>
      <c r="BA221" s="357">
        <f t="shared" si="52"/>
        <v>84828805.57257545</v>
      </c>
      <c r="BB221" s="357">
        <f t="shared" si="53"/>
        <v>261594800.04505476</v>
      </c>
      <c r="BC221" s="82" t="s">
        <v>41</v>
      </c>
      <c r="BD221" s="356"/>
      <c r="BE221" s="82"/>
    </row>
    <row r="222" spans="1:57" outlineLevel="1" x14ac:dyDescent="0.25">
      <c r="A222" s="394">
        <f>ROW()</f>
        <v>222</v>
      </c>
      <c r="B222" s="349" t="s">
        <v>102</v>
      </c>
      <c r="C222" s="406" t="s">
        <v>162</v>
      </c>
      <c r="D222" s="357">
        <f t="shared" si="51"/>
        <v>30160635.290589862</v>
      </c>
      <c r="E222" s="408"/>
      <c r="F222" s="408"/>
      <c r="G222" s="408"/>
      <c r="H222" s="408"/>
      <c r="I222" s="408"/>
      <c r="J222" s="408"/>
      <c r="K222" s="408"/>
      <c r="L222" s="408"/>
      <c r="M222" s="408"/>
      <c r="N222" s="408"/>
      <c r="O222" s="408"/>
      <c r="P222" s="408"/>
      <c r="Q222" s="408"/>
      <c r="R222" s="408"/>
      <c r="S222" s="408"/>
      <c r="T222" s="408"/>
      <c r="U222" s="408"/>
      <c r="V222" s="408"/>
      <c r="W222" s="408"/>
      <c r="X222" s="408"/>
      <c r="Y222" s="408"/>
      <c r="Z222" s="1887"/>
      <c r="AA222" s="408"/>
      <c r="AB222" s="408"/>
      <c r="AC222" s="408"/>
      <c r="AD222" s="408"/>
      <c r="AE222" s="408">
        <f>'SEF-36 pg 1-33, 37'!RL19+'SEF-36 pg 1-33, 37'!RL20</f>
        <v>-3062806.8819949329</v>
      </c>
      <c r="AF222" s="408">
        <f>'SEF-36 pg 1-33, 37'!SD18+'SEF-36 pg 1-33, 37'!SD19</f>
        <v>0</v>
      </c>
      <c r="AG222" s="358">
        <f>'SEF-36 pg 1-33, 37'!$SV$18+'SEF-36 pg 1-33, 37'!$SV$19</f>
        <v>2452034.6808850002</v>
      </c>
      <c r="AH222" s="358">
        <f>'SEF-36 pg 1-33, 37'!$SV$36+'SEF-36 pg 1-33, 37'!$SV$37</f>
        <v>0</v>
      </c>
      <c r="AI222" s="358">
        <f>'SEF-36 pg 1-33, 37'!$SV$54+'SEF-36 pg 1-33, 37'!$SV$55</f>
        <v>0</v>
      </c>
      <c r="AJ222" s="358">
        <f>'SEF-36 pg 1-33, 37'!$SV$72+'SEF-36 pg 1-33, 37'!$SV$73</f>
        <v>6947361.4933500001</v>
      </c>
      <c r="AK222" s="408"/>
      <c r="AL222" s="408"/>
      <c r="AM222" s="408"/>
      <c r="AN222" s="408">
        <f>'SEF-36 pg 1-33, 37'!VT29</f>
        <v>0</v>
      </c>
      <c r="AO222" s="408"/>
      <c r="AP222" s="408"/>
      <c r="AQ222" s="408"/>
      <c r="AR222" s="408">
        <f>'SEF-36 pg 34-36'!CW26</f>
        <v>-117906.41138000003</v>
      </c>
      <c r="AS222" s="408"/>
      <c r="AT222" s="408"/>
      <c r="AU222" s="408"/>
      <c r="AV222" s="408"/>
      <c r="AW222" s="408"/>
      <c r="AX222" s="408"/>
      <c r="AY222" s="408"/>
      <c r="AZ222" s="408"/>
      <c r="BA222" s="357">
        <f t="shared" si="52"/>
        <v>6218682.880860067</v>
      </c>
      <c r="BB222" s="357">
        <f t="shared" si="53"/>
        <v>36379318.171449929</v>
      </c>
      <c r="BC222" s="82" t="s">
        <v>41</v>
      </c>
      <c r="BD222" s="356"/>
      <c r="BE222" s="82"/>
    </row>
    <row r="223" spans="1:57" outlineLevel="1" x14ac:dyDescent="0.25">
      <c r="A223" s="394">
        <f>ROW()</f>
        <v>223</v>
      </c>
      <c r="B223" s="369" t="s">
        <v>103</v>
      </c>
      <c r="C223" s="406" t="s">
        <v>162</v>
      </c>
      <c r="D223" s="357">
        <f t="shared" si="51"/>
        <v>0</v>
      </c>
      <c r="E223" s="408"/>
      <c r="F223" s="408"/>
      <c r="G223" s="408"/>
      <c r="H223" s="408"/>
      <c r="I223" s="408"/>
      <c r="J223" s="408"/>
      <c r="K223" s="408"/>
      <c r="L223" s="408"/>
      <c r="M223" s="408"/>
      <c r="N223" s="408"/>
      <c r="O223" s="408"/>
      <c r="P223" s="408"/>
      <c r="Q223" s="408"/>
      <c r="R223" s="408"/>
      <c r="S223" s="408"/>
      <c r="T223" s="408"/>
      <c r="U223" s="408"/>
      <c r="V223" s="408"/>
      <c r="W223" s="408"/>
      <c r="X223" s="408"/>
      <c r="Y223" s="408"/>
      <c r="Z223" s="1887"/>
      <c r="AA223" s="408"/>
      <c r="AB223" s="408"/>
      <c r="AC223" s="408"/>
      <c r="AD223" s="408"/>
      <c r="AE223" s="408"/>
      <c r="AF223" s="408"/>
      <c r="AG223" s="358"/>
      <c r="AH223" s="358"/>
      <c r="AI223" s="358"/>
      <c r="AJ223" s="358"/>
      <c r="AK223" s="408"/>
      <c r="AL223" s="408"/>
      <c r="AM223" s="408"/>
      <c r="AN223" s="408"/>
      <c r="AO223" s="408"/>
      <c r="AP223" s="408"/>
      <c r="AQ223" s="408"/>
      <c r="AR223" s="408"/>
      <c r="AS223" s="408"/>
      <c r="AT223" s="408"/>
      <c r="AU223" s="408"/>
      <c r="AV223" s="408"/>
      <c r="AW223" s="408"/>
      <c r="AX223" s="408"/>
      <c r="AY223" s="408"/>
      <c r="AZ223" s="408"/>
      <c r="BA223" s="357">
        <f t="shared" si="52"/>
        <v>0</v>
      </c>
      <c r="BB223" s="357">
        <f t="shared" si="53"/>
        <v>0</v>
      </c>
      <c r="BC223" s="82" t="s">
        <v>41</v>
      </c>
      <c r="BD223" s="356"/>
      <c r="BE223" s="82"/>
    </row>
    <row r="224" spans="1:57" outlineLevel="1" x14ac:dyDescent="0.25">
      <c r="A224" s="394">
        <f>ROW()</f>
        <v>224</v>
      </c>
      <c r="B224" s="349" t="s">
        <v>104</v>
      </c>
      <c r="C224" s="406" t="s">
        <v>162</v>
      </c>
      <c r="D224" s="357">
        <f t="shared" si="51"/>
        <v>15450871.185612418</v>
      </c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08"/>
      <c r="V224" s="408"/>
      <c r="W224" s="408"/>
      <c r="X224" s="408"/>
      <c r="Y224" s="408"/>
      <c r="Z224" s="415"/>
      <c r="AA224" s="408"/>
      <c r="AB224" s="408">
        <f>+'SEF-36 pg 1-33, 37'!PI48</f>
        <v>4718449.8108259197</v>
      </c>
      <c r="AC224" s="408">
        <f>'SEF-36 pg 1-33, 37'!QA17</f>
        <v>-1729712.4673011312</v>
      </c>
      <c r="AD224" s="408"/>
      <c r="AE224" s="408"/>
      <c r="AF224" s="408"/>
      <c r="AG224" s="358"/>
      <c r="AH224" s="358"/>
      <c r="AI224" s="358"/>
      <c r="AJ224" s="358"/>
      <c r="AK224" s="408"/>
      <c r="AL224" s="370">
        <f>'SEF-36 pg 1-33, 37'!VA24</f>
        <v>3312025.0962618445</v>
      </c>
      <c r="AM224" s="408"/>
      <c r="AN224" s="408"/>
      <c r="AO224" s="408"/>
      <c r="AP224" s="408">
        <f>'SEF-36 pg 34-36'!BM38+'SEF-36 pg 34-36'!BM42</f>
        <v>0</v>
      </c>
      <c r="AQ224" s="408">
        <f>'SEF-36 pg 34-36'!CE44-'SEF-36 pg 34-36'!CE33-'SEF-36 pg 34-36'!CE36</f>
        <v>12910.259331536305</v>
      </c>
      <c r="AR224" s="408"/>
      <c r="AS224" s="370">
        <f>'SEF-36 pg 1-33, 37'!WX16</f>
        <v>598854.31389000011</v>
      </c>
      <c r="AT224" s="408"/>
      <c r="AU224" s="408"/>
      <c r="AV224" s="408"/>
      <c r="AW224" s="408"/>
      <c r="AX224" s="408"/>
      <c r="AY224" s="408"/>
      <c r="AZ224" s="408"/>
      <c r="BA224" s="357">
        <f t="shared" si="52"/>
        <v>6912527.0130081698</v>
      </c>
      <c r="BB224" s="371">
        <f t="shared" si="53"/>
        <v>22363398.198620588</v>
      </c>
      <c r="BC224" s="82" t="s">
        <v>41</v>
      </c>
      <c r="BD224" s="356"/>
      <c r="BE224" s="82"/>
    </row>
    <row r="225" spans="1:60" outlineLevel="1" x14ac:dyDescent="0.25">
      <c r="A225" s="394">
        <f>ROW()</f>
        <v>225</v>
      </c>
      <c r="B225" s="349" t="s">
        <v>105</v>
      </c>
      <c r="C225" s="406" t="s">
        <v>162</v>
      </c>
      <c r="D225" s="357">
        <f t="shared" si="51"/>
        <v>25881686.75529515</v>
      </c>
      <c r="E225" s="370">
        <f>'SEF-36 pg 1-33, 37'!$K$66</f>
        <v>-327536.16149666824</v>
      </c>
      <c r="F225" s="408"/>
      <c r="G225" s="408"/>
      <c r="H225" s="408"/>
      <c r="I225" s="408"/>
      <c r="J225" s="408"/>
      <c r="K225" s="408"/>
      <c r="L225" s="408"/>
      <c r="M225" s="408"/>
      <c r="N225" s="408"/>
      <c r="O225" s="408">
        <f>+'SEF-36 pg 1-33, 37'!GI28</f>
        <v>1968.4660262220461</v>
      </c>
      <c r="P225" s="408"/>
      <c r="Q225" s="408"/>
      <c r="R225" s="408"/>
      <c r="S225" s="408"/>
      <c r="T225" s="408"/>
      <c r="U225" s="408"/>
      <c r="V225" s="408"/>
      <c r="W225" s="408"/>
      <c r="X225" s="408"/>
      <c r="Y225" s="408"/>
      <c r="Z225" s="1887">
        <f>'SEF-36 pg 1-33, 37'!NY$23</f>
        <v>-1907825.035493671</v>
      </c>
      <c r="AA225" s="408"/>
      <c r="AB225" s="408"/>
      <c r="AC225" s="408"/>
      <c r="AD225" s="408"/>
      <c r="AE225" s="408"/>
      <c r="AF225" s="408"/>
      <c r="AG225" s="358"/>
      <c r="AH225" s="358"/>
      <c r="AI225" s="358"/>
      <c r="AJ225" s="358"/>
      <c r="AK225" s="408"/>
      <c r="AL225" s="408"/>
      <c r="AM225" s="408"/>
      <c r="AN225" s="408"/>
      <c r="AO225" s="408"/>
      <c r="AP225" s="408"/>
      <c r="AQ225" s="408"/>
      <c r="AR225" s="408"/>
      <c r="AS225" s="408"/>
      <c r="AT225" s="408"/>
      <c r="AU225" s="408"/>
      <c r="AV225" s="408"/>
      <c r="AW225" s="408"/>
      <c r="AX225" s="408"/>
      <c r="AY225" s="408"/>
      <c r="AZ225" s="408"/>
      <c r="BA225" s="357">
        <f t="shared" si="52"/>
        <v>-2233392.7309641172</v>
      </c>
      <c r="BB225" s="357">
        <f t="shared" si="53"/>
        <v>23648294.024331033</v>
      </c>
      <c r="BC225" s="82" t="s">
        <v>41</v>
      </c>
      <c r="BD225" s="356"/>
      <c r="BE225" s="82"/>
    </row>
    <row r="226" spans="1:60" outlineLevel="1" x14ac:dyDescent="0.25">
      <c r="A226" s="394">
        <f>ROW()</f>
        <v>226</v>
      </c>
      <c r="B226" s="349" t="s">
        <v>106</v>
      </c>
      <c r="C226" s="406" t="s">
        <v>162</v>
      </c>
      <c r="D226" s="371">
        <f t="shared" si="51"/>
        <v>10623093.105149904</v>
      </c>
      <c r="E226" s="370">
        <f>'SEF-36 pg 1-33, 37'!$K$70</f>
        <v>-1707879.919187384</v>
      </c>
      <c r="F226" s="408"/>
      <c r="G226" s="408"/>
      <c r="H226" s="408"/>
      <c r="I226" s="408">
        <f>'SEF-36 pg 1-33, 37'!CE23</f>
        <v>-51423.477331428228</v>
      </c>
      <c r="J226" s="408"/>
      <c r="K226" s="408"/>
      <c r="L226" s="408"/>
      <c r="M226" s="408"/>
      <c r="N226" s="408"/>
      <c r="O226" s="408">
        <f>+'SEF-36 pg 1-33, 37'!GI31</f>
        <v>-5116.1977233749985</v>
      </c>
      <c r="P226" s="408"/>
      <c r="Q226" s="408"/>
      <c r="R226" s="408"/>
      <c r="S226" s="408"/>
      <c r="T226" s="408"/>
      <c r="U226" s="408"/>
      <c r="V226" s="408"/>
      <c r="W226" s="408"/>
      <c r="X226" s="408"/>
      <c r="Y226" s="408"/>
      <c r="Z226" s="1887">
        <f>'SEF-36 pg 1-33, 37'!NY$30</f>
        <v>-2074093.494635677</v>
      </c>
      <c r="AA226" s="408"/>
      <c r="AB226" s="408">
        <f>+'SEF-36 pg 1-33, 37'!PI52</f>
        <v>-990874.46027344314</v>
      </c>
      <c r="AC226" s="408">
        <f>'SEF-36 pg 1-33, 37'!QA20</f>
        <v>363239.61813323753</v>
      </c>
      <c r="AD226" s="408"/>
      <c r="AE226" s="408">
        <f>'SEF-36 pg 1-33, 37'!RL29</f>
        <v>-14153624.683381069</v>
      </c>
      <c r="AF226" s="408">
        <f>'SEF-36 pg 1-33, 37'!SD28</f>
        <v>132141.61590000024</v>
      </c>
      <c r="AG226" s="358">
        <f>'SEF-36 pg 1-33, 37'!$SV$24</f>
        <v>-2237962.5784026003</v>
      </c>
      <c r="AH226" s="358">
        <f>'SEF-36 pg 1-33, 37'!$SV$42</f>
        <v>-977124.41819999972</v>
      </c>
      <c r="AI226" s="358">
        <f>'SEF-36 pg 1-33, 37'!$SV$60</f>
        <v>-94482.626699999993</v>
      </c>
      <c r="AJ226" s="358">
        <f>'SEF-36 pg 1-33, 37'!$SV$78</f>
        <v>-1927704.6856221</v>
      </c>
      <c r="AK226" s="408"/>
      <c r="AL226" s="370">
        <f>'SEF-36 pg 1-33, 37'!VA26</f>
        <v>-695525.27021498734</v>
      </c>
      <c r="AM226" s="408">
        <f>'SEF-36 pg 1-33, 37'!TO23</f>
        <v>-13020</v>
      </c>
      <c r="AN226" s="408">
        <f>'SEF-36 pg 1-33, 37'!VT31</f>
        <v>0</v>
      </c>
      <c r="AO226" s="408">
        <f>'SEF-36 pg 1-33, 37'!WI20</f>
        <v>-84789.36648040099</v>
      </c>
      <c r="AP226" s="408">
        <f>'SEF-36 pg 34-36'!BM48</f>
        <v>0</v>
      </c>
      <c r="AQ226" s="408">
        <f>'SEF-36 pg 34-36'!CE46</f>
        <v>-2711.154459622624</v>
      </c>
      <c r="AR226" s="408">
        <f>'SEF-36 pg 34-36'!CW29</f>
        <v>138784.8011843072</v>
      </c>
      <c r="AS226" s="370">
        <f>'SEF-36 pg 1-33, 37'!WX20</f>
        <v>-125759.40591690002</v>
      </c>
      <c r="AT226" s="416"/>
      <c r="AU226" s="416"/>
      <c r="AV226" s="408"/>
      <c r="AW226" s="408"/>
      <c r="AX226" s="415"/>
      <c r="AY226" s="408"/>
      <c r="AZ226" s="408"/>
      <c r="BA226" s="357">
        <f t="shared" si="52"/>
        <v>-24507925.703311443</v>
      </c>
      <c r="BB226" s="371">
        <f t="shared" si="53"/>
        <v>-13884832.598161539</v>
      </c>
      <c r="BC226" s="82" t="s">
        <v>41</v>
      </c>
      <c r="BD226" s="356"/>
      <c r="BE226" s="82"/>
    </row>
    <row r="227" spans="1:60" outlineLevel="1" x14ac:dyDescent="0.25">
      <c r="A227" s="394">
        <f>ROW()</f>
        <v>227</v>
      </c>
      <c r="B227" s="365" t="s">
        <v>107</v>
      </c>
      <c r="C227" s="406" t="s">
        <v>162</v>
      </c>
      <c r="D227" s="357">
        <f t="shared" si="51"/>
        <v>-6938006.5860653091</v>
      </c>
      <c r="E227" s="408"/>
      <c r="F227" s="408"/>
      <c r="G227" s="408"/>
      <c r="H227" s="408">
        <f>SUM('SEF-36 pg 1-33, 37'!BM17:BM19)</f>
        <v>-3984285.403344369</v>
      </c>
      <c r="I227" s="408"/>
      <c r="J227" s="408"/>
      <c r="K227" s="408"/>
      <c r="L227" s="408"/>
      <c r="M227" s="408"/>
      <c r="N227" s="408"/>
      <c r="O227" s="408"/>
      <c r="P227" s="408"/>
      <c r="Q227" s="408"/>
      <c r="R227" s="408"/>
      <c r="S227" s="408"/>
      <c r="T227" s="408"/>
      <c r="U227" s="408"/>
      <c r="V227" s="408"/>
      <c r="W227" s="408"/>
      <c r="X227" s="408"/>
      <c r="Y227" s="408"/>
      <c r="Z227" s="408"/>
      <c r="AA227" s="408"/>
      <c r="AB227" s="408"/>
      <c r="AC227" s="408"/>
      <c r="AD227" s="408"/>
      <c r="AE227" s="408"/>
      <c r="AF227" s="408"/>
      <c r="AG227" s="408"/>
      <c r="AH227" s="408"/>
      <c r="AI227" s="408"/>
      <c r="AJ227" s="408"/>
      <c r="AK227" s="408"/>
      <c r="AL227" s="408"/>
      <c r="AM227" s="408"/>
      <c r="AN227" s="408"/>
      <c r="AO227" s="408"/>
      <c r="AP227" s="408"/>
      <c r="AQ227" s="408"/>
      <c r="AR227" s="408"/>
      <c r="AS227" s="408"/>
      <c r="AT227" s="408"/>
      <c r="AU227" s="408"/>
      <c r="AV227" s="408"/>
      <c r="AW227" s="408"/>
      <c r="AX227" s="408"/>
      <c r="AY227" s="408"/>
      <c r="AZ227" s="408"/>
      <c r="BA227" s="357">
        <f t="shared" si="52"/>
        <v>-3984285.403344369</v>
      </c>
      <c r="BB227" s="357">
        <f t="shared" si="53"/>
        <v>-10922291.989409678</v>
      </c>
      <c r="BC227" s="82" t="s">
        <v>41</v>
      </c>
      <c r="BD227" s="356"/>
      <c r="BE227" s="82"/>
    </row>
    <row r="228" spans="1:60" outlineLevel="1" x14ac:dyDescent="0.25">
      <c r="A228" s="394">
        <f>ROW()</f>
        <v>228</v>
      </c>
      <c r="B228" s="349" t="s">
        <v>109</v>
      </c>
      <c r="C228" s="406" t="s">
        <v>162</v>
      </c>
      <c r="D228" s="1914">
        <f t="shared" ref="D228:AS228" si="54">SUM(D212:D227)</f>
        <v>424657582.70645893</v>
      </c>
      <c r="E228" s="372">
        <f t="shared" si="54"/>
        <v>-2102707.2845781972</v>
      </c>
      <c r="F228" s="409">
        <f t="shared" si="54"/>
        <v>0</v>
      </c>
      <c r="G228" s="409">
        <f t="shared" si="54"/>
        <v>0</v>
      </c>
      <c r="H228" s="409">
        <f t="shared" si="54"/>
        <v>-3984285.403344369</v>
      </c>
      <c r="I228" s="409">
        <f t="shared" si="54"/>
        <v>-51423.477331428228</v>
      </c>
      <c r="J228" s="409">
        <f t="shared" si="54"/>
        <v>0</v>
      </c>
      <c r="K228" s="409">
        <f t="shared" si="54"/>
        <v>0</v>
      </c>
      <c r="L228" s="409">
        <f t="shared" si="54"/>
        <v>0</v>
      </c>
      <c r="M228" s="409">
        <f t="shared" si="54"/>
        <v>0</v>
      </c>
      <c r="N228" s="409">
        <f t="shared" si="54"/>
        <v>0</v>
      </c>
      <c r="O228" s="409">
        <f t="shared" si="54"/>
        <v>19246.648578410714</v>
      </c>
      <c r="P228" s="409">
        <f t="shared" si="54"/>
        <v>0</v>
      </c>
      <c r="Q228" s="409">
        <f t="shared" si="54"/>
        <v>0</v>
      </c>
      <c r="R228" s="409">
        <f t="shared" si="54"/>
        <v>0</v>
      </c>
      <c r="S228" s="409">
        <f t="shared" si="54"/>
        <v>0</v>
      </c>
      <c r="T228" s="409">
        <f t="shared" si="54"/>
        <v>0</v>
      </c>
      <c r="U228" s="409">
        <f t="shared" si="54"/>
        <v>0</v>
      </c>
      <c r="V228" s="409">
        <f t="shared" si="54"/>
        <v>0</v>
      </c>
      <c r="W228" s="409">
        <f t="shared" si="54"/>
        <v>0</v>
      </c>
      <c r="X228" s="409">
        <f t="shared" si="54"/>
        <v>0</v>
      </c>
      <c r="Y228" s="409">
        <f t="shared" si="54"/>
        <v>0</v>
      </c>
      <c r="Z228" s="409">
        <f t="shared" si="54"/>
        <v>7802542.1941056419</v>
      </c>
      <c r="AA228" s="409">
        <f t="shared" si="54"/>
        <v>0</v>
      </c>
      <c r="AB228" s="409">
        <f t="shared" si="54"/>
        <v>3727575.3505524765</v>
      </c>
      <c r="AC228" s="409">
        <f t="shared" si="54"/>
        <v>-1366472.8491678936</v>
      </c>
      <c r="AD228" s="409">
        <f t="shared" si="54"/>
        <v>0</v>
      </c>
      <c r="AE228" s="409">
        <f t="shared" si="54"/>
        <v>53244588.094624028</v>
      </c>
      <c r="AF228" s="409">
        <f t="shared" si="54"/>
        <v>-497104.17410000088</v>
      </c>
      <c r="AG228" s="409">
        <f t="shared" si="54"/>
        <v>8419002.0806574002</v>
      </c>
      <c r="AH228" s="409">
        <f t="shared" si="54"/>
        <v>3675849.0017999993</v>
      </c>
      <c r="AI228" s="409">
        <f t="shared" si="54"/>
        <v>355434.6433</v>
      </c>
      <c r="AJ228" s="409">
        <f t="shared" si="54"/>
        <v>7251841.4363879003</v>
      </c>
      <c r="AK228" s="409">
        <f t="shared" si="54"/>
        <v>0</v>
      </c>
      <c r="AL228" s="372">
        <f t="shared" si="54"/>
        <v>2616499.8260468571</v>
      </c>
      <c r="AM228" s="368">
        <f t="shared" si="54"/>
        <v>48980</v>
      </c>
      <c r="AN228" s="368">
        <f t="shared" si="54"/>
        <v>0</v>
      </c>
      <c r="AO228" s="368">
        <f t="shared" si="54"/>
        <v>318969.52152150846</v>
      </c>
      <c r="AP228" s="409">
        <f t="shared" si="54"/>
        <v>0</v>
      </c>
      <c r="AQ228" s="409">
        <f t="shared" si="54"/>
        <v>10199.104871913682</v>
      </c>
      <c r="AR228" s="409">
        <f t="shared" si="54"/>
        <v>-522095.20445525099</v>
      </c>
      <c r="AS228" s="372">
        <f t="shared" si="54"/>
        <v>473094.90797310008</v>
      </c>
      <c r="AT228" s="409"/>
      <c r="AU228" s="409"/>
      <c r="AV228" s="409"/>
      <c r="AW228" s="409"/>
      <c r="AX228" s="409"/>
      <c r="AY228" s="409"/>
      <c r="AZ228" s="409"/>
      <c r="BA228" s="367">
        <f>SUM(BA212:BA227)</f>
        <v>79439734.417442083</v>
      </c>
      <c r="BB228" s="373">
        <f>SUM(BB212:BB227)</f>
        <v>504097317.12390089</v>
      </c>
      <c r="BC228" s="82" t="s">
        <v>41</v>
      </c>
      <c r="BD228" s="356"/>
      <c r="BE228" s="82"/>
    </row>
    <row r="229" spans="1:60" outlineLevel="1" x14ac:dyDescent="0.25">
      <c r="A229" s="394">
        <f>ROW()</f>
        <v>229</v>
      </c>
      <c r="B229" s="365"/>
      <c r="C229" s="406" t="s">
        <v>162</v>
      </c>
      <c r="D229" s="351"/>
      <c r="E229" s="417"/>
      <c r="F229" s="417"/>
      <c r="G229" s="417"/>
      <c r="H229" s="417"/>
      <c r="I229" s="417"/>
      <c r="J229" s="417"/>
      <c r="K229" s="417"/>
      <c r="L229" s="417"/>
      <c r="M229" s="417"/>
      <c r="N229" s="417"/>
      <c r="O229" s="417"/>
      <c r="P229" s="417"/>
      <c r="Q229" s="417"/>
      <c r="R229" s="417"/>
      <c r="S229" s="417"/>
      <c r="T229" s="417"/>
      <c r="U229" s="417"/>
      <c r="V229" s="417"/>
      <c r="W229" s="417"/>
      <c r="X229" s="417"/>
      <c r="Y229" s="417"/>
      <c r="Z229" s="417"/>
      <c r="AA229" s="417"/>
      <c r="AB229" s="417"/>
      <c r="AC229" s="417"/>
      <c r="AD229" s="417"/>
      <c r="AE229" s="417"/>
      <c r="AF229" s="417"/>
      <c r="AG229" s="417"/>
      <c r="AH229" s="417"/>
      <c r="AI229" s="417"/>
      <c r="AJ229" s="417"/>
      <c r="AK229" s="417"/>
      <c r="AL229" s="417"/>
      <c r="AM229" s="375"/>
      <c r="AN229" s="417"/>
      <c r="AO229" s="417"/>
      <c r="AP229" s="417"/>
      <c r="AQ229" s="417"/>
      <c r="AR229" s="417"/>
      <c r="AS229" s="417"/>
      <c r="AT229" s="417"/>
      <c r="AU229" s="417"/>
      <c r="AV229" s="417"/>
      <c r="AW229" s="417"/>
      <c r="AX229" s="417"/>
      <c r="AY229" s="417"/>
      <c r="AZ229" s="417"/>
      <c r="BA229" s="374"/>
      <c r="BB229" s="374"/>
      <c r="BC229" s="82" t="s">
        <v>41</v>
      </c>
      <c r="BD229" s="356"/>
      <c r="BE229" s="82"/>
    </row>
    <row r="230" spans="1:60" ht="15.75" outlineLevel="1" thickBot="1" x14ac:dyDescent="0.3">
      <c r="A230" s="394">
        <f>ROW()</f>
        <v>230</v>
      </c>
      <c r="B230" s="365" t="s">
        <v>110</v>
      </c>
      <c r="C230" s="406" t="s">
        <v>162</v>
      </c>
      <c r="D230" s="355">
        <f t="shared" ref="D230:AS230" si="55">+D203-D228</f>
        <v>118144365.03319824</v>
      </c>
      <c r="E230" s="377">
        <f t="shared" si="55"/>
        <v>-6424881.6007525399</v>
      </c>
      <c r="F230" s="419">
        <f t="shared" si="55"/>
        <v>0</v>
      </c>
      <c r="G230" s="419">
        <f t="shared" si="55"/>
        <v>0</v>
      </c>
      <c r="H230" s="419">
        <f t="shared" si="55"/>
        <v>3984285.403344369</v>
      </c>
      <c r="I230" s="419">
        <f t="shared" si="55"/>
        <v>51423.477331428228</v>
      </c>
      <c r="J230" s="419">
        <f t="shared" si="55"/>
        <v>0</v>
      </c>
      <c r="K230" s="419">
        <f t="shared" si="55"/>
        <v>0</v>
      </c>
      <c r="L230" s="419">
        <f t="shared" si="55"/>
        <v>0</v>
      </c>
      <c r="M230" s="419">
        <f t="shared" si="55"/>
        <v>0</v>
      </c>
      <c r="N230" s="419">
        <f t="shared" si="55"/>
        <v>0</v>
      </c>
      <c r="O230" s="419">
        <f t="shared" si="55"/>
        <v>-19246.648578410714</v>
      </c>
      <c r="P230" s="419">
        <f t="shared" si="55"/>
        <v>0</v>
      </c>
      <c r="Q230" s="419">
        <f t="shared" si="55"/>
        <v>0</v>
      </c>
      <c r="R230" s="419">
        <f t="shared" si="55"/>
        <v>0</v>
      </c>
      <c r="S230" s="419">
        <f t="shared" si="55"/>
        <v>0</v>
      </c>
      <c r="T230" s="419">
        <f t="shared" si="55"/>
        <v>0</v>
      </c>
      <c r="U230" s="419">
        <f t="shared" si="55"/>
        <v>0</v>
      </c>
      <c r="V230" s="419">
        <f t="shared" si="55"/>
        <v>0</v>
      </c>
      <c r="W230" s="419">
        <f t="shared" si="55"/>
        <v>0</v>
      </c>
      <c r="X230" s="419">
        <f t="shared" si="55"/>
        <v>0</v>
      </c>
      <c r="Y230" s="419">
        <f t="shared" si="55"/>
        <v>0</v>
      </c>
      <c r="Z230" s="419">
        <f t="shared" si="55"/>
        <v>-7802542.1941056419</v>
      </c>
      <c r="AA230" s="419">
        <f t="shared" si="55"/>
        <v>0</v>
      </c>
      <c r="AB230" s="419">
        <f t="shared" si="55"/>
        <v>-3727575.3505524765</v>
      </c>
      <c r="AC230" s="419">
        <f t="shared" si="55"/>
        <v>1366472.8491678936</v>
      </c>
      <c r="AD230" s="419">
        <f t="shared" si="55"/>
        <v>0</v>
      </c>
      <c r="AE230" s="419">
        <f t="shared" si="55"/>
        <v>-53244588.094624028</v>
      </c>
      <c r="AF230" s="419">
        <f t="shared" si="55"/>
        <v>497104.17410000088</v>
      </c>
      <c r="AG230" s="419">
        <f t="shared" si="55"/>
        <v>-8419002.0806574002</v>
      </c>
      <c r="AH230" s="419">
        <f t="shared" si="55"/>
        <v>-3675849.0017999993</v>
      </c>
      <c r="AI230" s="419">
        <f t="shared" si="55"/>
        <v>-355434.6433</v>
      </c>
      <c r="AJ230" s="419">
        <f t="shared" si="55"/>
        <v>-7251841.4363879003</v>
      </c>
      <c r="AK230" s="419">
        <f t="shared" si="55"/>
        <v>0</v>
      </c>
      <c r="AL230" s="377">
        <f t="shared" si="55"/>
        <v>-2616499.8260468571</v>
      </c>
      <c r="AM230" s="378">
        <f t="shared" si="55"/>
        <v>-48980</v>
      </c>
      <c r="AN230" s="378">
        <f t="shared" si="55"/>
        <v>0</v>
      </c>
      <c r="AO230" s="378">
        <f t="shared" si="55"/>
        <v>-318969.52152150846</v>
      </c>
      <c r="AP230" s="419">
        <f t="shared" si="55"/>
        <v>0</v>
      </c>
      <c r="AQ230" s="419">
        <f t="shared" si="55"/>
        <v>-10199.104871913682</v>
      </c>
      <c r="AR230" s="419">
        <f t="shared" si="55"/>
        <v>522095.20445525099</v>
      </c>
      <c r="AS230" s="377">
        <f t="shared" si="55"/>
        <v>-473094.90797310008</v>
      </c>
      <c r="AT230" s="419"/>
      <c r="AU230" s="419"/>
      <c r="AV230" s="419"/>
      <c r="AW230" s="419"/>
      <c r="AX230" s="419"/>
      <c r="AY230" s="419"/>
      <c r="AZ230" s="419"/>
      <c r="BA230" s="376">
        <f>+BA203-BA228</f>
        <v>-87967323.30277282</v>
      </c>
      <c r="BB230" s="379">
        <f>+BB203-BB228</f>
        <v>30177041.730425537</v>
      </c>
      <c r="BC230" s="82" t="s">
        <v>41</v>
      </c>
      <c r="BD230" s="356"/>
      <c r="BE230" s="82"/>
    </row>
    <row r="231" spans="1:60" ht="12" customHeight="1" outlineLevel="1" thickTop="1" x14ac:dyDescent="0.25">
      <c r="A231" s="394">
        <f>ROW()</f>
        <v>231</v>
      </c>
      <c r="B231" s="18"/>
      <c r="C231" s="406" t="s">
        <v>162</v>
      </c>
      <c r="D231" s="1913"/>
      <c r="E231" s="420"/>
      <c r="F231" s="420"/>
      <c r="G231" s="420"/>
      <c r="H231" s="420"/>
      <c r="I231" s="420"/>
      <c r="J231" s="420"/>
      <c r="K231" s="420"/>
      <c r="L231" s="420"/>
      <c r="M231" s="420"/>
      <c r="N231" s="420"/>
      <c r="O231" s="420"/>
      <c r="P231" s="420"/>
      <c r="Q231" s="420"/>
      <c r="R231" s="420"/>
      <c r="S231" s="420"/>
      <c r="T231" s="420"/>
      <c r="U231" s="420"/>
      <c r="V231" s="420"/>
      <c r="W231" s="420"/>
      <c r="X231" s="420"/>
      <c r="Y231" s="420"/>
      <c r="Z231" s="420"/>
      <c r="AA231" s="420"/>
      <c r="AB231" s="420"/>
      <c r="AC231" s="420"/>
      <c r="AD231" s="420"/>
      <c r="AE231" s="420"/>
      <c r="AF231" s="420"/>
      <c r="AG231" s="420"/>
      <c r="AH231" s="420"/>
      <c r="AI231" s="420"/>
      <c r="AJ231" s="420"/>
      <c r="AK231" s="420"/>
      <c r="AL231" s="420"/>
      <c r="AM231" s="381"/>
      <c r="AN231" s="420"/>
      <c r="AO231" s="420"/>
      <c r="AP231" s="420"/>
      <c r="AQ231" s="420"/>
      <c r="AR231" s="420"/>
      <c r="AS231" s="420"/>
      <c r="AT231" s="420"/>
      <c r="AU231" s="420"/>
      <c r="AV231" s="420"/>
      <c r="AW231" s="420"/>
      <c r="AX231" s="420"/>
      <c r="AY231" s="420"/>
      <c r="AZ231" s="420"/>
      <c r="BA231" s="380"/>
      <c r="BB231" s="380"/>
      <c r="BC231" s="82" t="s">
        <v>41</v>
      </c>
      <c r="BD231" s="356"/>
      <c r="BE231" s="82"/>
    </row>
    <row r="232" spans="1:60" outlineLevel="1" x14ac:dyDescent="0.25">
      <c r="A232" s="394">
        <f>ROW()</f>
        <v>232</v>
      </c>
      <c r="B232" s="349" t="s">
        <v>145</v>
      </c>
      <c r="C232" s="406" t="s">
        <v>162</v>
      </c>
      <c r="D232" s="366">
        <f t="shared" ref="D232:AN232" si="56">D243</f>
        <v>2900790224.7215991</v>
      </c>
      <c r="E232" s="412">
        <f t="shared" si="56"/>
        <v>0</v>
      </c>
      <c r="F232" s="412">
        <f t="shared" si="56"/>
        <v>0</v>
      </c>
      <c r="G232" s="412">
        <f t="shared" si="56"/>
        <v>0</v>
      </c>
      <c r="H232" s="412">
        <f t="shared" si="56"/>
        <v>0</v>
      </c>
      <c r="I232" s="412">
        <f t="shared" si="56"/>
        <v>0</v>
      </c>
      <c r="J232" s="412">
        <f t="shared" si="56"/>
        <v>0</v>
      </c>
      <c r="K232" s="412">
        <f t="shared" si="56"/>
        <v>0</v>
      </c>
      <c r="L232" s="412">
        <f t="shared" si="56"/>
        <v>0</v>
      </c>
      <c r="M232" s="412">
        <f t="shared" si="56"/>
        <v>0</v>
      </c>
      <c r="N232" s="412">
        <f t="shared" si="56"/>
        <v>0</v>
      </c>
      <c r="O232" s="412">
        <f t="shared" si="56"/>
        <v>0</v>
      </c>
      <c r="P232" s="412">
        <f t="shared" si="56"/>
        <v>0</v>
      </c>
      <c r="Q232" s="412">
        <f t="shared" si="56"/>
        <v>0</v>
      </c>
      <c r="R232" s="412">
        <f t="shared" si="56"/>
        <v>0</v>
      </c>
      <c r="S232" s="412">
        <f t="shared" si="56"/>
        <v>0</v>
      </c>
      <c r="T232" s="412">
        <f t="shared" si="56"/>
        <v>0</v>
      </c>
      <c r="U232" s="412">
        <f t="shared" si="56"/>
        <v>0</v>
      </c>
      <c r="V232" s="412">
        <f t="shared" si="56"/>
        <v>0</v>
      </c>
      <c r="W232" s="412">
        <f t="shared" si="56"/>
        <v>0</v>
      </c>
      <c r="X232" s="412">
        <f t="shared" si="56"/>
        <v>0</v>
      </c>
      <c r="Y232" s="412">
        <f t="shared" si="56"/>
        <v>0</v>
      </c>
      <c r="Z232" s="412">
        <f t="shared" si="56"/>
        <v>0</v>
      </c>
      <c r="AA232" s="412">
        <f t="shared" si="56"/>
        <v>0</v>
      </c>
      <c r="AB232" s="412">
        <f t="shared" si="56"/>
        <v>0</v>
      </c>
      <c r="AC232" s="412">
        <f t="shared" si="56"/>
        <v>0</v>
      </c>
      <c r="AD232" s="412">
        <f t="shared" si="56"/>
        <v>0</v>
      </c>
      <c r="AE232" s="412">
        <f t="shared" si="56"/>
        <v>-110651507.27837408</v>
      </c>
      <c r="AF232" s="412">
        <f t="shared" si="56"/>
        <v>424163.73</v>
      </c>
      <c r="AG232" s="412">
        <f t="shared" si="56"/>
        <v>52167450.423619971</v>
      </c>
      <c r="AH232" s="412">
        <f t="shared" si="56"/>
        <v>24244937.780000035</v>
      </c>
      <c r="AI232" s="412">
        <f t="shared" si="56"/>
        <v>-280261.93000000005</v>
      </c>
      <c r="AJ232" s="412">
        <f t="shared" si="56"/>
        <v>4403069.303989986</v>
      </c>
      <c r="AK232" s="412">
        <f t="shared" si="56"/>
        <v>0</v>
      </c>
      <c r="AL232" s="412">
        <f t="shared" si="56"/>
        <v>0</v>
      </c>
      <c r="AM232" s="412">
        <f t="shared" si="56"/>
        <v>0</v>
      </c>
      <c r="AN232" s="412">
        <f t="shared" si="56"/>
        <v>0</v>
      </c>
      <c r="AO232" s="412"/>
      <c r="AP232" s="412">
        <f>AP243</f>
        <v>0</v>
      </c>
      <c r="AQ232" s="412">
        <f>AQ243</f>
        <v>-5170723.4230643986</v>
      </c>
      <c r="AR232" s="412">
        <f>AR243</f>
        <v>576639.62190245662</v>
      </c>
      <c r="AS232" s="412"/>
      <c r="AT232" s="412"/>
      <c r="AU232" s="412"/>
      <c r="AV232" s="412"/>
      <c r="AW232" s="412"/>
      <c r="AX232" s="412"/>
      <c r="AY232" s="412"/>
      <c r="AZ232" s="412"/>
      <c r="BA232" s="366">
        <f>BA243</f>
        <v>-34286231.771925993</v>
      </c>
      <c r="BB232" s="366">
        <f>BB243</f>
        <v>2866503992.9496732</v>
      </c>
      <c r="BC232" s="82" t="s">
        <v>41</v>
      </c>
      <c r="BD232" s="356"/>
      <c r="BE232" s="82"/>
    </row>
    <row r="233" spans="1:60" outlineLevel="1" x14ac:dyDescent="0.25">
      <c r="A233" s="394">
        <f>ROW()</f>
        <v>233</v>
      </c>
      <c r="B233" s="365"/>
      <c r="C233" s="406" t="s">
        <v>162</v>
      </c>
      <c r="D233" s="351"/>
      <c r="E233" s="411"/>
      <c r="F233" s="411"/>
      <c r="G233" s="411"/>
      <c r="H233" s="411"/>
      <c r="I233" s="411"/>
      <c r="J233" s="411"/>
      <c r="K233" s="411"/>
      <c r="L233" s="411"/>
      <c r="M233" s="411"/>
      <c r="N233" s="411"/>
      <c r="O233" s="411"/>
      <c r="P233" s="411"/>
      <c r="Q233" s="411"/>
      <c r="R233" s="411"/>
      <c r="S233" s="411"/>
      <c r="T233" s="411"/>
      <c r="U233" s="411"/>
      <c r="V233" s="411"/>
      <c r="W233" s="411"/>
      <c r="X233" s="411"/>
      <c r="Y233" s="411"/>
      <c r="Z233" s="411"/>
      <c r="AA233" s="411"/>
      <c r="AB233" s="411"/>
      <c r="AC233" s="411"/>
      <c r="AD233" s="411"/>
      <c r="AE233" s="411"/>
      <c r="AF233" s="411"/>
      <c r="AG233" s="411"/>
      <c r="AH233" s="411"/>
      <c r="AI233" s="411"/>
      <c r="AJ233" s="411"/>
      <c r="AK233" s="411"/>
      <c r="AL233" s="411"/>
      <c r="AM233" s="1900"/>
      <c r="AN233" s="411"/>
      <c r="AO233" s="411"/>
      <c r="AP233" s="411"/>
      <c r="AQ233" s="411"/>
      <c r="AR233" s="411"/>
      <c r="AS233" s="411"/>
      <c r="AT233" s="411"/>
      <c r="AU233" s="411"/>
      <c r="AV233" s="411"/>
      <c r="AW233" s="411"/>
      <c r="AX233" s="411"/>
      <c r="AY233" s="411"/>
      <c r="AZ233" s="411"/>
      <c r="BA233" s="351"/>
      <c r="BB233" s="351"/>
      <c r="BC233" s="82" t="s">
        <v>41</v>
      </c>
      <c r="BD233" s="356"/>
      <c r="BE233" s="82"/>
    </row>
    <row r="234" spans="1:60" outlineLevel="1" x14ac:dyDescent="0.25">
      <c r="A234" s="394">
        <f>ROW()</f>
        <v>234</v>
      </c>
      <c r="B234" s="349" t="s">
        <v>18</v>
      </c>
      <c r="C234" s="406" t="s">
        <v>162</v>
      </c>
      <c r="D234" s="403">
        <f>+D230/D232</f>
        <v>4.0728338101227932E-2</v>
      </c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1899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383"/>
      <c r="BB234" s="403">
        <f>+BB230/BB232</f>
        <v>1.0527472420986559E-2</v>
      </c>
      <c r="BC234" s="82" t="s">
        <v>41</v>
      </c>
      <c r="BD234" s="356"/>
      <c r="BE234" s="82"/>
    </row>
    <row r="235" spans="1:60" outlineLevel="1" x14ac:dyDescent="0.25">
      <c r="A235" s="394">
        <f>ROW()</f>
        <v>235</v>
      </c>
      <c r="B235" s="365"/>
      <c r="C235" s="406" t="s">
        <v>162</v>
      </c>
      <c r="D235" s="357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08"/>
      <c r="V235" s="408"/>
      <c r="W235" s="408"/>
      <c r="X235" s="408"/>
      <c r="Y235" s="408"/>
      <c r="Z235" s="408"/>
      <c r="AA235" s="408"/>
      <c r="AB235" s="408"/>
      <c r="AC235" s="408"/>
      <c r="AD235" s="408"/>
      <c r="AE235" s="408"/>
      <c r="AF235" s="408"/>
      <c r="AG235" s="408"/>
      <c r="AH235" s="408"/>
      <c r="AI235" s="408"/>
      <c r="AJ235" s="408"/>
      <c r="AK235" s="408"/>
      <c r="AL235" s="408"/>
      <c r="AM235" s="358"/>
      <c r="AN235" s="408"/>
      <c r="AO235" s="408"/>
      <c r="AP235" s="408"/>
      <c r="AQ235" s="408"/>
      <c r="AR235" s="408"/>
      <c r="AS235" s="408"/>
      <c r="AT235" s="408"/>
      <c r="AU235" s="408"/>
      <c r="AV235" s="408"/>
      <c r="AW235" s="408"/>
      <c r="AX235" s="408"/>
      <c r="AY235" s="408"/>
      <c r="AZ235" s="408"/>
      <c r="BA235" s="357"/>
      <c r="BB235" s="357"/>
      <c r="BC235" s="82" t="s">
        <v>41</v>
      </c>
      <c r="BD235" s="356"/>
      <c r="BE235" s="82"/>
    </row>
    <row r="236" spans="1:60" outlineLevel="1" x14ac:dyDescent="0.25">
      <c r="A236" s="394">
        <f>ROW()</f>
        <v>236</v>
      </c>
      <c r="B236" s="365" t="s">
        <v>146</v>
      </c>
      <c r="C236" s="406" t="s">
        <v>162</v>
      </c>
      <c r="D236" s="357"/>
      <c r="E236" s="408"/>
      <c r="F236" s="408"/>
      <c r="G236" s="408"/>
      <c r="H236" s="408"/>
      <c r="I236" s="408"/>
      <c r="J236" s="408"/>
      <c r="K236" s="408"/>
      <c r="L236" s="408"/>
      <c r="M236" s="408"/>
      <c r="N236" s="408"/>
      <c r="O236" s="408"/>
      <c r="P236" s="408"/>
      <c r="Q236" s="408"/>
      <c r="R236" s="408"/>
      <c r="S236" s="408"/>
      <c r="T236" s="408"/>
      <c r="U236" s="408"/>
      <c r="V236" s="408"/>
      <c r="W236" s="408"/>
      <c r="X236" s="408"/>
      <c r="Y236" s="408"/>
      <c r="Z236" s="408"/>
      <c r="AA236" s="408"/>
      <c r="AB236" s="408"/>
      <c r="AC236" s="408"/>
      <c r="AD236" s="408"/>
      <c r="AE236" s="408"/>
      <c r="AF236" s="408"/>
      <c r="AG236" s="408"/>
      <c r="AH236" s="408"/>
      <c r="AI236" s="408"/>
      <c r="AJ236" s="408"/>
      <c r="AK236" s="408"/>
      <c r="AL236" s="408"/>
      <c r="AM236" s="358"/>
      <c r="AN236" s="408"/>
      <c r="AO236" s="408"/>
      <c r="AP236" s="408"/>
      <c r="AQ236" s="408"/>
      <c r="AR236" s="408"/>
      <c r="AS236" s="408"/>
      <c r="AT236" s="408"/>
      <c r="AU236" s="408"/>
      <c r="AV236" s="408"/>
      <c r="AW236" s="408"/>
      <c r="AX236" s="408"/>
      <c r="AY236" s="408"/>
      <c r="AZ236" s="408"/>
      <c r="BA236" s="357"/>
      <c r="BB236" s="357"/>
      <c r="BC236" s="82" t="s">
        <v>41</v>
      </c>
      <c r="BD236" s="356"/>
      <c r="BE236" s="82"/>
      <c r="BH236" s="317">
        <f>175+2</f>
        <v>177</v>
      </c>
    </row>
    <row r="237" spans="1:60" outlineLevel="1" x14ac:dyDescent="0.25">
      <c r="A237" s="394">
        <f>ROW()</f>
        <v>237</v>
      </c>
      <c r="B237" s="384" t="s">
        <v>112</v>
      </c>
      <c r="C237" s="406" t="s">
        <v>162</v>
      </c>
      <c r="D237" s="366">
        <f t="shared" ref="D237:D242" si="57">+BB176</f>
        <v>5703698652.9502459</v>
      </c>
      <c r="E237" s="412"/>
      <c r="F237" s="412"/>
      <c r="G237" s="412"/>
      <c r="H237" s="412"/>
      <c r="I237" s="412"/>
      <c r="J237" s="412"/>
      <c r="K237" s="412"/>
      <c r="L237" s="412"/>
      <c r="M237" s="412"/>
      <c r="N237" s="412"/>
      <c r="O237" s="412"/>
      <c r="P237" s="412"/>
      <c r="Q237" s="412"/>
      <c r="R237" s="412"/>
      <c r="S237" s="412"/>
      <c r="T237" s="412"/>
      <c r="U237" s="412"/>
      <c r="V237" s="412"/>
      <c r="W237" s="412"/>
      <c r="X237" s="412"/>
      <c r="Y237" s="412"/>
      <c r="Z237" s="412"/>
      <c r="AA237" s="412"/>
      <c r="AB237" s="412"/>
      <c r="AC237" s="412"/>
      <c r="AD237" s="412">
        <f>'SEF-36 pg 1-33, 37'!QT17</f>
        <v>-7243194.7537397146</v>
      </c>
      <c r="AE237" s="412"/>
      <c r="AF237" s="412"/>
      <c r="AG237" s="356">
        <f>'SEF-36 pg 1-33, 37'!$SV$28</f>
        <v>61776287.73843497</v>
      </c>
      <c r="AH237" s="356">
        <f>'SEF-36 pg 1-33, 37'!$SV$46</f>
        <v>28472966.340000033</v>
      </c>
      <c r="AI237" s="356">
        <f>'SEF-36 pg 1-33, 37'!$SV$64</f>
        <v>0</v>
      </c>
      <c r="AJ237" s="356">
        <f>'SEF-36 pg 1-33, 37'!$SV$82</f>
        <v>13304012.333819985</v>
      </c>
      <c r="AK237" s="412"/>
      <c r="AL237" s="412"/>
      <c r="AM237" s="356"/>
      <c r="AN237" s="412">
        <f>'SEF-36 pg 1-33, 37'!VT20</f>
        <v>0</v>
      </c>
      <c r="AO237" s="412"/>
      <c r="AP237" s="412"/>
      <c r="AQ237" s="412"/>
      <c r="AR237" s="412">
        <f>'SEF-36 pg 34-36'!CW18</f>
        <v>0</v>
      </c>
      <c r="AS237" s="412"/>
      <c r="AT237" s="412"/>
      <c r="AU237" s="412"/>
      <c r="AV237" s="412"/>
      <c r="AW237" s="412"/>
      <c r="AX237" s="412"/>
      <c r="AY237" s="412"/>
      <c r="AZ237" s="412"/>
      <c r="BA237" s="366">
        <f t="shared" ref="BA237:BA242" si="58">SUM(E237:AZ237)</f>
        <v>96310071.658515275</v>
      </c>
      <c r="BB237" s="366">
        <f t="shared" ref="BB237:BB242" si="59">+BA237+D237</f>
        <v>5800008724.6087608</v>
      </c>
      <c r="BC237" s="82" t="s">
        <v>41</v>
      </c>
      <c r="BD237" s="356"/>
      <c r="BE237" s="82"/>
    </row>
    <row r="238" spans="1:60" outlineLevel="1" x14ac:dyDescent="0.25">
      <c r="A238" s="394">
        <f>ROW()</f>
        <v>238</v>
      </c>
      <c r="B238" s="384" t="s">
        <v>113</v>
      </c>
      <c r="C238" s="406" t="s">
        <v>162</v>
      </c>
      <c r="D238" s="357">
        <f t="shared" si="57"/>
        <v>-2378834076.64008</v>
      </c>
      <c r="E238" s="408"/>
      <c r="F238" s="408"/>
      <c r="G238" s="408"/>
      <c r="H238" s="408"/>
      <c r="I238" s="408"/>
      <c r="J238" s="408"/>
      <c r="K238" s="408"/>
      <c r="L238" s="408"/>
      <c r="M238" s="408"/>
      <c r="N238" s="408"/>
      <c r="O238" s="408"/>
      <c r="P238" s="408"/>
      <c r="Q238" s="408"/>
      <c r="R238" s="408"/>
      <c r="S238" s="408"/>
      <c r="T238" s="408"/>
      <c r="U238" s="408"/>
      <c r="V238" s="408"/>
      <c r="W238" s="408"/>
      <c r="X238" s="408"/>
      <c r="Y238" s="408"/>
      <c r="Z238" s="408"/>
      <c r="AA238" s="408"/>
      <c r="AB238" s="408"/>
      <c r="AC238" s="408"/>
      <c r="AD238" s="408">
        <f>'SEF-36 pg 1-33, 37'!QT18</f>
        <v>7243194.7537397146</v>
      </c>
      <c r="AE238" s="408">
        <f>'SEF-36 pg 1-33, 37'!RL34</f>
        <v>-130226967.27970982</v>
      </c>
      <c r="AF238" s="408">
        <f>'SEF-36 pg 1-33, 37'!SD33</f>
        <v>424163.73</v>
      </c>
      <c r="AG238" s="358">
        <f>'SEF-36 pg 1-33, 37'!$SV$29</f>
        <v>-8504153.2246999964</v>
      </c>
      <c r="AH238" s="358">
        <f>'SEF-36 pg 1-33, 37'!$SV$47</f>
        <v>-3715299.8600000003</v>
      </c>
      <c r="AI238" s="358">
        <f>'SEF-36 pg 1-33, 37'!$SV$65</f>
        <v>-232866.6</v>
      </c>
      <c r="AJ238" s="358">
        <f>'SEF-36 pg 1-33, 37'!$SV$83</f>
        <v>-7425513.8108900003</v>
      </c>
      <c r="AK238" s="408"/>
      <c r="AL238" s="408"/>
      <c r="AM238" s="385"/>
      <c r="AN238" s="408">
        <f>'SEF-36 pg 1-33, 37'!VT21</f>
        <v>0</v>
      </c>
      <c r="AO238" s="408"/>
      <c r="AP238" s="408"/>
      <c r="AQ238" s="408"/>
      <c r="AR238" s="408">
        <f>'SEF-36 pg 34-36'!CW19+'SEF-36 pg 34-36'!CW20</f>
        <v>548629.68301899789</v>
      </c>
      <c r="AS238" s="408"/>
      <c r="AT238" s="416"/>
      <c r="AU238" s="408"/>
      <c r="AV238" s="408"/>
      <c r="AW238" s="414"/>
      <c r="AX238" s="408"/>
      <c r="AY238" s="408"/>
      <c r="AZ238" s="408"/>
      <c r="BA238" s="357">
        <f t="shared" si="58"/>
        <v>-141888812.60854107</v>
      </c>
      <c r="BB238" s="357">
        <f t="shared" si="59"/>
        <v>-2520722889.248621</v>
      </c>
      <c r="BC238" s="82" t="s">
        <v>41</v>
      </c>
      <c r="BD238" s="356"/>
      <c r="BE238" s="82"/>
    </row>
    <row r="239" spans="1:60" outlineLevel="1" x14ac:dyDescent="0.25">
      <c r="A239" s="394">
        <f>ROW()</f>
        <v>239</v>
      </c>
      <c r="B239" s="365" t="s">
        <v>147</v>
      </c>
      <c r="C239" s="406" t="s">
        <v>162</v>
      </c>
      <c r="D239" s="357">
        <f t="shared" si="57"/>
        <v>17001808.131428298</v>
      </c>
      <c r="E239" s="408"/>
      <c r="F239" s="408"/>
      <c r="G239" s="408"/>
      <c r="H239" s="408"/>
      <c r="I239" s="408"/>
      <c r="J239" s="408"/>
      <c r="K239" s="408"/>
      <c r="L239" s="408"/>
      <c r="M239" s="408"/>
      <c r="N239" s="408"/>
      <c r="O239" s="408"/>
      <c r="P239" s="408"/>
      <c r="Q239" s="408"/>
      <c r="R239" s="408"/>
      <c r="S239" s="408"/>
      <c r="T239" s="408"/>
      <c r="U239" s="408"/>
      <c r="V239" s="408"/>
      <c r="W239" s="408"/>
      <c r="X239" s="408"/>
      <c r="Y239" s="408"/>
      <c r="Z239" s="408"/>
      <c r="AA239" s="408"/>
      <c r="AB239" s="408"/>
      <c r="AC239" s="408"/>
      <c r="AD239" s="408"/>
      <c r="AE239" s="408"/>
      <c r="AF239" s="408">
        <f>'SEF-36 pg 1-33, 37'!SD34</f>
        <v>0</v>
      </c>
      <c r="AG239" s="358"/>
      <c r="AH239" s="358"/>
      <c r="AI239" s="358"/>
      <c r="AJ239" s="358"/>
      <c r="AK239" s="408"/>
      <c r="AL239" s="408">
        <f>'SEF-36 pg 1-33, 37'!VA17</f>
        <v>0</v>
      </c>
      <c r="AM239" s="385"/>
      <c r="AN239" s="408"/>
      <c r="AO239" s="408"/>
      <c r="AP239" s="408"/>
      <c r="AQ239" s="408">
        <f>'SEF-36 pg 34-36'!CE25</f>
        <v>-6301235.2377254888</v>
      </c>
      <c r="AR239" s="408"/>
      <c r="AS239" s="408"/>
      <c r="AT239" s="416"/>
      <c r="AU239" s="408"/>
      <c r="AV239" s="408"/>
      <c r="AW239" s="414"/>
      <c r="AX239" s="408"/>
      <c r="AY239" s="408"/>
      <c r="AZ239" s="408"/>
      <c r="BA239" s="357">
        <f t="shared" si="58"/>
        <v>-6301235.2377254888</v>
      </c>
      <c r="BB239" s="357">
        <f t="shared" si="59"/>
        <v>10700572.893702809</v>
      </c>
      <c r="BC239" s="82" t="s">
        <v>41</v>
      </c>
      <c r="BD239" s="356"/>
      <c r="BE239" s="82"/>
    </row>
    <row r="240" spans="1:60" outlineLevel="1" x14ac:dyDescent="0.25">
      <c r="A240" s="394">
        <f>ROW()</f>
        <v>240</v>
      </c>
      <c r="B240" s="365" t="s">
        <v>148</v>
      </c>
      <c r="C240" s="406" t="s">
        <v>162</v>
      </c>
      <c r="D240" s="357">
        <f t="shared" si="57"/>
        <v>-558903629.43259001</v>
      </c>
      <c r="E240" s="408"/>
      <c r="F240" s="408"/>
      <c r="G240" s="408"/>
      <c r="H240" s="408">
        <f>+'SEF-36 pg 1-33, 37'!BM24</f>
        <v>0</v>
      </c>
      <c r="I240" s="408"/>
      <c r="J240" s="408"/>
      <c r="K240" s="408"/>
      <c r="L240" s="408"/>
      <c r="M240" s="408"/>
      <c r="N240" s="408"/>
      <c r="O240" s="408"/>
      <c r="P240" s="408"/>
      <c r="Q240" s="408"/>
      <c r="R240" s="408"/>
      <c r="S240" s="408"/>
      <c r="T240" s="408"/>
      <c r="U240" s="408"/>
      <c r="V240" s="408"/>
      <c r="W240" s="408"/>
      <c r="X240" s="408"/>
      <c r="Y240" s="408"/>
      <c r="Z240" s="408"/>
      <c r="AA240" s="408"/>
      <c r="AB240" s="408"/>
      <c r="AC240" s="408"/>
      <c r="AD240" s="408"/>
      <c r="AE240" s="408">
        <f>'SEF-36 pg 1-33, 37'!RL35</f>
        <v>19575460.00133574</v>
      </c>
      <c r="AF240" s="408"/>
      <c r="AG240" s="358">
        <f>'SEF-36 pg 1-33, 37'!$SV$30</f>
        <v>-1104684.0901149998</v>
      </c>
      <c r="AH240" s="358">
        <f>'SEF-36 pg 1-33, 37'!$SV$48</f>
        <v>-512728.69999999995</v>
      </c>
      <c r="AI240" s="358">
        <f>'SEF-36 pg 1-33, 37'!$SV$66</f>
        <v>-47395.330000000016</v>
      </c>
      <c r="AJ240" s="358">
        <f>'SEF-36 pg 1-33, 37'!$SV$84</f>
        <v>-1475429.2189399996</v>
      </c>
      <c r="AK240" s="408"/>
      <c r="AL240" s="408">
        <f>'SEF-36 pg 1-33, 37'!VA18</f>
        <v>0</v>
      </c>
      <c r="AM240" s="1898"/>
      <c r="AN240" s="408">
        <f>'SEF-36 pg 1-33, 37'!VT22</f>
        <v>0</v>
      </c>
      <c r="AO240" s="408"/>
      <c r="AP240" s="408"/>
      <c r="AQ240" s="408">
        <f>'SEF-36 pg 34-36'!CE26</f>
        <v>1130511.8146610903</v>
      </c>
      <c r="AR240" s="408">
        <f>'SEF-36 pg 34-36'!CW21</f>
        <v>28009.93888345873</v>
      </c>
      <c r="AS240" s="408"/>
      <c r="AT240" s="414"/>
      <c r="AU240" s="408"/>
      <c r="AV240" s="408"/>
      <c r="AW240" s="414"/>
      <c r="AX240" s="408"/>
      <c r="AY240" s="408"/>
      <c r="AZ240" s="408"/>
      <c r="BA240" s="357">
        <f t="shared" si="58"/>
        <v>17593744.415825292</v>
      </c>
      <c r="BB240" s="357">
        <f t="shared" si="59"/>
        <v>-541309885.01676476</v>
      </c>
      <c r="BC240" s="82" t="s">
        <v>41</v>
      </c>
      <c r="BD240" s="356"/>
      <c r="BE240" s="82"/>
    </row>
    <row r="241" spans="1:57" outlineLevel="1" x14ac:dyDescent="0.25">
      <c r="A241" s="394">
        <f>ROW()</f>
        <v>241</v>
      </c>
      <c r="B241" s="365" t="s">
        <v>149</v>
      </c>
      <c r="C241" s="406" t="s">
        <v>162</v>
      </c>
      <c r="D241" s="386">
        <f t="shared" si="57"/>
        <v>119028167.29199991</v>
      </c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408"/>
      <c r="S241" s="408"/>
      <c r="T241" s="408"/>
      <c r="U241" s="408"/>
      <c r="V241" s="408"/>
      <c r="W241" s="408"/>
      <c r="X241" s="408"/>
      <c r="Y241" s="408"/>
      <c r="Z241" s="408"/>
      <c r="AA241" s="408"/>
      <c r="AB241" s="408"/>
      <c r="AC241" s="408"/>
      <c r="AD241" s="408"/>
      <c r="AE241" s="408"/>
      <c r="AF241" s="408"/>
      <c r="AG241" s="408"/>
      <c r="AH241" s="408"/>
      <c r="AI241" s="408"/>
      <c r="AJ241" s="408"/>
      <c r="AK241" s="408"/>
      <c r="AL241" s="408"/>
      <c r="AM241" s="385"/>
      <c r="AN241" s="408"/>
      <c r="AO241" s="408"/>
      <c r="AP241" s="408"/>
      <c r="AQ241" s="408"/>
      <c r="AR241" s="408"/>
      <c r="AS241" s="408"/>
      <c r="AT241" s="408"/>
      <c r="AU241" s="408"/>
      <c r="AV241" s="408"/>
      <c r="AW241" s="408"/>
      <c r="AX241" s="408"/>
      <c r="AY241" s="408"/>
      <c r="AZ241" s="408"/>
      <c r="BA241" s="387">
        <f t="shared" si="58"/>
        <v>0</v>
      </c>
      <c r="BB241" s="357">
        <f t="shared" si="59"/>
        <v>119028167.29199991</v>
      </c>
      <c r="BC241" s="82" t="s">
        <v>41</v>
      </c>
      <c r="BD241" s="356"/>
      <c r="BE241" s="82"/>
    </row>
    <row r="242" spans="1:57" outlineLevel="1" x14ac:dyDescent="0.25">
      <c r="A242" s="394">
        <f>ROW()</f>
        <v>242</v>
      </c>
      <c r="B242" s="365" t="s">
        <v>150</v>
      </c>
      <c r="C242" s="406" t="s">
        <v>162</v>
      </c>
      <c r="D242" s="357">
        <f t="shared" si="57"/>
        <v>-1200697.579405</v>
      </c>
      <c r="E242" s="408"/>
      <c r="F242" s="408"/>
      <c r="G242" s="408"/>
      <c r="H242" s="408"/>
      <c r="I242" s="408"/>
      <c r="J242" s="408"/>
      <c r="K242" s="408"/>
      <c r="L242" s="408"/>
      <c r="M242" s="408"/>
      <c r="N242" s="408"/>
      <c r="O242" s="408"/>
      <c r="P242" s="408"/>
      <c r="Q242" s="408"/>
      <c r="R242" s="408"/>
      <c r="S242" s="408"/>
      <c r="T242" s="408"/>
      <c r="U242" s="408"/>
      <c r="V242" s="408"/>
      <c r="W242" s="408"/>
      <c r="X242" s="408"/>
      <c r="Y242" s="408"/>
      <c r="Z242" s="408"/>
      <c r="AA242" s="408"/>
      <c r="AB242" s="408"/>
      <c r="AC242" s="408"/>
      <c r="AD242" s="408"/>
      <c r="AE242" s="408"/>
      <c r="AF242" s="408"/>
      <c r="AG242" s="408"/>
      <c r="AH242" s="408"/>
      <c r="AI242" s="408"/>
      <c r="AJ242" s="408"/>
      <c r="AK242" s="408"/>
      <c r="AL242" s="408"/>
      <c r="AM242" s="385"/>
      <c r="AN242" s="408"/>
      <c r="AO242" s="408"/>
      <c r="AP242" s="408"/>
      <c r="AQ242" s="408"/>
      <c r="AR242" s="408"/>
      <c r="AS242" s="408"/>
      <c r="AT242" s="408"/>
      <c r="AU242" s="408"/>
      <c r="AV242" s="408"/>
      <c r="AW242" s="408"/>
      <c r="AX242" s="408"/>
      <c r="AY242" s="408"/>
      <c r="AZ242" s="408"/>
      <c r="BA242" s="357">
        <f t="shared" si="58"/>
        <v>0</v>
      </c>
      <c r="BB242" s="357">
        <f t="shared" si="59"/>
        <v>-1200697.579405</v>
      </c>
      <c r="BC242" s="82" t="s">
        <v>41</v>
      </c>
      <c r="BD242" s="356"/>
      <c r="BE242" s="82"/>
    </row>
    <row r="243" spans="1:57" ht="15.75" outlineLevel="1" thickBot="1" x14ac:dyDescent="0.3">
      <c r="A243" s="394">
        <f>ROW()</f>
        <v>243</v>
      </c>
      <c r="B243" s="365" t="s">
        <v>118</v>
      </c>
      <c r="C243" s="406" t="s">
        <v>162</v>
      </c>
      <c r="D243" s="1912">
        <f t="shared" ref="D243:X243" si="60">SUM(D237:D242)</f>
        <v>2900790224.7215991</v>
      </c>
      <c r="E243" s="421">
        <f t="shared" si="60"/>
        <v>0</v>
      </c>
      <c r="F243" s="421">
        <f t="shared" si="60"/>
        <v>0</v>
      </c>
      <c r="G243" s="421">
        <f t="shared" si="60"/>
        <v>0</v>
      </c>
      <c r="H243" s="421">
        <f t="shared" si="60"/>
        <v>0</v>
      </c>
      <c r="I243" s="421">
        <f t="shared" si="60"/>
        <v>0</v>
      </c>
      <c r="J243" s="421">
        <f t="shared" si="60"/>
        <v>0</v>
      </c>
      <c r="K243" s="421">
        <f t="shared" si="60"/>
        <v>0</v>
      </c>
      <c r="L243" s="421">
        <f t="shared" si="60"/>
        <v>0</v>
      </c>
      <c r="M243" s="421">
        <f t="shared" si="60"/>
        <v>0</v>
      </c>
      <c r="N243" s="421">
        <f t="shared" si="60"/>
        <v>0</v>
      </c>
      <c r="O243" s="421">
        <f t="shared" si="60"/>
        <v>0</v>
      </c>
      <c r="P243" s="421">
        <f t="shared" si="60"/>
        <v>0</v>
      </c>
      <c r="Q243" s="421">
        <f t="shared" si="60"/>
        <v>0</v>
      </c>
      <c r="R243" s="421">
        <f t="shared" si="60"/>
        <v>0</v>
      </c>
      <c r="S243" s="421">
        <f t="shared" si="60"/>
        <v>0</v>
      </c>
      <c r="T243" s="421">
        <f t="shared" si="60"/>
        <v>0</v>
      </c>
      <c r="U243" s="421">
        <f t="shared" si="60"/>
        <v>0</v>
      </c>
      <c r="V243" s="421">
        <f t="shared" si="60"/>
        <v>0</v>
      </c>
      <c r="W243" s="421">
        <f t="shared" si="60"/>
        <v>0</v>
      </c>
      <c r="X243" s="421">
        <f t="shared" si="60"/>
        <v>0</v>
      </c>
      <c r="Y243" s="421">
        <f>SUM(Y238:Y242)</f>
        <v>0</v>
      </c>
      <c r="Z243" s="421">
        <f t="shared" ref="Z243:AS243" si="61">SUM(Z237:Z242)</f>
        <v>0</v>
      </c>
      <c r="AA243" s="421">
        <f t="shared" si="61"/>
        <v>0</v>
      </c>
      <c r="AB243" s="421">
        <f t="shared" si="61"/>
        <v>0</v>
      </c>
      <c r="AC243" s="421">
        <f t="shared" si="61"/>
        <v>0</v>
      </c>
      <c r="AD243" s="421">
        <f t="shared" si="61"/>
        <v>0</v>
      </c>
      <c r="AE243" s="421">
        <f t="shared" si="61"/>
        <v>-110651507.27837408</v>
      </c>
      <c r="AF243" s="421">
        <f t="shared" si="61"/>
        <v>424163.73</v>
      </c>
      <c r="AG243" s="421">
        <f t="shared" si="61"/>
        <v>52167450.423619971</v>
      </c>
      <c r="AH243" s="421">
        <f t="shared" si="61"/>
        <v>24244937.780000035</v>
      </c>
      <c r="AI243" s="421">
        <f t="shared" si="61"/>
        <v>-280261.93000000005</v>
      </c>
      <c r="AJ243" s="421">
        <f t="shared" si="61"/>
        <v>4403069.303989986</v>
      </c>
      <c r="AK243" s="421">
        <f t="shared" si="61"/>
        <v>0</v>
      </c>
      <c r="AL243" s="421">
        <f t="shared" si="61"/>
        <v>0</v>
      </c>
      <c r="AM243" s="389">
        <f t="shared" si="61"/>
        <v>0</v>
      </c>
      <c r="AN243" s="389">
        <f t="shared" si="61"/>
        <v>0</v>
      </c>
      <c r="AO243" s="389">
        <f t="shared" si="61"/>
        <v>0</v>
      </c>
      <c r="AP243" s="421">
        <f t="shared" si="61"/>
        <v>0</v>
      </c>
      <c r="AQ243" s="421">
        <f t="shared" si="61"/>
        <v>-5170723.4230643986</v>
      </c>
      <c r="AR243" s="421">
        <f t="shared" si="61"/>
        <v>576639.62190245662</v>
      </c>
      <c r="AS243" s="421">
        <f t="shared" si="61"/>
        <v>0</v>
      </c>
      <c r="AT243" s="421"/>
      <c r="AU243" s="421"/>
      <c r="AV243" s="421"/>
      <c r="AW243" s="421"/>
      <c r="AX243" s="421"/>
      <c r="AY243" s="421"/>
      <c r="AZ243" s="421"/>
      <c r="BA243" s="388">
        <f>SUM(BA237:BA242)</f>
        <v>-34286231.771925993</v>
      </c>
      <c r="BB243" s="388">
        <f>SUM(BB237:BB242)</f>
        <v>2866503992.9496732</v>
      </c>
      <c r="BC243" s="82" t="s">
        <v>41</v>
      </c>
      <c r="BD243" s="356"/>
      <c r="BE243" s="82"/>
    </row>
    <row r="244" spans="1:57" ht="15.75" outlineLevel="1" thickTop="1" x14ac:dyDescent="0.25">
      <c r="A244" s="394">
        <f>ROW()</f>
        <v>244</v>
      </c>
      <c r="B244" s="65" t="s">
        <v>30</v>
      </c>
      <c r="C244" s="350" t="s">
        <v>162</v>
      </c>
      <c r="H244" s="1897"/>
      <c r="BA244" s="351"/>
      <c r="BB244" s="351"/>
      <c r="BC244" s="82" t="s">
        <v>41</v>
      </c>
      <c r="BD244" s="356"/>
      <c r="BE244" s="82"/>
    </row>
    <row r="245" spans="1:57" outlineLevel="1" x14ac:dyDescent="0.25">
      <c r="A245" s="394">
        <f>ROW()</f>
        <v>245</v>
      </c>
      <c r="B245" s="365" t="s">
        <v>119</v>
      </c>
      <c r="C245" s="406" t="s">
        <v>162</v>
      </c>
      <c r="D245" s="81">
        <f>+'SEF-33 pg 1-2'!C13</f>
        <v>7.6499999999999999E-2</v>
      </c>
      <c r="E245" s="422">
        <f>+'SEF-33 pg 1-2'!C13</f>
        <v>7.6499999999999999E-2</v>
      </c>
      <c r="F245" s="422">
        <f>+'SEF-33 pg 1-2'!C13</f>
        <v>7.6499999999999999E-2</v>
      </c>
      <c r="G245" s="422">
        <f>+'SEF-33 pg 1-2'!C13</f>
        <v>7.6499999999999999E-2</v>
      </c>
      <c r="H245" s="422">
        <f>+'SEF-33 pg 1-2'!C13</f>
        <v>7.6499999999999999E-2</v>
      </c>
      <c r="I245" s="422">
        <f>+'SEF-33 pg 1-2'!C13</f>
        <v>7.6499999999999999E-2</v>
      </c>
      <c r="J245" s="422">
        <f>+'SEF-33 pg 1-2'!C13</f>
        <v>7.6499999999999999E-2</v>
      </c>
      <c r="K245" s="422">
        <f>+'SEF-33 pg 1-2'!C13</f>
        <v>7.6499999999999999E-2</v>
      </c>
      <c r="L245" s="422">
        <f>+'SEF-33 pg 1-2'!C13</f>
        <v>7.6499999999999999E-2</v>
      </c>
      <c r="M245" s="422">
        <f>+'SEF-33 pg 1-2'!C13</f>
        <v>7.6499999999999999E-2</v>
      </c>
      <c r="N245" s="422">
        <f>+'SEF-33 pg 1-2'!C13</f>
        <v>7.6499999999999999E-2</v>
      </c>
      <c r="O245" s="422">
        <f>+'SEF-33 pg 1-2'!C13</f>
        <v>7.6499999999999999E-2</v>
      </c>
      <c r="P245" s="422">
        <f>+'SEF-33 pg 1-2'!C13</f>
        <v>7.6499999999999999E-2</v>
      </c>
      <c r="Q245" s="422">
        <f>+'SEF-33 pg 1-2'!C13</f>
        <v>7.6499999999999999E-2</v>
      </c>
      <c r="R245" s="422">
        <f>+'SEF-33 pg 1-2'!C13</f>
        <v>7.6499999999999999E-2</v>
      </c>
      <c r="S245" s="422">
        <f>+'SEF-33 pg 1-2'!C13</f>
        <v>7.6499999999999999E-2</v>
      </c>
      <c r="T245" s="422">
        <f>+'SEF-33 pg 1-2'!C13</f>
        <v>7.6499999999999999E-2</v>
      </c>
      <c r="U245" s="422">
        <f>+'SEF-33 pg 1-2'!C13</f>
        <v>7.6499999999999999E-2</v>
      </c>
      <c r="V245" s="422">
        <f>+'SEF-33 pg 1-2'!C13</f>
        <v>7.6499999999999999E-2</v>
      </c>
      <c r="W245" s="422">
        <f>+'SEF-33 pg 1-2'!C13</f>
        <v>7.6499999999999999E-2</v>
      </c>
      <c r="X245" s="422">
        <f>+'SEF-33 pg 1-2'!C13</f>
        <v>7.6499999999999999E-2</v>
      </c>
      <c r="Y245" s="422">
        <f>+'SEF-33 pg 1-2'!C13</f>
        <v>7.6499999999999999E-2</v>
      </c>
      <c r="Z245" s="422">
        <f>+'SEF-33 pg 1-2'!C13</f>
        <v>7.6499999999999999E-2</v>
      </c>
      <c r="AA245" s="422">
        <f>+'SEF-33 pg 1-2'!C13</f>
        <v>7.6499999999999999E-2</v>
      </c>
      <c r="AB245" s="422">
        <f>+'SEF-33 pg 1-2'!C13</f>
        <v>7.6499999999999999E-2</v>
      </c>
      <c r="AC245" s="422">
        <f>+'SEF-33 pg 1-2'!C13</f>
        <v>7.6499999999999999E-2</v>
      </c>
      <c r="AD245" s="422">
        <f>+'SEF-33 pg 1-2'!C13</f>
        <v>7.6499999999999999E-2</v>
      </c>
      <c r="AE245" s="422">
        <f>+'SEF-33 pg 1-2'!C13</f>
        <v>7.6499999999999999E-2</v>
      </c>
      <c r="AF245" s="422">
        <f>+'SEF-33 pg 1-2'!C13</f>
        <v>7.6499999999999999E-2</v>
      </c>
      <c r="AG245" s="422">
        <f>+'SEF-33 pg 1-2'!$C$13</f>
        <v>7.6499999999999999E-2</v>
      </c>
      <c r="AH245" s="422">
        <f>+'SEF-33 pg 1-2'!$C$13</f>
        <v>7.6499999999999999E-2</v>
      </c>
      <c r="AI245" s="422">
        <f>+'SEF-33 pg 1-2'!$C$13</f>
        <v>7.6499999999999999E-2</v>
      </c>
      <c r="AJ245" s="422">
        <f>+'SEF-33 pg 1-2'!$C$13</f>
        <v>7.6499999999999999E-2</v>
      </c>
      <c r="AK245" s="422">
        <f>+'SEF-33 pg 1-2'!C13</f>
        <v>7.6499999999999999E-2</v>
      </c>
      <c r="AL245" s="422">
        <f>+'SEF-33 pg 1-2'!C13</f>
        <v>7.6499999999999999E-2</v>
      </c>
      <c r="AM245" s="80">
        <f>+'SEF-33 pg 1-2'!$C$13</f>
        <v>7.6499999999999999E-2</v>
      </c>
      <c r="AN245" s="80">
        <f>+'SEF-33 pg 1-2'!$C$13</f>
        <v>7.6499999999999999E-2</v>
      </c>
      <c r="AO245" s="80">
        <f>+'SEF-33 pg 1-2'!$C$13</f>
        <v>7.6499999999999999E-2</v>
      </c>
      <c r="AP245" s="422">
        <f>+'SEF-33 pg 1-2'!C13</f>
        <v>7.6499999999999999E-2</v>
      </c>
      <c r="AQ245" s="422">
        <f>+'SEF-33 pg 1-2'!C13</f>
        <v>7.6499999999999999E-2</v>
      </c>
      <c r="AR245" s="422">
        <f>+'SEF-33 pg 1-2'!C13</f>
        <v>7.6499999999999999E-2</v>
      </c>
      <c r="AS245" s="422">
        <f>+'SEF-33 pg 1-2'!D13</f>
        <v>7.9899999999999999E-2</v>
      </c>
      <c r="AT245" s="422"/>
      <c r="AU245" s="422"/>
      <c r="AV245" s="422"/>
      <c r="AW245" s="422"/>
      <c r="AX245" s="422"/>
      <c r="AY245" s="422"/>
      <c r="AZ245" s="422"/>
      <c r="BA245" s="81">
        <f>+'SEF-33 pg 1-2'!C13</f>
        <v>7.6499999999999999E-2</v>
      </c>
      <c r="BB245" s="81">
        <f>+'SEF-33 pg 1-2'!C13</f>
        <v>7.6499999999999999E-2</v>
      </c>
      <c r="BC245" s="82" t="s">
        <v>41</v>
      </c>
      <c r="BD245" s="356"/>
      <c r="BE245" s="82"/>
    </row>
    <row r="246" spans="1:57" outlineLevel="1" x14ac:dyDescent="0.25">
      <c r="A246" s="394">
        <f>ROW()</f>
        <v>246</v>
      </c>
      <c r="B246" s="365" t="s">
        <v>3</v>
      </c>
      <c r="C246" s="406" t="s">
        <v>162</v>
      </c>
      <c r="D246" s="390">
        <f>+'SEF-35'!E20</f>
        <v>0.75342299999999995</v>
      </c>
      <c r="E246" s="391">
        <f>+'SEF-35'!E20</f>
        <v>0.75342299999999995</v>
      </c>
      <c r="F246" s="391">
        <f>+'SEF-35'!E20</f>
        <v>0.75342299999999995</v>
      </c>
      <c r="G246" s="391">
        <f>+'SEF-35'!E20</f>
        <v>0.75342299999999995</v>
      </c>
      <c r="H246" s="391">
        <f>+'SEF-35'!E20</f>
        <v>0.75342299999999995</v>
      </c>
      <c r="I246" s="391">
        <f>+'SEF-35'!E20</f>
        <v>0.75342299999999995</v>
      </c>
      <c r="J246" s="391">
        <f>+'SEF-35'!E20</f>
        <v>0.75342299999999995</v>
      </c>
      <c r="K246" s="391">
        <f>+'SEF-35'!E20</f>
        <v>0.75342299999999995</v>
      </c>
      <c r="L246" s="391">
        <f>+'SEF-35'!E20</f>
        <v>0.75342299999999995</v>
      </c>
      <c r="M246" s="391">
        <f>+'SEF-35'!E20</f>
        <v>0.75342299999999995</v>
      </c>
      <c r="N246" s="391">
        <f>+'SEF-35'!E20</f>
        <v>0.75342299999999995</v>
      </c>
      <c r="O246" s="391">
        <f>+'SEF-35'!E20</f>
        <v>0.75342299999999995</v>
      </c>
      <c r="P246" s="391">
        <f>+'SEF-35'!E20</f>
        <v>0.75342299999999995</v>
      </c>
      <c r="Q246" s="391">
        <f>+'SEF-35'!E20</f>
        <v>0.75342299999999995</v>
      </c>
      <c r="R246" s="391">
        <f>+'SEF-35'!E20</f>
        <v>0.75342299999999995</v>
      </c>
      <c r="S246" s="391">
        <f>+'SEF-35'!E20</f>
        <v>0.75342299999999995</v>
      </c>
      <c r="T246" s="391">
        <f>+'SEF-35'!E20</f>
        <v>0.75342299999999995</v>
      </c>
      <c r="U246" s="391">
        <f>+'SEF-35'!E20</f>
        <v>0.75342299999999995</v>
      </c>
      <c r="V246" s="391">
        <f>+'SEF-35'!E20</f>
        <v>0.75342299999999995</v>
      </c>
      <c r="W246" s="391">
        <f>+'SEF-35'!E20</f>
        <v>0.75342299999999995</v>
      </c>
      <c r="X246" s="391">
        <f>+'SEF-35'!E20</f>
        <v>0.75342299999999995</v>
      </c>
      <c r="Y246" s="391">
        <f>+'SEF-35'!E20</f>
        <v>0.75342299999999995</v>
      </c>
      <c r="Z246" s="391">
        <f>+'SEF-35'!E20</f>
        <v>0.75342299999999995</v>
      </c>
      <c r="AA246" s="391">
        <f>+'SEF-35'!E20</f>
        <v>0.75342299999999995</v>
      </c>
      <c r="AB246" s="391">
        <f>+'SEF-35'!E20</f>
        <v>0.75342299999999995</v>
      </c>
      <c r="AC246" s="391">
        <f>+'SEF-35'!E20</f>
        <v>0.75342299999999995</v>
      </c>
      <c r="AD246" s="391">
        <f>+'SEF-35'!E20</f>
        <v>0.75342299999999995</v>
      </c>
      <c r="AE246" s="391">
        <f>+'SEF-35'!E20</f>
        <v>0.75342299999999995</v>
      </c>
      <c r="AF246" s="391">
        <f>+'SEF-35'!E20</f>
        <v>0.75342299999999995</v>
      </c>
      <c r="AG246" s="391">
        <f>+'SEF-35'!$E$20</f>
        <v>0.75342299999999995</v>
      </c>
      <c r="AH246" s="391">
        <f>+'SEF-35'!$E$20</f>
        <v>0.75342299999999995</v>
      </c>
      <c r="AI246" s="391">
        <f>+'SEF-35'!$E$20</f>
        <v>0.75342299999999995</v>
      </c>
      <c r="AJ246" s="391">
        <f>+'SEF-35'!$E$20</f>
        <v>0.75342299999999995</v>
      </c>
      <c r="AK246" s="391">
        <f>+'SEF-35'!E20</f>
        <v>0.75342299999999995</v>
      </c>
      <c r="AL246" s="391">
        <f>+'SEF-35'!E20</f>
        <v>0.75342299999999995</v>
      </c>
      <c r="AM246" s="391">
        <f>+'SEF-35'!$E$20</f>
        <v>0.75342299999999995</v>
      </c>
      <c r="AN246" s="391">
        <f>+'SEF-35'!$E$20</f>
        <v>0.75342299999999995</v>
      </c>
      <c r="AO246" s="391">
        <f>+'SEF-35'!$E$20</f>
        <v>0.75342299999999995</v>
      </c>
      <c r="AP246" s="391">
        <f>+'SEF-35'!E20</f>
        <v>0.75342299999999995</v>
      </c>
      <c r="AQ246" s="391">
        <f>+'SEF-35'!E20</f>
        <v>0.75342299999999995</v>
      </c>
      <c r="AR246" s="391">
        <f>+'SEF-35'!E20</f>
        <v>0.75342299999999995</v>
      </c>
      <c r="AS246" s="391">
        <f>+'SEF-35'!E20</f>
        <v>0.75342299999999995</v>
      </c>
      <c r="AT246" s="391"/>
      <c r="AU246" s="391"/>
      <c r="AV246" s="391"/>
      <c r="AW246" s="391"/>
      <c r="AX246" s="391"/>
      <c r="AY246" s="391"/>
      <c r="AZ246" s="391"/>
      <c r="BA246" s="391">
        <f>+'SEF-35'!E20</f>
        <v>0.75342299999999995</v>
      </c>
      <c r="BB246" s="390">
        <f>+'SEF-35'!E20</f>
        <v>0.75342299999999995</v>
      </c>
      <c r="BC246" s="82" t="s">
        <v>41</v>
      </c>
      <c r="BD246" s="356"/>
      <c r="BE246" s="82"/>
    </row>
    <row r="247" spans="1:57" outlineLevel="1" x14ac:dyDescent="0.25">
      <c r="A247" s="394">
        <f>ROW()</f>
        <v>247</v>
      </c>
      <c r="B247" s="365" t="s">
        <v>152</v>
      </c>
      <c r="C247" s="406" t="s">
        <v>162</v>
      </c>
      <c r="D247" s="371">
        <f t="shared" ref="D247:AS247" si="62">+D230-(D243*D245)</f>
        <v>-103766087.15800408</v>
      </c>
      <c r="E247" s="392">
        <f t="shared" si="62"/>
        <v>-6424881.6007525399</v>
      </c>
      <c r="F247" s="414">
        <f t="shared" si="62"/>
        <v>0</v>
      </c>
      <c r="G247" s="414">
        <f t="shared" si="62"/>
        <v>0</v>
      </c>
      <c r="H247" s="414">
        <f t="shared" si="62"/>
        <v>3984285.403344369</v>
      </c>
      <c r="I247" s="414">
        <f t="shared" si="62"/>
        <v>51423.477331428228</v>
      </c>
      <c r="J247" s="414">
        <f t="shared" si="62"/>
        <v>0</v>
      </c>
      <c r="K247" s="414">
        <f t="shared" si="62"/>
        <v>0</v>
      </c>
      <c r="L247" s="414">
        <f t="shared" si="62"/>
        <v>0</v>
      </c>
      <c r="M247" s="414">
        <f t="shared" si="62"/>
        <v>0</v>
      </c>
      <c r="N247" s="414">
        <f t="shared" si="62"/>
        <v>0</v>
      </c>
      <c r="O247" s="414">
        <f t="shared" si="62"/>
        <v>-19246.648578410714</v>
      </c>
      <c r="P247" s="414">
        <f t="shared" si="62"/>
        <v>0</v>
      </c>
      <c r="Q247" s="414">
        <f t="shared" si="62"/>
        <v>0</v>
      </c>
      <c r="R247" s="414">
        <f t="shared" si="62"/>
        <v>0</v>
      </c>
      <c r="S247" s="414">
        <f t="shared" si="62"/>
        <v>0</v>
      </c>
      <c r="T247" s="414">
        <f t="shared" si="62"/>
        <v>0</v>
      </c>
      <c r="U247" s="414">
        <f t="shared" si="62"/>
        <v>0</v>
      </c>
      <c r="V247" s="414">
        <f t="shared" si="62"/>
        <v>0</v>
      </c>
      <c r="W247" s="414">
        <f t="shared" si="62"/>
        <v>0</v>
      </c>
      <c r="X247" s="414">
        <f t="shared" si="62"/>
        <v>0</v>
      </c>
      <c r="Y247" s="414">
        <f t="shared" si="62"/>
        <v>0</v>
      </c>
      <c r="Z247" s="414">
        <f t="shared" si="62"/>
        <v>-7802542.1941056419</v>
      </c>
      <c r="AA247" s="414">
        <f t="shared" si="62"/>
        <v>0</v>
      </c>
      <c r="AB247" s="414">
        <f t="shared" si="62"/>
        <v>-3727575.3505524765</v>
      </c>
      <c r="AC247" s="414">
        <f t="shared" si="62"/>
        <v>1366472.8491678936</v>
      </c>
      <c r="AD247" s="414">
        <f t="shared" si="62"/>
        <v>0</v>
      </c>
      <c r="AE247" s="414">
        <f t="shared" si="62"/>
        <v>-44779747.787828408</v>
      </c>
      <c r="AF247" s="414">
        <f t="shared" si="62"/>
        <v>464655.6487550009</v>
      </c>
      <c r="AG247" s="414">
        <f t="shared" si="62"/>
        <v>-12409812.038064327</v>
      </c>
      <c r="AH247" s="414">
        <f t="shared" si="62"/>
        <v>-5530586.7419700017</v>
      </c>
      <c r="AI247" s="414">
        <f t="shared" si="62"/>
        <v>-333994.60565499996</v>
      </c>
      <c r="AJ247" s="414">
        <f t="shared" si="62"/>
        <v>-7588676.2381431339</v>
      </c>
      <c r="AK247" s="414">
        <f t="shared" si="62"/>
        <v>0</v>
      </c>
      <c r="AL247" s="392">
        <f t="shared" si="62"/>
        <v>-2616499.8260468571</v>
      </c>
      <c r="AM247" s="414">
        <f t="shared" si="62"/>
        <v>-48980</v>
      </c>
      <c r="AN247" s="414">
        <f t="shared" si="62"/>
        <v>0</v>
      </c>
      <c r="AO247" s="414">
        <f t="shared" si="62"/>
        <v>-318969.52152150846</v>
      </c>
      <c r="AP247" s="414">
        <f t="shared" si="62"/>
        <v>0</v>
      </c>
      <c r="AQ247" s="414">
        <f t="shared" si="62"/>
        <v>385361.23699251283</v>
      </c>
      <c r="AR247" s="414">
        <f t="shared" si="62"/>
        <v>477982.27337971306</v>
      </c>
      <c r="AS247" s="392">
        <f t="shared" si="62"/>
        <v>-473094.90797310008</v>
      </c>
      <c r="AT247" s="414"/>
      <c r="AU247" s="414"/>
      <c r="AV247" s="414"/>
      <c r="AW247" s="414"/>
      <c r="AX247" s="414"/>
      <c r="AY247" s="414"/>
      <c r="AZ247" s="414"/>
      <c r="BA247" s="357">
        <f>SUM(E247:AZ247)</f>
        <v>-85344426.572220489</v>
      </c>
      <c r="BB247" s="371">
        <f>+BB230-(BB243*BB245)</f>
        <v>-189110513.73022446</v>
      </c>
      <c r="BC247" s="82" t="s">
        <v>41</v>
      </c>
      <c r="BD247" s="356"/>
      <c r="BE247" s="82"/>
    </row>
    <row r="248" spans="1:57" outlineLevel="1" x14ac:dyDescent="0.25">
      <c r="A248" s="394">
        <f>ROW()</f>
        <v>248</v>
      </c>
      <c r="B248" s="365" t="s">
        <v>153</v>
      </c>
      <c r="C248" s="406" t="s">
        <v>162</v>
      </c>
      <c r="D248" s="371">
        <f t="shared" ref="D248:AS248" si="63">-D247/D246</f>
        <v>137726200.4982647</v>
      </c>
      <c r="E248" s="414">
        <f t="shared" si="63"/>
        <v>8527588.8853307385</v>
      </c>
      <c r="F248" s="414">
        <f t="shared" si="63"/>
        <v>0</v>
      </c>
      <c r="G248" s="414">
        <f t="shared" si="63"/>
        <v>0</v>
      </c>
      <c r="H248" s="392">
        <f t="shared" si="63"/>
        <v>-5288244.9876687722</v>
      </c>
      <c r="I248" s="392">
        <f t="shared" si="63"/>
        <v>-68253.129160416167</v>
      </c>
      <c r="J248" s="414">
        <f t="shared" si="63"/>
        <v>0</v>
      </c>
      <c r="K248" s="414">
        <f t="shared" si="63"/>
        <v>0</v>
      </c>
      <c r="L248" s="414">
        <f t="shared" si="63"/>
        <v>0</v>
      </c>
      <c r="M248" s="414">
        <f t="shared" si="63"/>
        <v>0</v>
      </c>
      <c r="N248" s="414">
        <f t="shared" si="63"/>
        <v>0</v>
      </c>
      <c r="O248" s="392">
        <f t="shared" si="63"/>
        <v>25545.607949864439</v>
      </c>
      <c r="P248" s="414">
        <f t="shared" si="63"/>
        <v>0</v>
      </c>
      <c r="Q248" s="414">
        <f t="shared" si="63"/>
        <v>0</v>
      </c>
      <c r="R248" s="414">
        <f t="shared" si="63"/>
        <v>0</v>
      </c>
      <c r="S248" s="414">
        <f t="shared" si="63"/>
        <v>0</v>
      </c>
      <c r="T248" s="414">
        <f t="shared" si="63"/>
        <v>0</v>
      </c>
      <c r="U248" s="414">
        <f t="shared" si="63"/>
        <v>0</v>
      </c>
      <c r="V248" s="414">
        <f t="shared" si="63"/>
        <v>0</v>
      </c>
      <c r="W248" s="414">
        <f t="shared" si="63"/>
        <v>0</v>
      </c>
      <c r="X248" s="414">
        <f t="shared" si="63"/>
        <v>0</v>
      </c>
      <c r="Y248" s="414">
        <f t="shared" si="63"/>
        <v>0</v>
      </c>
      <c r="Z248" s="392">
        <f t="shared" si="63"/>
        <v>10356124.241104456</v>
      </c>
      <c r="AA248" s="414">
        <f t="shared" si="63"/>
        <v>0</v>
      </c>
      <c r="AB248" s="392">
        <f t="shared" si="63"/>
        <v>4947519.9861863479</v>
      </c>
      <c r="AC248" s="392">
        <f t="shared" si="63"/>
        <v>-1813686.1353687022</v>
      </c>
      <c r="AD248" s="414">
        <f t="shared" si="63"/>
        <v>0</v>
      </c>
      <c r="AE248" s="392">
        <f t="shared" si="63"/>
        <v>59435068.730087094</v>
      </c>
      <c r="AF248" s="392">
        <f t="shared" si="63"/>
        <v>-616726.12696320785</v>
      </c>
      <c r="AG248" s="392">
        <f t="shared" si="63"/>
        <v>16471241.305434434</v>
      </c>
      <c r="AH248" s="392">
        <f t="shared" si="63"/>
        <v>7340613.0977817271</v>
      </c>
      <c r="AI248" s="392">
        <f t="shared" si="63"/>
        <v>443302.90640848497</v>
      </c>
      <c r="AJ248" s="392">
        <f t="shared" si="63"/>
        <v>10072265.165973343</v>
      </c>
      <c r="AK248" s="414">
        <f t="shared" si="63"/>
        <v>0</v>
      </c>
      <c r="AL248" s="392">
        <f t="shared" si="63"/>
        <v>3472816.5002221293</v>
      </c>
      <c r="AM248" s="392">
        <f t="shared" si="63"/>
        <v>65009.961203732833</v>
      </c>
      <c r="AN248" s="414">
        <f t="shared" si="63"/>
        <v>0</v>
      </c>
      <c r="AO248" s="392">
        <f t="shared" si="63"/>
        <v>423360.47813978133</v>
      </c>
      <c r="AP248" s="414">
        <f t="shared" si="63"/>
        <v>0</v>
      </c>
      <c r="AQ248" s="392">
        <f t="shared" si="63"/>
        <v>-511480.5852655319</v>
      </c>
      <c r="AR248" s="392">
        <f t="shared" si="63"/>
        <v>-634414.23128801899</v>
      </c>
      <c r="AS248" s="392">
        <f t="shared" si="63"/>
        <v>627927.35020446696</v>
      </c>
      <c r="AT248" s="414"/>
      <c r="AU248" s="414"/>
      <c r="AV248" s="414"/>
      <c r="AW248" s="414"/>
      <c r="AX248" s="414"/>
      <c r="AY248" s="414"/>
      <c r="AZ248" s="414"/>
      <c r="BA248" s="357">
        <f>-BA247/BA246</f>
        <v>113275579.02031195</v>
      </c>
      <c r="BB248" s="371">
        <f>-BB247/BB246</f>
        <v>251001779.5185765</v>
      </c>
      <c r="BC248" s="82" t="s">
        <v>41</v>
      </c>
      <c r="BD248" s="356"/>
      <c r="BE248" s="82"/>
    </row>
    <row r="249" spans="1:57" outlineLevel="1" x14ac:dyDescent="0.25">
      <c r="A249" s="394">
        <f>ROW()</f>
        <v>249</v>
      </c>
      <c r="B249" s="365" t="s">
        <v>128</v>
      </c>
      <c r="C249" s="406" t="s">
        <v>162</v>
      </c>
      <c r="D249" s="357"/>
      <c r="E249" s="414"/>
      <c r="F249" s="414"/>
      <c r="G249" s="414"/>
      <c r="H249" s="414"/>
      <c r="I249" s="414"/>
      <c r="J249" s="414"/>
      <c r="K249" s="414"/>
      <c r="L249" s="414"/>
      <c r="M249" s="414"/>
      <c r="N249" s="414"/>
      <c r="O249" s="414"/>
      <c r="P249" s="414"/>
      <c r="Q249" s="414"/>
      <c r="R249" s="414"/>
      <c r="S249" s="414"/>
      <c r="T249" s="414"/>
      <c r="U249" s="414"/>
      <c r="V249" s="414"/>
      <c r="W249" s="414"/>
      <c r="X249" s="414"/>
      <c r="Y249" s="414"/>
      <c r="Z249" s="414"/>
      <c r="AA249" s="414"/>
      <c r="AB249" s="414"/>
      <c r="AC249" s="414"/>
      <c r="AD249" s="414"/>
      <c r="AE249" s="414"/>
      <c r="AF249" s="414"/>
      <c r="AG249" s="414"/>
      <c r="AH249" s="414"/>
      <c r="AI249" s="414"/>
      <c r="AJ249" s="414"/>
      <c r="AK249" s="414"/>
      <c r="AL249" s="414"/>
      <c r="AM249" s="382"/>
      <c r="AN249" s="414"/>
      <c r="AO249" s="414"/>
      <c r="AP249" s="414"/>
      <c r="AQ249" s="414"/>
      <c r="AR249" s="414"/>
      <c r="AS249" s="414"/>
      <c r="AT249" s="414"/>
      <c r="AU249" s="414"/>
      <c r="AV249" s="414"/>
      <c r="AW249" s="414"/>
      <c r="AX249" s="414"/>
      <c r="AY249" s="414"/>
      <c r="AZ249" s="414"/>
      <c r="BA249" s="357"/>
      <c r="BB249" s="357">
        <f>BB188</f>
        <v>1033773304.3797647</v>
      </c>
      <c r="BC249" s="82" t="s">
        <v>41</v>
      </c>
      <c r="BD249" s="356"/>
      <c r="BE249" s="82"/>
    </row>
    <row r="250" spans="1:57" outlineLevel="1" x14ac:dyDescent="0.25">
      <c r="A250" s="394">
        <f>ROW()</f>
        <v>250</v>
      </c>
      <c r="B250" s="365" t="s">
        <v>129</v>
      </c>
      <c r="C250" s="406" t="s">
        <v>162</v>
      </c>
      <c r="D250" s="357"/>
      <c r="E250" s="414"/>
      <c r="F250" s="414"/>
      <c r="G250" s="414"/>
      <c r="H250" s="414"/>
      <c r="I250" s="414"/>
      <c r="J250" s="414"/>
      <c r="K250" s="414"/>
      <c r="L250" s="414"/>
      <c r="M250" s="414"/>
      <c r="N250" s="414"/>
      <c r="O250" s="414"/>
      <c r="P250" s="414"/>
      <c r="Q250" s="414"/>
      <c r="R250" s="414"/>
      <c r="S250" s="414"/>
      <c r="T250" s="414"/>
      <c r="U250" s="414"/>
      <c r="V250" s="414"/>
      <c r="W250" s="414"/>
      <c r="X250" s="414"/>
      <c r="Y250" s="414"/>
      <c r="Z250" s="414"/>
      <c r="AA250" s="414"/>
      <c r="AB250" s="414"/>
      <c r="AC250" s="414"/>
      <c r="AD250" s="414"/>
      <c r="AE250" s="414"/>
      <c r="AF250" s="414"/>
      <c r="AG250" s="414"/>
      <c r="AH250" s="414"/>
      <c r="AI250" s="414"/>
      <c r="AJ250" s="414"/>
      <c r="AK250" s="414"/>
      <c r="AL250" s="414"/>
      <c r="AM250" s="382"/>
      <c r="AN250" s="414"/>
      <c r="AO250" s="414"/>
      <c r="AP250" s="414"/>
      <c r="AQ250" s="414"/>
      <c r="AR250" s="414"/>
      <c r="AS250" s="414"/>
      <c r="AT250" s="414"/>
      <c r="AU250" s="414"/>
      <c r="AV250" s="414"/>
      <c r="AW250" s="414"/>
      <c r="AX250" s="414"/>
      <c r="AY250" s="414"/>
      <c r="AZ250" s="414"/>
      <c r="BA250" s="357"/>
      <c r="BB250" s="1911">
        <f>SUM(BB248:BB249)</f>
        <v>1284775083.8983412</v>
      </c>
      <c r="BC250" s="82" t="s">
        <v>41</v>
      </c>
      <c r="BD250" s="356"/>
      <c r="BE250" s="82"/>
    </row>
    <row r="251" spans="1:57" outlineLevel="1" x14ac:dyDescent="0.25">
      <c r="A251" s="394">
        <f>ROW()</f>
        <v>251</v>
      </c>
      <c r="B251" s="365"/>
      <c r="C251" s="406" t="s">
        <v>162</v>
      </c>
      <c r="D251" s="357"/>
      <c r="E251" s="414"/>
      <c r="F251" s="414"/>
      <c r="G251" s="414"/>
      <c r="H251" s="414"/>
      <c r="I251" s="414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414"/>
      <c r="AA251" s="414"/>
      <c r="AB251" s="414"/>
      <c r="AC251" s="414"/>
      <c r="AD251" s="414"/>
      <c r="AE251" s="414"/>
      <c r="AF251" s="414"/>
      <c r="AG251" s="414"/>
      <c r="AH251" s="414"/>
      <c r="AI251" s="414"/>
      <c r="AJ251" s="414"/>
      <c r="AK251" s="414"/>
      <c r="AL251" s="414"/>
      <c r="AM251" s="382"/>
      <c r="AN251" s="414"/>
      <c r="AO251" s="414"/>
      <c r="AP251" s="414"/>
      <c r="AQ251" s="414"/>
      <c r="AR251" s="414"/>
      <c r="AS251" s="414"/>
      <c r="AT251" s="414"/>
      <c r="AU251" s="414"/>
      <c r="AV251" s="414"/>
      <c r="AW251" s="414"/>
      <c r="AX251" s="414"/>
      <c r="AY251" s="414"/>
      <c r="AZ251" s="414"/>
      <c r="BA251" s="393"/>
      <c r="BB251" s="393"/>
      <c r="BC251" s="82" t="s">
        <v>41</v>
      </c>
      <c r="BD251" s="356"/>
      <c r="BE251" s="82"/>
    </row>
    <row r="252" spans="1:57" outlineLevel="1" x14ac:dyDescent="0.25">
      <c r="A252" s="394">
        <f>ROW()</f>
        <v>252</v>
      </c>
      <c r="B252" s="365"/>
      <c r="C252" s="406" t="s">
        <v>162</v>
      </c>
      <c r="D252" s="1910"/>
      <c r="BA252" s="80">
        <f>+'SEF-33 pg 1-2'!K24</f>
        <v>7.6499999999999999E-2</v>
      </c>
      <c r="BB252" s="80">
        <f>+'SEF-33 pg 1-2'!K24</f>
        <v>7.6499999999999999E-2</v>
      </c>
      <c r="BC252" s="82" t="s">
        <v>41</v>
      </c>
      <c r="BD252" s="356"/>
      <c r="BE252" s="82"/>
    </row>
    <row r="253" spans="1:57" outlineLevel="1" x14ac:dyDescent="0.25">
      <c r="A253" s="394">
        <f>ROW()</f>
        <v>253</v>
      </c>
      <c r="B253" s="395" t="s">
        <v>154</v>
      </c>
      <c r="C253" s="406" t="s">
        <v>162</v>
      </c>
      <c r="D253" s="1909"/>
      <c r="E253" s="429">
        <f>ROUND('SEF-36 pg 1-33, 37'!K$71-E230,0)+E232</f>
        <v>0</v>
      </c>
      <c r="F253" s="429">
        <f>ROUND('SEF-36 pg 1-33, 37'!AC$65-F230,0)+F232</f>
        <v>0</v>
      </c>
      <c r="G253" s="429">
        <f>ROUND('SEF-36 pg 1-33, 37'!AU$30-G230,0)+G232</f>
        <v>0</v>
      </c>
      <c r="H253" s="429">
        <f>ROUND('SEF-36 pg 1-33, 37'!BM$22-H230,0)+ROUND('SEF-36 pg 1-33, 37'!BM$24-H232,0)</f>
        <v>0</v>
      </c>
      <c r="I253" s="429">
        <f>ROUND('SEF-36 pg 1-33, 37'!CE$24-I230,0)+I232</f>
        <v>0</v>
      </c>
      <c r="J253" s="429">
        <f>ROUND('SEF-36 pg 1-33, 37'!CW$20-J230,0)+J232</f>
        <v>0</v>
      </c>
      <c r="K253" s="429">
        <f>ROUND('SEF-36 pg 1-33, 37'!DO$22-K230,0)+K232</f>
        <v>0</v>
      </c>
      <c r="L253" s="429">
        <f>ROUND('SEF-36 pg 1-33, 37'!EG$21-L230,0)+L232</f>
        <v>0</v>
      </c>
      <c r="M253" s="429">
        <f>ROUND('SEF-36 pg 1-33, 37'!EY$27-M230,0)+M232</f>
        <v>0</v>
      </c>
      <c r="N253" s="429">
        <f>ROUND('SEF-36 pg 1-33, 37'!FQ$23-N230,0)+N232</f>
        <v>0</v>
      </c>
      <c r="O253" s="429">
        <f>ROUND('SEF-36 pg 1-33, 37'!GI$32-O230,0)+O232</f>
        <v>0</v>
      </c>
      <c r="P253" s="429">
        <f>ROUND('SEF-36 pg 1-33, 37'!HA$36-P230,0)+P232</f>
        <v>0</v>
      </c>
      <c r="Q253" s="429">
        <f>ROUND('SEF-36 pg 1-33, 37'!HS$18-Q230,0)+Q232</f>
        <v>0</v>
      </c>
      <c r="R253" s="429">
        <f>ROUND('SEF-36 pg 1-33, 37'!IK$21-R230,0)+R232</f>
        <v>0</v>
      </c>
      <c r="S253" s="429">
        <f>ROUND('SEF-36 pg 1-33, 37'!JC$22-S230,0)+S232</f>
        <v>0</v>
      </c>
      <c r="T253" s="429">
        <f>ROUND('SEF-36 pg 1-33, 37'!JU$23-T230,0)+T232</f>
        <v>0</v>
      </c>
      <c r="U253" s="429">
        <f>ROUND('SEF-36 pg 1-33, 37'!KM$20-U230,0)+U232</f>
        <v>0</v>
      </c>
      <c r="V253" s="429">
        <f>ROUND('SEF-36 pg 1-33, 37'!LE$33-V230,0)+V232</f>
        <v>0</v>
      </c>
      <c r="W253" s="429">
        <f>ROUND('SEF-36 pg 1-33, 37'!LW$22-W232,0)+W230</f>
        <v>0</v>
      </c>
      <c r="X253" s="429">
        <f>ROUND('SEF-36 pg 1-33, 37'!MO$31-X230,0)+ROUND('SEF-36 pg 1-33, 37'!MO$36-X232,0)</f>
        <v>0</v>
      </c>
      <c r="Y253" s="429">
        <f>ROUND('SEF-36 pg 1-33, 37'!NG$22-Y230,0)+Y232</f>
        <v>0</v>
      </c>
      <c r="Z253" s="429">
        <f>ROUND('SEF-36 pg 1-33, 37'!NY$31-Z230,0)+Z232</f>
        <v>0</v>
      </c>
      <c r="AA253" s="429">
        <f>ROUND('SEF-36 pg 1-33, 37'!OQ$35-AA230,0)+ROUND('SEF-36 pg 1-33, 37'!OQ$24-AA232,0)</f>
        <v>0</v>
      </c>
      <c r="AB253" s="429">
        <f>ROUND('SEF-36 pg 1-33, 37'!PI$53-AB230,0)+ROUND('SEF-36 pg 1-33, 37'!PI$35-AB232,0)</f>
        <v>0</v>
      </c>
      <c r="AC253" s="429">
        <f>ROUND('SEF-36 pg 1-33, 37'!QA$21-AC230,0)+AC232</f>
        <v>0</v>
      </c>
      <c r="AD253" s="429">
        <f>ROUND('SEF-36 pg 1-33, 37'!QT19-AD232,0)</f>
        <v>0</v>
      </c>
      <c r="AE253" s="429">
        <f>ROUND('SEF-36 pg 1-33, 37'!RL31-AE230,0)+ROUND('SEF-36 pg 1-33, 37'!RL36-AE232,0)</f>
        <v>0</v>
      </c>
      <c r="AF253" s="429">
        <f>ROUND('SEF-36 pg 1-33, 37'!SD30-AF230,0)+ROUND('SEF-36 pg 1-33, 37'!SD35-AF232,0)</f>
        <v>0</v>
      </c>
      <c r="AG253" s="429">
        <f>ROUND('SEF-36 pg 1-33, 37'!$SV$26-AG230,0)+ROUND('SEF-36 pg 1-33, 37'!$SV$31-AG232,0)</f>
        <v>0</v>
      </c>
      <c r="AH253" s="429">
        <f>ROUND('SEF-36 pg 1-33, 37'!$SV$44-AH230,0)+ROUND('SEF-36 pg 1-33, 37'!$SV$49-AH232,0)</f>
        <v>0</v>
      </c>
      <c r="AI253" s="429">
        <f>ROUND('SEF-36 pg 1-33, 37'!$SV$62-AI230,0)+ROUND('SEF-36 pg 1-33, 37'!$SV$67-AI232,0)</f>
        <v>0</v>
      </c>
      <c r="AJ253" s="429">
        <f>ROUND('SEF-36 pg 1-33, 37'!$SV$80-AJ230,0)+ROUND('SEF-36 pg 1-33, 37'!$SV$85-AJ232,0)</f>
        <v>0</v>
      </c>
      <c r="AK253" s="429">
        <f>ROUND('SEF-36 pg 1-33, 37'!UH$38-AK230,0)</f>
        <v>0</v>
      </c>
      <c r="AL253" s="429">
        <f>ROUND('SEF-36 pg 1-33, 37'!VA$27-AL230,0)+ROUND('SEF-36 pg 1-33, 37'!VA$19-AL232,0)</f>
        <v>0</v>
      </c>
      <c r="AM253" s="429">
        <f>ROUND('SEF-36 pg 1-33, 37'!TO$25-AM230,0)</f>
        <v>0</v>
      </c>
      <c r="AN253" s="429">
        <f>ROUND('SEF-36 pg 1-33, 37'!VT32-AN230,0)+ROUND(AN243-'SEF-36 pg 1-33, 37'!VT24,0)</f>
        <v>0</v>
      </c>
      <c r="AO253" s="429">
        <f>ROUND('SEF-36 pg 1-33, 37'!WI21-AO230,0)</f>
        <v>0</v>
      </c>
      <c r="AP253" s="429">
        <f>ROUND('SEF-36 pg 34-36'!BM$49-AP232,0)+ROUND('SEF-36 pg 34-36'!BM$33-AP230,0)</f>
        <v>0</v>
      </c>
      <c r="AQ253" s="429">
        <f>ROUND('SEF-36 pg 34-36'!CE$47-AQ230,0)+ROUND('SEF-36 pg 34-36'!CE$27-AQ232,0)</f>
        <v>0</v>
      </c>
      <c r="AR253" s="429">
        <f>ROUND('SEF-36 pg 34-36'!CW22-AR230+'SEF-36 pg 34-36'!CW31-AR232,0)</f>
        <v>0</v>
      </c>
      <c r="AS253" s="429">
        <f>ROUND('SEF-36 pg 1-33, 37'!WX21-AS230,0)</f>
        <v>0</v>
      </c>
      <c r="AT253" s="1890"/>
      <c r="AU253" s="1889"/>
      <c r="AV253" s="1888"/>
      <c r="AW253" s="1888"/>
      <c r="AX253" s="1888"/>
      <c r="AY253" s="1888"/>
      <c r="AZ253" s="1888"/>
      <c r="BA253" s="398"/>
      <c r="BB253" s="398"/>
      <c r="BC253" s="82" t="s">
        <v>41</v>
      </c>
      <c r="BE253" s="82"/>
    </row>
    <row r="254" spans="1:57" outlineLevel="1" x14ac:dyDescent="0.25">
      <c r="A254" s="394">
        <f>ROW()</f>
        <v>254</v>
      </c>
      <c r="B254" s="395" t="s">
        <v>155</v>
      </c>
      <c r="C254" s="406" t="s">
        <v>162</v>
      </c>
      <c r="D254" s="1908">
        <f>'SEF-34 pg 1'!I47-D230</f>
        <v>0</v>
      </c>
      <c r="Z254" s="1898"/>
      <c r="BB254" s="429">
        <f>'SEF-34 pg 1'!K47-BB230</f>
        <v>0</v>
      </c>
      <c r="BC254" s="82" t="s">
        <v>41</v>
      </c>
      <c r="BE254" s="82"/>
    </row>
    <row r="255" spans="1:57" outlineLevel="1" x14ac:dyDescent="0.25">
      <c r="A255" s="394">
        <f>ROW()</f>
        <v>255</v>
      </c>
      <c r="B255" s="395" t="s">
        <v>156</v>
      </c>
      <c r="C255" s="406" t="s">
        <v>162</v>
      </c>
      <c r="D255" s="1908">
        <f>'SEF-34 pg 1'!I58-D243</f>
        <v>0</v>
      </c>
      <c r="BB255" s="429">
        <f>'SEF-34 pg 1'!K58-BB243</f>
        <v>0</v>
      </c>
      <c r="BC255" s="82" t="s">
        <v>41</v>
      </c>
      <c r="BE255" s="82"/>
    </row>
    <row r="256" spans="1:57" x14ac:dyDescent="0.25">
      <c r="A256" s="394">
        <f>ROW()</f>
        <v>256</v>
      </c>
      <c r="B256" s="461"/>
      <c r="C256" s="350"/>
      <c r="D256" s="1904"/>
      <c r="BA256" s="351"/>
      <c r="BB256" s="1907"/>
      <c r="BC256" s="82" t="s">
        <v>41</v>
      </c>
      <c r="BE256" s="82"/>
    </row>
    <row r="257" spans="1:57" outlineLevel="1" x14ac:dyDescent="0.25">
      <c r="A257" s="394">
        <f>ROW()</f>
        <v>257</v>
      </c>
      <c r="B257" s="399"/>
      <c r="C257" s="1246" t="s">
        <v>163</v>
      </c>
      <c r="D257" s="1906"/>
      <c r="E257" s="326">
        <v>46357</v>
      </c>
      <c r="F257" s="326">
        <v>46357</v>
      </c>
      <c r="G257" s="326">
        <v>46357</v>
      </c>
      <c r="H257" s="326">
        <v>46357</v>
      </c>
      <c r="I257" s="326">
        <v>46357</v>
      </c>
      <c r="J257" s="326">
        <v>46357</v>
      </c>
      <c r="K257" s="326">
        <v>46357</v>
      </c>
      <c r="L257" s="326">
        <v>46357</v>
      </c>
      <c r="M257" s="326">
        <v>46357</v>
      </c>
      <c r="N257" s="326">
        <v>46357</v>
      </c>
      <c r="O257" s="326">
        <v>46357</v>
      </c>
      <c r="P257" s="326">
        <v>46357</v>
      </c>
      <c r="Q257" s="326">
        <v>46357</v>
      </c>
      <c r="R257" s="326">
        <v>46357</v>
      </c>
      <c r="S257" s="326">
        <v>46357</v>
      </c>
      <c r="T257" s="326">
        <v>46357</v>
      </c>
      <c r="U257" s="326">
        <v>46357</v>
      </c>
      <c r="V257" s="326">
        <v>46357</v>
      </c>
      <c r="W257" s="326">
        <v>46357</v>
      </c>
      <c r="X257" s="326">
        <v>46357</v>
      </c>
      <c r="Y257" s="326">
        <v>46357</v>
      </c>
      <c r="Z257" s="326">
        <v>46357</v>
      </c>
      <c r="AA257" s="326">
        <v>46357</v>
      </c>
      <c r="AB257" s="326">
        <v>46357</v>
      </c>
      <c r="AC257" s="326">
        <v>46357</v>
      </c>
      <c r="AD257" s="326">
        <v>46357</v>
      </c>
      <c r="AE257" s="326">
        <v>46357</v>
      </c>
      <c r="AF257" s="326">
        <v>46357</v>
      </c>
      <c r="AG257" s="326">
        <v>46357</v>
      </c>
      <c r="AH257" s="326">
        <v>46357</v>
      </c>
      <c r="AI257" s="326">
        <v>46357</v>
      </c>
      <c r="AJ257" s="326">
        <v>46357</v>
      </c>
      <c r="AK257" s="326">
        <v>46357</v>
      </c>
      <c r="AL257" s="326">
        <v>46357</v>
      </c>
      <c r="AM257" s="326">
        <v>46357</v>
      </c>
      <c r="AN257" s="326">
        <v>46357</v>
      </c>
      <c r="AO257" s="326">
        <v>46357</v>
      </c>
      <c r="AP257" s="326">
        <v>46357</v>
      </c>
      <c r="AQ257" s="326">
        <v>46357</v>
      </c>
      <c r="AR257" s="326">
        <v>46357</v>
      </c>
      <c r="AS257" s="326">
        <v>46357</v>
      </c>
      <c r="AT257" s="326">
        <v>46357</v>
      </c>
      <c r="AU257" s="326">
        <v>46357</v>
      </c>
      <c r="AV257" s="326">
        <v>46357</v>
      </c>
      <c r="AW257" s="326">
        <v>46357</v>
      </c>
      <c r="AX257" s="326">
        <v>46357</v>
      </c>
      <c r="AY257" s="326">
        <v>46357</v>
      </c>
      <c r="AZ257" s="326">
        <v>46357</v>
      </c>
      <c r="BA257" s="1905">
        <v>46357</v>
      </c>
      <c r="BB257" s="1905">
        <v>46357</v>
      </c>
      <c r="BC257" s="82" t="s">
        <v>41</v>
      </c>
      <c r="BE257" s="82"/>
    </row>
    <row r="258" spans="1:57" outlineLevel="1" x14ac:dyDescent="0.25">
      <c r="A258" s="394">
        <f>ROW()</f>
        <v>258</v>
      </c>
      <c r="B258" s="399"/>
      <c r="C258" s="1246">
        <v>2026</v>
      </c>
      <c r="D258" s="1904"/>
      <c r="E258" s="1249"/>
      <c r="F258" s="1249"/>
      <c r="G258" s="1249"/>
      <c r="H258" s="1249"/>
      <c r="I258" s="1249"/>
      <c r="J258" s="1249"/>
      <c r="K258" s="1249"/>
      <c r="L258" s="1249"/>
      <c r="M258" s="1249"/>
      <c r="N258" s="1249"/>
      <c r="O258" s="1249"/>
      <c r="P258" s="1249"/>
      <c r="Q258" s="1249"/>
      <c r="R258" s="1249"/>
      <c r="S258" s="1249"/>
      <c r="T258" s="1249"/>
      <c r="U258" s="1249"/>
      <c r="V258" s="1249"/>
      <c r="W258" s="1249"/>
      <c r="X258" s="1249"/>
      <c r="Y258" s="1249"/>
      <c r="Z258" s="1249"/>
      <c r="AA258" s="1249"/>
      <c r="AB258" s="1249"/>
      <c r="AC258" s="1249"/>
      <c r="AD258" s="1249"/>
      <c r="AE258" s="1249"/>
      <c r="AF258" s="1249"/>
      <c r="AG258" s="1249"/>
      <c r="AH258" s="1249"/>
      <c r="AI258" s="1249"/>
      <c r="AJ258" s="1249"/>
      <c r="AK258" s="1249"/>
      <c r="AL258" s="1249"/>
      <c r="AM258" s="1249"/>
      <c r="AN258" s="1249"/>
      <c r="AO258" s="1249"/>
      <c r="AP258" s="1249"/>
      <c r="AQ258" s="1249"/>
      <c r="AR258" s="1249"/>
      <c r="AS258" s="1249"/>
      <c r="AT258" s="1249"/>
      <c r="AU258" s="1249"/>
      <c r="AV258" s="1249"/>
      <c r="AW258" s="1249"/>
      <c r="AX258" s="1249"/>
      <c r="AY258" s="1249"/>
      <c r="AZ258" s="1249"/>
      <c r="BA258" s="351"/>
      <c r="BB258" s="1904"/>
      <c r="BC258" s="82" t="s">
        <v>41</v>
      </c>
      <c r="BE258" s="82"/>
    </row>
    <row r="259" spans="1:57" outlineLevel="1" x14ac:dyDescent="0.25">
      <c r="A259" s="394">
        <f>ROW()</f>
        <v>259</v>
      </c>
      <c r="B259" s="349" t="s">
        <v>81</v>
      </c>
      <c r="C259" s="350" t="s">
        <v>164</v>
      </c>
      <c r="D259" s="366"/>
      <c r="BA259" s="352"/>
      <c r="BB259" s="1903"/>
      <c r="BC259" s="82" t="s">
        <v>41</v>
      </c>
      <c r="BE259" s="82"/>
    </row>
    <row r="260" spans="1:57" outlineLevel="1" x14ac:dyDescent="0.25">
      <c r="A260" s="394">
        <f>ROW()</f>
        <v>260</v>
      </c>
      <c r="B260" s="349" t="s">
        <v>82</v>
      </c>
      <c r="C260" s="350" t="s">
        <v>164</v>
      </c>
      <c r="D260" s="352">
        <f>+BB199</f>
        <v>534879148.63677281</v>
      </c>
      <c r="E260" s="407">
        <f>'SEF-36 pg 1-33, 37'!$M$37</f>
        <v>-2749024.8067777134</v>
      </c>
      <c r="F260" s="407"/>
      <c r="G260" s="407"/>
      <c r="H260" s="407"/>
      <c r="I260" s="407"/>
      <c r="J260" s="407"/>
      <c r="K260" s="407"/>
      <c r="L260" s="407"/>
      <c r="M260" s="407"/>
      <c r="N260" s="407"/>
      <c r="O260" s="407"/>
      <c r="P260" s="407"/>
      <c r="Q260" s="407"/>
      <c r="R260" s="407"/>
      <c r="S260" s="407"/>
      <c r="T260" s="407"/>
      <c r="U260" s="407"/>
      <c r="V260" s="407"/>
      <c r="W260" s="407"/>
      <c r="X260" s="407"/>
      <c r="Y260" s="407"/>
      <c r="Z260" s="407"/>
      <c r="AA260" s="407"/>
      <c r="AB260" s="407"/>
      <c r="AC260" s="407"/>
      <c r="AD260" s="407"/>
      <c r="AE260" s="407"/>
      <c r="AF260" s="407"/>
      <c r="AG260" s="407"/>
      <c r="AH260" s="407"/>
      <c r="AI260" s="407"/>
      <c r="AJ260" s="407"/>
      <c r="AK260" s="407"/>
      <c r="AL260" s="407"/>
      <c r="AM260" s="407"/>
      <c r="AN260" s="407"/>
      <c r="AO260" s="407"/>
      <c r="AP260" s="407"/>
      <c r="AQ260" s="407"/>
      <c r="AR260" s="407"/>
      <c r="AS260" s="407"/>
      <c r="AT260" s="407"/>
      <c r="AU260" s="407"/>
      <c r="AV260" s="407"/>
      <c r="AW260" s="407"/>
      <c r="AX260" s="407"/>
      <c r="AY260" s="407"/>
      <c r="AZ260" s="407"/>
      <c r="BA260" s="352">
        <f>SUM(E260:AZ260)</f>
        <v>-2749024.8067777134</v>
      </c>
      <c r="BB260" s="352">
        <f>+BA260+D260</f>
        <v>532130123.8299951</v>
      </c>
      <c r="BC260" s="82" t="s">
        <v>41</v>
      </c>
      <c r="BD260" s="356"/>
      <c r="BE260" s="82"/>
    </row>
    <row r="261" spans="1:57" outlineLevel="1" x14ac:dyDescent="0.25">
      <c r="A261" s="394">
        <f>ROW()</f>
        <v>261</v>
      </c>
      <c r="B261" s="349" t="s">
        <v>83</v>
      </c>
      <c r="C261" s="350" t="s">
        <v>164</v>
      </c>
      <c r="D261" s="357">
        <f>+BB200</f>
        <v>0</v>
      </c>
      <c r="E261" s="408"/>
      <c r="F261" s="408"/>
      <c r="G261" s="408"/>
      <c r="H261" s="408"/>
      <c r="I261" s="408"/>
      <c r="J261" s="408"/>
      <c r="K261" s="408"/>
      <c r="L261" s="408"/>
      <c r="M261" s="408"/>
      <c r="N261" s="408"/>
      <c r="O261" s="408"/>
      <c r="P261" s="408"/>
      <c r="Q261" s="408"/>
      <c r="R261" s="408"/>
      <c r="S261" s="408"/>
      <c r="T261" s="408"/>
      <c r="U261" s="408"/>
      <c r="V261" s="408"/>
      <c r="W261" s="408"/>
      <c r="X261" s="408"/>
      <c r="Y261" s="408"/>
      <c r="Z261" s="408"/>
      <c r="AA261" s="408"/>
      <c r="AB261" s="408"/>
      <c r="AC261" s="408"/>
      <c r="AD261" s="408"/>
      <c r="AE261" s="408"/>
      <c r="AF261" s="408"/>
      <c r="AG261" s="408"/>
      <c r="AH261" s="408"/>
      <c r="AI261" s="408"/>
      <c r="AJ261" s="408"/>
      <c r="AK261" s="408"/>
      <c r="AL261" s="408"/>
      <c r="AM261" s="408"/>
      <c r="AN261" s="408"/>
      <c r="AO261" s="408"/>
      <c r="AP261" s="408"/>
      <c r="AQ261" s="408"/>
      <c r="AR261" s="408"/>
      <c r="AS261" s="408"/>
      <c r="AT261" s="408"/>
      <c r="AU261" s="408"/>
      <c r="AV261" s="408"/>
      <c r="AW261" s="408"/>
      <c r="AX261" s="408"/>
      <c r="AY261" s="408"/>
      <c r="AZ261" s="408"/>
      <c r="BA261" s="357">
        <f>SUM(E261:AZ261)</f>
        <v>0</v>
      </c>
      <c r="BB261" s="357">
        <f>+BA261+D261</f>
        <v>0</v>
      </c>
      <c r="BC261" s="82" t="s">
        <v>41</v>
      </c>
      <c r="BD261" s="356"/>
      <c r="BE261" s="82"/>
    </row>
    <row r="262" spans="1:57" outlineLevel="1" x14ac:dyDescent="0.25">
      <c r="A262" s="394">
        <f>ROW()</f>
        <v>262</v>
      </c>
      <c r="B262" s="349" t="s">
        <v>84</v>
      </c>
      <c r="C262" s="350" t="s">
        <v>164</v>
      </c>
      <c r="D262" s="357">
        <f>+BB201</f>
        <v>0</v>
      </c>
      <c r="E262" s="408"/>
      <c r="F262" s="408"/>
      <c r="G262" s="408"/>
      <c r="H262" s="408"/>
      <c r="I262" s="408"/>
      <c r="J262" s="408"/>
      <c r="K262" s="408"/>
      <c r="L262" s="408"/>
      <c r="M262" s="408"/>
      <c r="N262" s="408"/>
      <c r="O262" s="408"/>
      <c r="P262" s="408"/>
      <c r="Q262" s="408"/>
      <c r="R262" s="408"/>
      <c r="S262" s="408"/>
      <c r="T262" s="408"/>
      <c r="U262" s="408"/>
      <c r="V262" s="408"/>
      <c r="W262" s="408"/>
      <c r="X262" s="408"/>
      <c r="Y262" s="408"/>
      <c r="Z262" s="408"/>
      <c r="AA262" s="408"/>
      <c r="AB262" s="408"/>
      <c r="AC262" s="408"/>
      <c r="AD262" s="408"/>
      <c r="AE262" s="408"/>
      <c r="AF262" s="408"/>
      <c r="AG262" s="408"/>
      <c r="AH262" s="408"/>
      <c r="AI262" s="408"/>
      <c r="AJ262" s="408"/>
      <c r="AK262" s="408"/>
      <c r="AL262" s="408"/>
      <c r="AM262" s="408"/>
      <c r="AN262" s="408"/>
      <c r="AO262" s="408"/>
      <c r="AP262" s="408"/>
      <c r="AQ262" s="408"/>
      <c r="AR262" s="408"/>
      <c r="AS262" s="408"/>
      <c r="AT262" s="408"/>
      <c r="AU262" s="408"/>
      <c r="AV262" s="408"/>
      <c r="AW262" s="408"/>
      <c r="AX262" s="408"/>
      <c r="AY262" s="408"/>
      <c r="AZ262" s="408"/>
      <c r="BA262" s="357">
        <f>SUM(E262:AZ262)</f>
        <v>0</v>
      </c>
      <c r="BB262" s="357">
        <f>+BA262+D262</f>
        <v>0</v>
      </c>
      <c r="BC262" s="82" t="s">
        <v>41</v>
      </c>
      <c r="BD262" s="356"/>
      <c r="BE262" s="82"/>
    </row>
    <row r="263" spans="1:57" outlineLevel="1" x14ac:dyDescent="0.25">
      <c r="A263" s="394">
        <f>ROW()</f>
        <v>263</v>
      </c>
      <c r="B263" s="349" t="s">
        <v>85</v>
      </c>
      <c r="C263" s="350" t="s">
        <v>164</v>
      </c>
      <c r="D263" s="357">
        <f>+BB202</f>
        <v>-604789.78244638466</v>
      </c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08"/>
      <c r="V263" s="408"/>
      <c r="W263" s="408"/>
      <c r="X263" s="408"/>
      <c r="Y263" s="408"/>
      <c r="Z263" s="408"/>
      <c r="AA263" s="408"/>
      <c r="AB263" s="408"/>
      <c r="AC263" s="408"/>
      <c r="AD263" s="408"/>
      <c r="AE263" s="408"/>
      <c r="AF263" s="408"/>
      <c r="AG263" s="408"/>
      <c r="AH263" s="408"/>
      <c r="AI263" s="408"/>
      <c r="AJ263" s="408"/>
      <c r="AK263" s="408"/>
      <c r="AL263" s="408"/>
      <c r="AM263" s="408"/>
      <c r="AN263" s="408"/>
      <c r="AO263" s="408"/>
      <c r="AP263" s="408"/>
      <c r="AQ263" s="408">
        <f>-'SEF-36 pg 34-36'!CG33-'SEF-36 pg 34-36'!CG36</f>
        <v>2630462.4217455317</v>
      </c>
      <c r="AR263" s="408"/>
      <c r="AS263" s="408"/>
      <c r="AT263" s="408"/>
      <c r="AU263" s="408"/>
      <c r="AV263" s="408"/>
      <c r="AW263" s="408"/>
      <c r="AX263" s="408"/>
      <c r="AY263" s="408"/>
      <c r="AZ263" s="408"/>
      <c r="BA263" s="357">
        <f>SUM(E263:AZ263)</f>
        <v>2630462.4217455317</v>
      </c>
      <c r="BB263" s="357">
        <f>+BA263+D263</f>
        <v>2025672.6392991471</v>
      </c>
      <c r="BC263" s="82" t="s">
        <v>41</v>
      </c>
      <c r="BD263" s="356"/>
      <c r="BE263" s="82"/>
    </row>
    <row r="264" spans="1:57" outlineLevel="1" x14ac:dyDescent="0.25">
      <c r="A264" s="394">
        <f>ROW()</f>
        <v>264</v>
      </c>
      <c r="B264" s="349" t="s">
        <v>86</v>
      </c>
      <c r="C264" s="350" t="s">
        <v>164</v>
      </c>
      <c r="D264" s="359">
        <f t="shared" ref="D264:AR264" si="64">SUM(D260:D263)</f>
        <v>534274358.85432643</v>
      </c>
      <c r="E264" s="410">
        <f t="shared" si="64"/>
        <v>-2749024.8067777134</v>
      </c>
      <c r="F264" s="410">
        <f t="shared" si="64"/>
        <v>0</v>
      </c>
      <c r="G264" s="410">
        <f t="shared" si="64"/>
        <v>0</v>
      </c>
      <c r="H264" s="410">
        <f t="shared" si="64"/>
        <v>0</v>
      </c>
      <c r="I264" s="410">
        <f t="shared" si="64"/>
        <v>0</v>
      </c>
      <c r="J264" s="410">
        <f t="shared" si="64"/>
        <v>0</v>
      </c>
      <c r="K264" s="410">
        <f t="shared" si="64"/>
        <v>0</v>
      </c>
      <c r="L264" s="410">
        <f t="shared" si="64"/>
        <v>0</v>
      </c>
      <c r="M264" s="410">
        <f t="shared" si="64"/>
        <v>0</v>
      </c>
      <c r="N264" s="410">
        <f t="shared" si="64"/>
        <v>0</v>
      </c>
      <c r="O264" s="410">
        <f t="shared" si="64"/>
        <v>0</v>
      </c>
      <c r="P264" s="410">
        <f t="shared" si="64"/>
        <v>0</v>
      </c>
      <c r="Q264" s="410">
        <f t="shared" si="64"/>
        <v>0</v>
      </c>
      <c r="R264" s="410">
        <f t="shared" si="64"/>
        <v>0</v>
      </c>
      <c r="S264" s="410">
        <f t="shared" si="64"/>
        <v>0</v>
      </c>
      <c r="T264" s="410">
        <f t="shared" si="64"/>
        <v>0</v>
      </c>
      <c r="U264" s="410">
        <f t="shared" si="64"/>
        <v>0</v>
      </c>
      <c r="V264" s="410">
        <f t="shared" si="64"/>
        <v>0</v>
      </c>
      <c r="W264" s="410">
        <f t="shared" si="64"/>
        <v>0</v>
      </c>
      <c r="X264" s="410">
        <f t="shared" si="64"/>
        <v>0</v>
      </c>
      <c r="Y264" s="410">
        <f t="shared" si="64"/>
        <v>0</v>
      </c>
      <c r="Z264" s="410">
        <f t="shared" si="64"/>
        <v>0</v>
      </c>
      <c r="AA264" s="410">
        <f t="shared" si="64"/>
        <v>0</v>
      </c>
      <c r="AB264" s="410">
        <f t="shared" si="64"/>
        <v>0</v>
      </c>
      <c r="AC264" s="410">
        <f t="shared" si="64"/>
        <v>0</v>
      </c>
      <c r="AD264" s="410">
        <f t="shared" si="64"/>
        <v>0</v>
      </c>
      <c r="AE264" s="410">
        <f t="shared" si="64"/>
        <v>0</v>
      </c>
      <c r="AF264" s="410">
        <f t="shared" si="64"/>
        <v>0</v>
      </c>
      <c r="AG264" s="410">
        <f t="shared" si="64"/>
        <v>0</v>
      </c>
      <c r="AH264" s="410">
        <f t="shared" si="64"/>
        <v>0</v>
      </c>
      <c r="AI264" s="410">
        <f t="shared" si="64"/>
        <v>0</v>
      </c>
      <c r="AJ264" s="410">
        <f t="shared" si="64"/>
        <v>0</v>
      </c>
      <c r="AK264" s="410">
        <f t="shared" si="64"/>
        <v>0</v>
      </c>
      <c r="AL264" s="410">
        <f t="shared" si="64"/>
        <v>0</v>
      </c>
      <c r="AM264" s="410">
        <f t="shared" si="64"/>
        <v>0</v>
      </c>
      <c r="AN264" s="410">
        <f t="shared" si="64"/>
        <v>0</v>
      </c>
      <c r="AO264" s="410">
        <f t="shared" si="64"/>
        <v>0</v>
      </c>
      <c r="AP264" s="410">
        <f t="shared" si="64"/>
        <v>0</v>
      </c>
      <c r="AQ264" s="410">
        <f t="shared" si="64"/>
        <v>2630462.4217455317</v>
      </c>
      <c r="AR264" s="410">
        <f t="shared" si="64"/>
        <v>0</v>
      </c>
      <c r="AS264" s="410"/>
      <c r="AT264" s="410"/>
      <c r="AU264" s="410"/>
      <c r="AV264" s="410"/>
      <c r="AW264" s="410"/>
      <c r="AX264" s="410"/>
      <c r="AY264" s="410"/>
      <c r="AZ264" s="410"/>
      <c r="BA264" s="359">
        <f>SUM(BA260:BA263)</f>
        <v>-118562.38503218163</v>
      </c>
      <c r="BB264" s="359">
        <f>SUM(BB260:BB263)</f>
        <v>534155796.46929425</v>
      </c>
      <c r="BC264" s="82" t="s">
        <v>41</v>
      </c>
      <c r="BD264" s="356"/>
      <c r="BE264" s="82"/>
    </row>
    <row r="265" spans="1:57" outlineLevel="1" x14ac:dyDescent="0.25">
      <c r="A265" s="394">
        <f>ROW()</f>
        <v>265</v>
      </c>
      <c r="B265" s="363"/>
      <c r="C265" s="350" t="s">
        <v>164</v>
      </c>
      <c r="D265" s="357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08"/>
      <c r="V265" s="408"/>
      <c r="W265" s="408"/>
      <c r="X265" s="408"/>
      <c r="Y265" s="408"/>
      <c r="Z265" s="408"/>
      <c r="AA265" s="408"/>
      <c r="AB265" s="408"/>
      <c r="AC265" s="408"/>
      <c r="AD265" s="408"/>
      <c r="AE265" s="408"/>
      <c r="AF265" s="408"/>
      <c r="AG265" s="408"/>
      <c r="AH265" s="408"/>
      <c r="AI265" s="408"/>
      <c r="AJ265" s="408"/>
      <c r="AK265" s="408"/>
      <c r="AL265" s="408"/>
      <c r="AM265" s="408"/>
      <c r="AN265" s="408"/>
      <c r="AO265" s="408"/>
      <c r="AP265" s="408"/>
      <c r="AQ265" s="408"/>
      <c r="AR265" s="408"/>
      <c r="AS265" s="408"/>
      <c r="AT265" s="408"/>
      <c r="AU265" s="408"/>
      <c r="AV265" s="408"/>
      <c r="AW265" s="408"/>
      <c r="AX265" s="408"/>
      <c r="AY265" s="408"/>
      <c r="AZ265" s="408"/>
      <c r="BA265" s="357"/>
      <c r="BB265" s="357"/>
      <c r="BC265" s="82" t="s">
        <v>41</v>
      </c>
      <c r="BD265" s="356"/>
      <c r="BE265" s="82"/>
    </row>
    <row r="266" spans="1:57" outlineLevel="1" x14ac:dyDescent="0.25">
      <c r="A266" s="394">
        <f>ROW()</f>
        <v>266</v>
      </c>
      <c r="B266" s="349" t="s">
        <v>87</v>
      </c>
      <c r="C266" s="350" t="s">
        <v>164</v>
      </c>
      <c r="D266" s="351"/>
      <c r="E266" s="411"/>
      <c r="F266" s="411"/>
      <c r="G266" s="411"/>
      <c r="H266" s="411"/>
      <c r="I266" s="411"/>
      <c r="J266" s="411"/>
      <c r="K266" s="411"/>
      <c r="L266" s="411"/>
      <c r="M266" s="411"/>
      <c r="N266" s="411"/>
      <c r="O266" s="411"/>
      <c r="P266" s="411"/>
      <c r="Q266" s="411"/>
      <c r="R266" s="411"/>
      <c r="S266" s="411"/>
      <c r="T266" s="411"/>
      <c r="U266" s="411"/>
      <c r="V266" s="411"/>
      <c r="W266" s="411"/>
      <c r="X266" s="411"/>
      <c r="Y266" s="411"/>
      <c r="Z266" s="411"/>
      <c r="AA266" s="411"/>
      <c r="AB266" s="411"/>
      <c r="AC266" s="411"/>
      <c r="AD266" s="411"/>
      <c r="AE266" s="411"/>
      <c r="AF266" s="411"/>
      <c r="AG266" s="411"/>
      <c r="AH266" s="411"/>
      <c r="AI266" s="411"/>
      <c r="AJ266" s="411"/>
      <c r="AK266" s="411"/>
      <c r="AL266" s="411"/>
      <c r="AM266" s="411"/>
      <c r="AN266" s="411"/>
      <c r="AO266" s="411"/>
      <c r="AP266" s="411"/>
      <c r="AQ266" s="411"/>
      <c r="AR266" s="411"/>
      <c r="AS266" s="411"/>
      <c r="AT266" s="411"/>
      <c r="AU266" s="411"/>
      <c r="AV266" s="411"/>
      <c r="AW266" s="411"/>
      <c r="AX266" s="411"/>
      <c r="AY266" s="411"/>
      <c r="AZ266" s="411"/>
      <c r="BA266" s="351"/>
      <c r="BB266" s="351"/>
      <c r="BC266" s="82" t="s">
        <v>41</v>
      </c>
      <c r="BD266" s="356"/>
      <c r="BE266" s="82"/>
    </row>
    <row r="267" spans="1:57" outlineLevel="1" x14ac:dyDescent="0.25">
      <c r="A267" s="394">
        <f>ROW()</f>
        <v>267</v>
      </c>
      <c r="B267" s="365"/>
      <c r="C267" s="350" t="s">
        <v>164</v>
      </c>
      <c r="D267" s="351"/>
      <c r="E267" s="411"/>
      <c r="F267" s="411"/>
      <c r="G267" s="411"/>
      <c r="H267" s="411"/>
      <c r="I267" s="411"/>
      <c r="J267" s="411"/>
      <c r="K267" s="411"/>
      <c r="L267" s="411"/>
      <c r="M267" s="411"/>
      <c r="N267" s="411"/>
      <c r="O267" s="411"/>
      <c r="P267" s="411"/>
      <c r="Q267" s="411"/>
      <c r="R267" s="411"/>
      <c r="S267" s="411"/>
      <c r="T267" s="411"/>
      <c r="U267" s="411"/>
      <c r="V267" s="411"/>
      <c r="W267" s="411"/>
      <c r="X267" s="411"/>
      <c r="Y267" s="411"/>
      <c r="Z267" s="411"/>
      <c r="AA267" s="411"/>
      <c r="AB267" s="411"/>
      <c r="AC267" s="411"/>
      <c r="AD267" s="411"/>
      <c r="AE267" s="411"/>
      <c r="AF267" s="411"/>
      <c r="AG267" s="411"/>
      <c r="AH267" s="411"/>
      <c r="AI267" s="411"/>
      <c r="AJ267" s="411"/>
      <c r="AK267" s="411"/>
      <c r="AL267" s="411"/>
      <c r="AM267" s="411"/>
      <c r="AN267" s="411"/>
      <c r="AO267" s="411"/>
      <c r="AP267" s="411"/>
      <c r="AQ267" s="411"/>
      <c r="AR267" s="411"/>
      <c r="AS267" s="411"/>
      <c r="AT267" s="411"/>
      <c r="AU267" s="411"/>
      <c r="AV267" s="411"/>
      <c r="AW267" s="411"/>
      <c r="AX267" s="411"/>
      <c r="AY267" s="411"/>
      <c r="AZ267" s="411"/>
      <c r="BA267" s="351"/>
      <c r="BB267" s="351"/>
      <c r="BC267" s="82" t="s">
        <v>41</v>
      </c>
      <c r="BD267" s="356"/>
      <c r="BE267" s="82"/>
    </row>
    <row r="268" spans="1:57" outlineLevel="1" x14ac:dyDescent="0.25">
      <c r="A268" s="394">
        <f>ROW()</f>
        <v>268</v>
      </c>
      <c r="B268" s="349" t="s">
        <v>88</v>
      </c>
      <c r="C268" s="350" t="s">
        <v>164</v>
      </c>
      <c r="D268" s="351"/>
      <c r="E268" s="411"/>
      <c r="F268" s="411"/>
      <c r="G268" s="411"/>
      <c r="H268" s="411"/>
      <c r="I268" s="411"/>
      <c r="J268" s="411"/>
      <c r="K268" s="411"/>
      <c r="L268" s="411"/>
      <c r="M268" s="411"/>
      <c r="N268" s="411"/>
      <c r="O268" s="411"/>
      <c r="P268" s="411"/>
      <c r="Q268" s="411"/>
      <c r="R268" s="411"/>
      <c r="S268" s="411"/>
      <c r="T268" s="411"/>
      <c r="U268" s="411"/>
      <c r="V268" s="411"/>
      <c r="W268" s="411"/>
      <c r="X268" s="411"/>
      <c r="Y268" s="411"/>
      <c r="Z268" s="411"/>
      <c r="AA268" s="411"/>
      <c r="AB268" s="411"/>
      <c r="AC268" s="411"/>
      <c r="AD268" s="411"/>
      <c r="AE268" s="411"/>
      <c r="AF268" s="411"/>
      <c r="AG268" s="411"/>
      <c r="AH268" s="411"/>
      <c r="AI268" s="411"/>
      <c r="AJ268" s="411"/>
      <c r="AK268" s="411"/>
      <c r="AL268" s="411"/>
      <c r="AM268" s="411"/>
      <c r="AN268" s="411"/>
      <c r="AO268" s="411"/>
      <c r="AP268" s="411"/>
      <c r="AQ268" s="411"/>
      <c r="AR268" s="411"/>
      <c r="AS268" s="1902">
        <f>+'SEF-34 pg 2-36'!GM21</f>
        <v>0</v>
      </c>
      <c r="AT268" s="1902">
        <f>+'SEF-34 pg 2-36'!GN21</f>
        <v>0</v>
      </c>
      <c r="AU268" s="1902">
        <f>+'SEF-34 pg 2-36'!GO21</f>
        <v>0</v>
      </c>
      <c r="AV268" s="1902">
        <f>+'SEF-34 pg 2-36'!GP21</f>
        <v>0</v>
      </c>
      <c r="AW268" s="1902">
        <f>+'SEF-34 pg 2-36'!GQ21</f>
        <v>0</v>
      </c>
      <c r="AX268" s="1902">
        <f>+'SEF-34 pg 2-36'!GR21</f>
        <v>0</v>
      </c>
      <c r="AY268" s="1902">
        <f>+'SEF-34 pg 2-36'!GS21</f>
        <v>0</v>
      </c>
      <c r="AZ268" s="1902">
        <f>+'SEF-34 pg 2-36'!GT21</f>
        <v>0</v>
      </c>
      <c r="BA268" s="351"/>
      <c r="BB268" s="351"/>
      <c r="BC268" s="82" t="s">
        <v>41</v>
      </c>
      <c r="BD268" s="356"/>
      <c r="BE268" s="82"/>
    </row>
    <row r="269" spans="1:57" outlineLevel="1" x14ac:dyDescent="0.25">
      <c r="A269" s="394">
        <f>ROW()</f>
        <v>269</v>
      </c>
      <c r="B269" s="349" t="s">
        <v>89</v>
      </c>
      <c r="C269" s="350" t="s">
        <v>164</v>
      </c>
      <c r="D269" s="366">
        <f>+BB208</f>
        <v>0</v>
      </c>
      <c r="E269" s="412"/>
      <c r="F269" s="412"/>
      <c r="G269" s="412"/>
      <c r="H269" s="412"/>
      <c r="I269" s="412"/>
      <c r="J269" s="412"/>
      <c r="K269" s="412"/>
      <c r="L269" s="412"/>
      <c r="M269" s="412"/>
      <c r="N269" s="412"/>
      <c r="O269" s="412"/>
      <c r="P269" s="412"/>
      <c r="Q269" s="412"/>
      <c r="R269" s="412"/>
      <c r="S269" s="412"/>
      <c r="T269" s="412"/>
      <c r="U269" s="412"/>
      <c r="V269" s="412"/>
      <c r="W269" s="412"/>
      <c r="X269" s="412"/>
      <c r="Y269" s="412"/>
      <c r="Z269" s="412"/>
      <c r="AA269" s="412"/>
      <c r="AB269" s="412"/>
      <c r="AC269" s="412"/>
      <c r="AD269" s="412"/>
      <c r="AE269" s="412"/>
      <c r="AF269" s="412"/>
      <c r="AG269" s="412"/>
      <c r="AH269" s="412"/>
      <c r="AI269" s="412"/>
      <c r="AJ269" s="412"/>
      <c r="AK269" s="412"/>
      <c r="AL269" s="412"/>
      <c r="AM269" s="412"/>
      <c r="AN269" s="412"/>
      <c r="AO269" s="412"/>
      <c r="AP269" s="412"/>
      <c r="AQ269" s="412"/>
      <c r="AR269" s="412"/>
      <c r="AS269" s="412">
        <f>+'SEF-34 pg 2-36'!GM22</f>
        <v>0</v>
      </c>
      <c r="AT269" s="412">
        <f>+'SEF-34 pg 2-36'!GN22</f>
        <v>0</v>
      </c>
      <c r="AU269" s="412">
        <f>+'SEF-34 pg 2-36'!GO22</f>
        <v>0</v>
      </c>
      <c r="AV269" s="412">
        <f>+'SEF-34 pg 2-36'!GP22</f>
        <v>0</v>
      </c>
      <c r="AW269" s="412">
        <f>+'SEF-34 pg 2-36'!GQ22</f>
        <v>0</v>
      </c>
      <c r="AX269" s="412">
        <f>+'SEF-34 pg 2-36'!GR22</f>
        <v>0</v>
      </c>
      <c r="AY269" s="412">
        <f>+'SEF-34 pg 2-36'!GS22</f>
        <v>0</v>
      </c>
      <c r="AZ269" s="412">
        <f>+'SEF-34 pg 2-36'!GT22</f>
        <v>0</v>
      </c>
      <c r="BA269" s="366">
        <f>SUM(E269:AZ269)</f>
        <v>0</v>
      </c>
      <c r="BB269" s="366">
        <f>+BA269+D269</f>
        <v>0</v>
      </c>
      <c r="BC269" s="82" t="s">
        <v>41</v>
      </c>
      <c r="BD269" s="356"/>
      <c r="BE269" s="82"/>
    </row>
    <row r="270" spans="1:57" outlineLevel="1" x14ac:dyDescent="0.25">
      <c r="A270" s="394">
        <f>ROW()</f>
        <v>270</v>
      </c>
      <c r="B270" s="349" t="s">
        <v>90</v>
      </c>
      <c r="C270" s="350" t="s">
        <v>164</v>
      </c>
      <c r="D270" s="357">
        <f>+BB209</f>
        <v>0</v>
      </c>
      <c r="E270" s="408"/>
      <c r="F270" s="408"/>
      <c r="G270" s="408"/>
      <c r="H270" s="408"/>
      <c r="I270" s="408"/>
      <c r="J270" s="408"/>
      <c r="K270" s="408"/>
      <c r="L270" s="408"/>
      <c r="M270" s="408"/>
      <c r="N270" s="408"/>
      <c r="O270" s="408"/>
      <c r="P270" s="408"/>
      <c r="Q270" s="408"/>
      <c r="R270" s="408"/>
      <c r="S270" s="408"/>
      <c r="T270" s="408"/>
      <c r="U270" s="408"/>
      <c r="V270" s="408"/>
      <c r="W270" s="408"/>
      <c r="X270" s="408"/>
      <c r="Y270" s="408"/>
      <c r="Z270" s="408"/>
      <c r="AA270" s="408"/>
      <c r="AB270" s="408"/>
      <c r="AC270" s="408"/>
      <c r="AD270" s="408"/>
      <c r="AE270" s="408"/>
      <c r="AF270" s="408"/>
      <c r="AG270" s="408"/>
      <c r="AH270" s="408"/>
      <c r="AI270" s="408"/>
      <c r="AJ270" s="408"/>
      <c r="AK270" s="408"/>
      <c r="AL270" s="408"/>
      <c r="AM270" s="408"/>
      <c r="AN270" s="408"/>
      <c r="AO270" s="408"/>
      <c r="AP270" s="408"/>
      <c r="AQ270" s="408"/>
      <c r="AR270" s="408"/>
      <c r="AS270" s="408">
        <f>+'SEF-34 pg 2-36'!GM23</f>
        <v>0</v>
      </c>
      <c r="AT270" s="408">
        <f>+'SEF-34 pg 2-36'!GN23</f>
        <v>0</v>
      </c>
      <c r="AU270" s="408">
        <f>+'SEF-34 pg 2-36'!GO23</f>
        <v>0</v>
      </c>
      <c r="AV270" s="408">
        <f>+'SEF-34 pg 2-36'!GP23</f>
        <v>0</v>
      </c>
      <c r="AW270" s="408">
        <f>+'SEF-34 pg 2-36'!GQ23</f>
        <v>0</v>
      </c>
      <c r="AX270" s="408">
        <f>+'SEF-34 pg 2-36'!GR23</f>
        <v>0</v>
      </c>
      <c r="AY270" s="408">
        <f>+'SEF-34 pg 2-36'!GS23</f>
        <v>0</v>
      </c>
      <c r="AZ270" s="408">
        <f>+'SEF-34 pg 2-36'!GT23</f>
        <v>0</v>
      </c>
      <c r="BA270" s="357">
        <f>SUM(E270:AZ270)</f>
        <v>0</v>
      </c>
      <c r="BB270" s="357">
        <f>+BA270+D270</f>
        <v>0</v>
      </c>
      <c r="BC270" s="82" t="s">
        <v>41</v>
      </c>
      <c r="BD270" s="356"/>
      <c r="BE270" s="82"/>
    </row>
    <row r="271" spans="1:57" outlineLevel="1" x14ac:dyDescent="0.25">
      <c r="A271" s="394">
        <f>ROW()</f>
        <v>271</v>
      </c>
      <c r="B271" s="349" t="s">
        <v>91</v>
      </c>
      <c r="C271" s="350" t="s">
        <v>164</v>
      </c>
      <c r="D271" s="357">
        <f>+BB210</f>
        <v>0</v>
      </c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08"/>
      <c r="V271" s="408"/>
      <c r="W271" s="408"/>
      <c r="X271" s="408"/>
      <c r="Y271" s="408"/>
      <c r="Z271" s="408"/>
      <c r="AA271" s="408"/>
      <c r="AB271" s="408"/>
      <c r="AC271" s="408"/>
      <c r="AD271" s="408"/>
      <c r="AE271" s="408"/>
      <c r="AF271" s="408"/>
      <c r="AG271" s="408"/>
      <c r="AH271" s="408"/>
      <c r="AI271" s="408"/>
      <c r="AJ271" s="408"/>
      <c r="AK271" s="408"/>
      <c r="AL271" s="408"/>
      <c r="AM271" s="408"/>
      <c r="AN271" s="408"/>
      <c r="AO271" s="408"/>
      <c r="AP271" s="408"/>
      <c r="AQ271" s="408"/>
      <c r="AR271" s="408"/>
      <c r="AS271" s="408">
        <f>+'SEF-34 pg 2-36'!GM24</f>
        <v>0</v>
      </c>
      <c r="AT271" s="408">
        <f>+'SEF-34 pg 2-36'!GN24</f>
        <v>0</v>
      </c>
      <c r="AU271" s="408">
        <f>+'SEF-34 pg 2-36'!GO24</f>
        <v>0</v>
      </c>
      <c r="AV271" s="408">
        <f>+'SEF-34 pg 2-36'!GP24</f>
        <v>0</v>
      </c>
      <c r="AW271" s="408">
        <f>+'SEF-34 pg 2-36'!GQ24</f>
        <v>0</v>
      </c>
      <c r="AX271" s="408">
        <f>+'SEF-34 pg 2-36'!GR24</f>
        <v>0</v>
      </c>
      <c r="AY271" s="408">
        <f>+'SEF-34 pg 2-36'!GS24</f>
        <v>0</v>
      </c>
      <c r="AZ271" s="408">
        <f>+'SEF-34 pg 2-36'!GT24</f>
        <v>0</v>
      </c>
      <c r="BA271" s="357">
        <f>SUM(E271:AZ271)</f>
        <v>0</v>
      </c>
      <c r="BB271" s="357">
        <f>+BA271+D271</f>
        <v>0</v>
      </c>
      <c r="BC271" s="82" t="s">
        <v>41</v>
      </c>
      <c r="BD271" s="356"/>
      <c r="BE271" s="82"/>
    </row>
    <row r="272" spans="1:57" outlineLevel="1" x14ac:dyDescent="0.25">
      <c r="A272" s="394">
        <f>ROW()</f>
        <v>272</v>
      </c>
      <c r="B272" s="365" t="s">
        <v>92</v>
      </c>
      <c r="C272" s="350" t="s">
        <v>164</v>
      </c>
      <c r="D272" s="357">
        <f>+BB211</f>
        <v>0</v>
      </c>
      <c r="E272" s="408"/>
      <c r="F272" s="408"/>
      <c r="G272" s="408"/>
      <c r="H272" s="408"/>
      <c r="I272" s="408"/>
      <c r="J272" s="408"/>
      <c r="K272" s="408"/>
      <c r="L272" s="408"/>
      <c r="M272" s="408"/>
      <c r="N272" s="408"/>
      <c r="O272" s="408"/>
      <c r="P272" s="408"/>
      <c r="Q272" s="408"/>
      <c r="R272" s="408"/>
      <c r="S272" s="408"/>
      <c r="T272" s="408"/>
      <c r="U272" s="408"/>
      <c r="V272" s="408"/>
      <c r="W272" s="408"/>
      <c r="X272" s="408"/>
      <c r="Y272" s="408"/>
      <c r="Z272" s="408"/>
      <c r="AA272" s="408"/>
      <c r="AB272" s="408"/>
      <c r="AC272" s="408"/>
      <c r="AD272" s="408"/>
      <c r="AE272" s="408"/>
      <c r="AF272" s="408"/>
      <c r="AG272" s="408"/>
      <c r="AH272" s="408"/>
      <c r="AI272" s="408"/>
      <c r="AJ272" s="408"/>
      <c r="AK272" s="408"/>
      <c r="AL272" s="408"/>
      <c r="AM272" s="408"/>
      <c r="AN272" s="408"/>
      <c r="AO272" s="408"/>
      <c r="AP272" s="408"/>
      <c r="AQ272" s="408"/>
      <c r="AR272" s="408"/>
      <c r="AS272" s="408">
        <f>+'SEF-34 pg 2-36'!GM25</f>
        <v>0</v>
      </c>
      <c r="AT272" s="408">
        <f>+'SEF-34 pg 2-36'!GN25</f>
        <v>0</v>
      </c>
      <c r="AU272" s="408">
        <f>+'SEF-34 pg 2-36'!GO25</f>
        <v>0</v>
      </c>
      <c r="AV272" s="408">
        <f>+'SEF-34 pg 2-36'!GP25</f>
        <v>0</v>
      </c>
      <c r="AW272" s="408">
        <f>+'SEF-34 pg 2-36'!GQ25</f>
        <v>0</v>
      </c>
      <c r="AX272" s="408">
        <f>+'SEF-34 pg 2-36'!GR25</f>
        <v>0</v>
      </c>
      <c r="AY272" s="408">
        <f>+'SEF-34 pg 2-36'!GS25</f>
        <v>0</v>
      </c>
      <c r="AZ272" s="408">
        <f>+'SEF-34 pg 2-36'!GT25</f>
        <v>0</v>
      </c>
      <c r="BA272" s="357">
        <f>SUM(E272:AZ272)</f>
        <v>0</v>
      </c>
      <c r="BB272" s="357">
        <f>+BA272+D272</f>
        <v>0</v>
      </c>
      <c r="BC272" s="82" t="s">
        <v>41</v>
      </c>
      <c r="BD272" s="356"/>
      <c r="BE272" s="82"/>
    </row>
    <row r="273" spans="1:57" outlineLevel="1" x14ac:dyDescent="0.25">
      <c r="A273" s="394">
        <f>ROW()</f>
        <v>273</v>
      </c>
      <c r="B273" s="349" t="s">
        <v>93</v>
      </c>
      <c r="C273" s="350" t="s">
        <v>164</v>
      </c>
      <c r="D273" s="367">
        <f t="shared" ref="D273:AR273" si="65">SUM(D268:D272)</f>
        <v>0</v>
      </c>
      <c r="E273" s="409">
        <f t="shared" si="65"/>
        <v>0</v>
      </c>
      <c r="F273" s="409">
        <f t="shared" si="65"/>
        <v>0</v>
      </c>
      <c r="G273" s="409">
        <f t="shared" si="65"/>
        <v>0</v>
      </c>
      <c r="H273" s="409">
        <f t="shared" si="65"/>
        <v>0</v>
      </c>
      <c r="I273" s="409">
        <f t="shared" si="65"/>
        <v>0</v>
      </c>
      <c r="J273" s="409">
        <f t="shared" si="65"/>
        <v>0</v>
      </c>
      <c r="K273" s="409">
        <f t="shared" si="65"/>
        <v>0</v>
      </c>
      <c r="L273" s="409">
        <f t="shared" si="65"/>
        <v>0</v>
      </c>
      <c r="M273" s="409">
        <f t="shared" si="65"/>
        <v>0</v>
      </c>
      <c r="N273" s="409">
        <f t="shared" si="65"/>
        <v>0</v>
      </c>
      <c r="O273" s="409">
        <f t="shared" si="65"/>
        <v>0</v>
      </c>
      <c r="P273" s="409">
        <f t="shared" si="65"/>
        <v>0</v>
      </c>
      <c r="Q273" s="409">
        <f t="shared" si="65"/>
        <v>0</v>
      </c>
      <c r="R273" s="409">
        <f t="shared" si="65"/>
        <v>0</v>
      </c>
      <c r="S273" s="409">
        <f t="shared" si="65"/>
        <v>0</v>
      </c>
      <c r="T273" s="409">
        <f t="shared" si="65"/>
        <v>0</v>
      </c>
      <c r="U273" s="409">
        <f t="shared" si="65"/>
        <v>0</v>
      </c>
      <c r="V273" s="409">
        <f t="shared" si="65"/>
        <v>0</v>
      </c>
      <c r="W273" s="409">
        <f t="shared" si="65"/>
        <v>0</v>
      </c>
      <c r="X273" s="409">
        <f t="shared" si="65"/>
        <v>0</v>
      </c>
      <c r="Y273" s="409">
        <f t="shared" si="65"/>
        <v>0</v>
      </c>
      <c r="Z273" s="409">
        <f t="shared" si="65"/>
        <v>0</v>
      </c>
      <c r="AA273" s="409">
        <f t="shared" si="65"/>
        <v>0</v>
      </c>
      <c r="AB273" s="409">
        <f t="shared" si="65"/>
        <v>0</v>
      </c>
      <c r="AC273" s="409">
        <f t="shared" si="65"/>
        <v>0</v>
      </c>
      <c r="AD273" s="409">
        <f t="shared" si="65"/>
        <v>0</v>
      </c>
      <c r="AE273" s="409">
        <f t="shared" si="65"/>
        <v>0</v>
      </c>
      <c r="AF273" s="409">
        <f t="shared" si="65"/>
        <v>0</v>
      </c>
      <c r="AG273" s="409">
        <f t="shared" si="65"/>
        <v>0</v>
      </c>
      <c r="AH273" s="409">
        <f t="shared" si="65"/>
        <v>0</v>
      </c>
      <c r="AI273" s="409">
        <f t="shared" si="65"/>
        <v>0</v>
      </c>
      <c r="AJ273" s="409">
        <f t="shared" si="65"/>
        <v>0</v>
      </c>
      <c r="AK273" s="409">
        <f t="shared" si="65"/>
        <v>0</v>
      </c>
      <c r="AL273" s="409">
        <f t="shared" si="65"/>
        <v>0</v>
      </c>
      <c r="AM273" s="368">
        <f t="shared" si="65"/>
        <v>0</v>
      </c>
      <c r="AN273" s="368">
        <f t="shared" si="65"/>
        <v>0</v>
      </c>
      <c r="AO273" s="368">
        <f t="shared" si="65"/>
        <v>0</v>
      </c>
      <c r="AP273" s="409">
        <f t="shared" si="65"/>
        <v>0</v>
      </c>
      <c r="AQ273" s="409">
        <f t="shared" si="65"/>
        <v>0</v>
      </c>
      <c r="AR273" s="409">
        <f t="shared" si="65"/>
        <v>0</v>
      </c>
      <c r="AS273" s="409"/>
      <c r="AT273" s="409"/>
      <c r="AU273" s="409"/>
      <c r="AV273" s="409"/>
      <c r="AW273" s="409"/>
      <c r="AX273" s="409"/>
      <c r="AY273" s="409"/>
      <c r="AZ273" s="409"/>
      <c r="BA273" s="367">
        <f>SUM(BA268:BA272)</f>
        <v>0</v>
      </c>
      <c r="BB273" s="367">
        <f>SUM(BB268:BB272)</f>
        <v>0</v>
      </c>
      <c r="BC273" s="82" t="s">
        <v>41</v>
      </c>
      <c r="BD273" s="356"/>
      <c r="BE273" s="82"/>
    </row>
    <row r="274" spans="1:57" outlineLevel="1" x14ac:dyDescent="0.25">
      <c r="A274" s="394">
        <f>ROW()</f>
        <v>274</v>
      </c>
      <c r="B274" s="349"/>
      <c r="C274" s="350" t="s">
        <v>164</v>
      </c>
      <c r="D274" s="366"/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/>
      <c r="P274" s="412"/>
      <c r="Q274" s="412"/>
      <c r="R274" s="412"/>
      <c r="S274" s="412"/>
      <c r="T274" s="412"/>
      <c r="U274" s="412"/>
      <c r="V274" s="412"/>
      <c r="W274" s="412"/>
      <c r="X274" s="412"/>
      <c r="Y274" s="412"/>
      <c r="Z274" s="412"/>
      <c r="AA274" s="412"/>
      <c r="AB274" s="412"/>
      <c r="AC274" s="412"/>
      <c r="AD274" s="412"/>
      <c r="AE274" s="412"/>
      <c r="AF274" s="412"/>
      <c r="AG274" s="412"/>
      <c r="AH274" s="412"/>
      <c r="AI274" s="412"/>
      <c r="AJ274" s="412"/>
      <c r="AK274" s="412"/>
      <c r="AL274" s="412"/>
      <c r="AM274" s="356"/>
      <c r="AN274" s="412"/>
      <c r="AO274" s="412"/>
      <c r="AP274" s="412"/>
      <c r="AQ274" s="412"/>
      <c r="AR274" s="412"/>
      <c r="AS274" s="412"/>
      <c r="AT274" s="412"/>
      <c r="AU274" s="412"/>
      <c r="AV274" s="412"/>
      <c r="AW274" s="412"/>
      <c r="AX274" s="412"/>
      <c r="AY274" s="412"/>
      <c r="AZ274" s="412"/>
      <c r="BA274" s="366"/>
      <c r="BB274" s="366"/>
      <c r="BC274" s="82" t="s">
        <v>41</v>
      </c>
      <c r="BD274" s="356"/>
      <c r="BE274" s="82"/>
    </row>
    <row r="275" spans="1:57" outlineLevel="1" x14ac:dyDescent="0.25">
      <c r="A275" s="394">
        <f>ROW()</f>
        <v>275</v>
      </c>
      <c r="B275" s="369" t="s">
        <v>94</v>
      </c>
      <c r="C275" s="350" t="s">
        <v>164</v>
      </c>
      <c r="D275" s="357">
        <f t="shared" ref="D275:D288" si="66">+BB214</f>
        <v>8236810.4740378801</v>
      </c>
      <c r="E275" s="412"/>
      <c r="F275" s="412"/>
      <c r="G275" s="412"/>
      <c r="H275" s="412"/>
      <c r="I275" s="412"/>
      <c r="J275" s="412"/>
      <c r="K275" s="412"/>
      <c r="L275" s="412"/>
      <c r="M275" s="412"/>
      <c r="N275" s="412"/>
      <c r="O275" s="412">
        <f>'SEF-36 pg 1-33, 37'!GK18+'SEF-36 pg 1-33, 37'!GK17+'SEF-36 pg 1-33, 37'!GK19</f>
        <v>141.28733078821278</v>
      </c>
      <c r="P275" s="412"/>
      <c r="Q275" s="412"/>
      <c r="R275" s="412"/>
      <c r="S275" s="412"/>
      <c r="T275" s="412"/>
      <c r="U275" s="412"/>
      <c r="V275" s="412"/>
      <c r="W275" s="412"/>
      <c r="X275" s="412"/>
      <c r="Y275" s="412"/>
      <c r="Z275" s="415">
        <f>'SEF-36 pg 1-33, 37'!OA$16</f>
        <v>720957.01860331092</v>
      </c>
      <c r="AA275" s="412"/>
      <c r="AB275" s="412"/>
      <c r="AC275" s="412"/>
      <c r="AD275" s="412"/>
      <c r="AE275" s="412"/>
      <c r="AF275" s="412"/>
      <c r="AG275" s="412"/>
      <c r="AH275" s="412"/>
      <c r="AI275" s="412"/>
      <c r="AJ275" s="412"/>
      <c r="AK275" s="412"/>
      <c r="AL275" s="412"/>
      <c r="AM275" s="408"/>
      <c r="AN275" s="412"/>
      <c r="AO275" s="412"/>
      <c r="AP275" s="412"/>
      <c r="AQ275" s="412"/>
      <c r="AR275" s="412"/>
      <c r="AS275" s="412"/>
      <c r="AT275" s="412"/>
      <c r="AU275" s="412"/>
      <c r="AV275" s="412"/>
      <c r="AW275" s="412"/>
      <c r="AX275" s="412"/>
      <c r="AY275" s="412"/>
      <c r="AZ275" s="412"/>
      <c r="BA275" s="357">
        <f t="shared" ref="BA275:BA288" si="67">SUM(E275:AZ275)</f>
        <v>721098.30593409913</v>
      </c>
      <c r="BB275" s="366">
        <f t="shared" ref="BB275:BB288" si="68">+BA275+D275</f>
        <v>8957908.7799719796</v>
      </c>
      <c r="BC275" s="82" t="s">
        <v>41</v>
      </c>
      <c r="BD275" s="356"/>
      <c r="BE275" s="82"/>
    </row>
    <row r="276" spans="1:57" outlineLevel="1" x14ac:dyDescent="0.25">
      <c r="A276" s="394">
        <f>ROW()</f>
        <v>276</v>
      </c>
      <c r="B276" s="349" t="s">
        <v>95</v>
      </c>
      <c r="C276" s="350" t="s">
        <v>164</v>
      </c>
      <c r="D276" s="357">
        <f t="shared" si="66"/>
        <v>0</v>
      </c>
      <c r="E276" s="408"/>
      <c r="F276" s="408"/>
      <c r="G276" s="408"/>
      <c r="H276" s="408"/>
      <c r="I276" s="408"/>
      <c r="J276" s="408"/>
      <c r="K276" s="408"/>
      <c r="L276" s="408"/>
      <c r="M276" s="408"/>
      <c r="N276" s="408"/>
      <c r="O276" s="408">
        <f>+'SEF-36 pg 1-33, 37'!GK20</f>
        <v>0</v>
      </c>
      <c r="P276" s="408"/>
      <c r="Q276" s="408"/>
      <c r="R276" s="408"/>
      <c r="S276" s="408"/>
      <c r="T276" s="408"/>
      <c r="U276" s="408"/>
      <c r="V276" s="408"/>
      <c r="W276" s="408"/>
      <c r="X276" s="408"/>
      <c r="Y276" s="408"/>
      <c r="Z276" s="415">
        <f>'SEF-36 pg 1-33, 37'!OA$17</f>
        <v>0</v>
      </c>
      <c r="AA276" s="408"/>
      <c r="AB276" s="408"/>
      <c r="AC276" s="408"/>
      <c r="AD276" s="408"/>
      <c r="AE276" s="408"/>
      <c r="AF276" s="408"/>
      <c r="AG276" s="408"/>
      <c r="AH276" s="408"/>
      <c r="AI276" s="408"/>
      <c r="AJ276" s="408"/>
      <c r="AK276" s="408"/>
      <c r="AL276" s="408"/>
      <c r="AM276" s="408"/>
      <c r="AN276" s="408"/>
      <c r="AO276" s="408"/>
      <c r="AP276" s="408"/>
      <c r="AQ276" s="408"/>
      <c r="AR276" s="408"/>
      <c r="AS276" s="408"/>
      <c r="AT276" s="408"/>
      <c r="AU276" s="408"/>
      <c r="AV276" s="408"/>
      <c r="AW276" s="408"/>
      <c r="AX276" s="408"/>
      <c r="AY276" s="408"/>
      <c r="AZ276" s="408"/>
      <c r="BA276" s="357">
        <f t="shared" si="67"/>
        <v>0</v>
      </c>
      <c r="BB276" s="357">
        <f t="shared" si="68"/>
        <v>0</v>
      </c>
      <c r="BC276" s="82" t="s">
        <v>41</v>
      </c>
      <c r="BD276" s="356"/>
      <c r="BE276" s="82"/>
    </row>
    <row r="277" spans="1:57" outlineLevel="1" x14ac:dyDescent="0.25">
      <c r="A277" s="394">
        <f>ROW()</f>
        <v>277</v>
      </c>
      <c r="B277" s="349" t="s">
        <v>96</v>
      </c>
      <c r="C277" s="350" t="s">
        <v>164</v>
      </c>
      <c r="D277" s="357">
        <f t="shared" si="66"/>
        <v>90914128.124596789</v>
      </c>
      <c r="E277" s="408"/>
      <c r="F277" s="408"/>
      <c r="G277" s="408"/>
      <c r="H277" s="408"/>
      <c r="I277" s="408"/>
      <c r="J277" s="408"/>
      <c r="K277" s="408"/>
      <c r="L277" s="408"/>
      <c r="M277" s="408"/>
      <c r="N277" s="408"/>
      <c r="O277" s="408">
        <f>+'SEF-36 pg 1-33, 37'!GK21</f>
        <v>844.07238474977203</v>
      </c>
      <c r="P277" s="408"/>
      <c r="Q277" s="408"/>
      <c r="R277" s="408"/>
      <c r="S277" s="408"/>
      <c r="T277" s="408"/>
      <c r="U277" s="408"/>
      <c r="V277" s="408"/>
      <c r="W277" s="408"/>
      <c r="X277" s="408"/>
      <c r="Y277" s="408"/>
      <c r="Z277" s="415">
        <f>'SEF-36 pg 1-33, 37'!OA$18</f>
        <v>-834660.83353322744</v>
      </c>
      <c r="AA277" s="408"/>
      <c r="AB277" s="408"/>
      <c r="AC277" s="408"/>
      <c r="AD277" s="408"/>
      <c r="AE277" s="408"/>
      <c r="AF277" s="408"/>
      <c r="AG277" s="408"/>
      <c r="AH277" s="408"/>
      <c r="AI277" s="408"/>
      <c r="AJ277" s="408"/>
      <c r="AK277" s="408"/>
      <c r="AL277" s="408"/>
      <c r="AM277" s="408"/>
      <c r="AN277" s="408"/>
      <c r="AO277" s="408"/>
      <c r="AP277" s="408"/>
      <c r="AQ277" s="408"/>
      <c r="AR277" s="408"/>
      <c r="AS277" s="408"/>
      <c r="AT277" s="408"/>
      <c r="AU277" s="408"/>
      <c r="AV277" s="408"/>
      <c r="AW277" s="408"/>
      <c r="AX277" s="408"/>
      <c r="AY277" s="408"/>
      <c r="AZ277" s="408"/>
      <c r="BA277" s="357">
        <f t="shared" si="67"/>
        <v>-833816.76114847767</v>
      </c>
      <c r="BB277" s="357">
        <f t="shared" si="68"/>
        <v>90080311.363448307</v>
      </c>
      <c r="BC277" s="82" t="s">
        <v>41</v>
      </c>
      <c r="BD277" s="356"/>
      <c r="BE277" s="82"/>
    </row>
    <row r="278" spans="1:57" outlineLevel="1" x14ac:dyDescent="0.25">
      <c r="A278" s="394">
        <f>ROW()</f>
        <v>278</v>
      </c>
      <c r="B278" s="349" t="s">
        <v>97</v>
      </c>
      <c r="C278" s="350" t="s">
        <v>164</v>
      </c>
      <c r="D278" s="357">
        <f t="shared" si="66"/>
        <v>16281246.644783083</v>
      </c>
      <c r="E278" s="408">
        <f>'SEF-36 pg 1-33, 37'!$M$64</f>
        <v>-7947.4307163943695</v>
      </c>
      <c r="F278" s="408"/>
      <c r="G278" s="408"/>
      <c r="H278" s="408"/>
      <c r="I278" s="408"/>
      <c r="J278" s="408"/>
      <c r="K278" s="408"/>
      <c r="L278" s="408"/>
      <c r="M278" s="408"/>
      <c r="N278" s="408"/>
      <c r="O278" s="408">
        <f>+'SEF-36 pg 1-33, 37'!GK22</f>
        <v>188.64828132116236</v>
      </c>
      <c r="P278" s="408"/>
      <c r="Q278" s="408"/>
      <c r="R278" s="408"/>
      <c r="S278" s="408"/>
      <c r="T278" s="408"/>
      <c r="U278" s="408"/>
      <c r="V278" s="408"/>
      <c r="W278" s="408"/>
      <c r="X278" s="408"/>
      <c r="Y278" s="408"/>
      <c r="Z278" s="415">
        <f>'SEF-36 pg 1-33, 37'!OA$19</f>
        <v>-1383595.037042575</v>
      </c>
      <c r="AA278" s="408"/>
      <c r="AB278" s="408"/>
      <c r="AC278" s="408"/>
      <c r="AD278" s="408"/>
      <c r="AE278" s="408"/>
      <c r="AF278" s="408"/>
      <c r="AG278" s="408"/>
      <c r="AH278" s="408"/>
      <c r="AI278" s="408"/>
      <c r="AJ278" s="408"/>
      <c r="AK278" s="408"/>
      <c r="AL278" s="408"/>
      <c r="AM278" s="408"/>
      <c r="AN278" s="408"/>
      <c r="AO278" s="408"/>
      <c r="AP278" s="408"/>
      <c r="AQ278" s="408"/>
      <c r="AR278" s="408"/>
      <c r="AS278" s="408"/>
      <c r="AT278" s="408"/>
      <c r="AU278" s="408"/>
      <c r="AV278" s="408"/>
      <c r="AW278" s="408"/>
      <c r="AX278" s="408"/>
      <c r="AY278" s="408"/>
      <c r="AZ278" s="408"/>
      <c r="BA278" s="357">
        <f t="shared" si="67"/>
        <v>-1391353.8194776482</v>
      </c>
      <c r="BB278" s="357">
        <f t="shared" si="68"/>
        <v>14889892.825305436</v>
      </c>
      <c r="BC278" s="82" t="s">
        <v>41</v>
      </c>
      <c r="BD278" s="356"/>
      <c r="BE278" s="82"/>
    </row>
    <row r="279" spans="1:57" outlineLevel="1" x14ac:dyDescent="0.25">
      <c r="A279" s="394">
        <f>ROW()</f>
        <v>279</v>
      </c>
      <c r="B279" s="349" t="s">
        <v>98</v>
      </c>
      <c r="C279" s="350" t="s">
        <v>164</v>
      </c>
      <c r="D279" s="357">
        <f t="shared" si="66"/>
        <v>1875042.5248052441</v>
      </c>
      <c r="E279" s="408"/>
      <c r="F279" s="408"/>
      <c r="G279" s="408"/>
      <c r="H279" s="408"/>
      <c r="I279" s="408"/>
      <c r="J279" s="408"/>
      <c r="K279" s="408"/>
      <c r="L279" s="408"/>
      <c r="M279" s="408"/>
      <c r="N279" s="408"/>
      <c r="O279" s="408">
        <f>+'SEF-36 pg 1-33, 37'!GK23+'SEF-36 pg 1-33, 37'!GK24</f>
        <v>32.527765172808813</v>
      </c>
      <c r="P279" s="408"/>
      <c r="Q279" s="408"/>
      <c r="R279" s="408"/>
      <c r="S279" s="408"/>
      <c r="T279" s="408"/>
      <c r="U279" s="408"/>
      <c r="V279" s="408"/>
      <c r="W279" s="408"/>
      <c r="X279" s="408"/>
      <c r="Y279" s="408"/>
      <c r="Z279" s="415">
        <f>'SEF-36 pg 1-33, 37'!OA$20</f>
        <v>-61313.328571709106</v>
      </c>
      <c r="AA279" s="408"/>
      <c r="AB279" s="408"/>
      <c r="AC279" s="408"/>
      <c r="AD279" s="408"/>
      <c r="AE279" s="408"/>
      <c r="AF279" s="408"/>
      <c r="AG279" s="408"/>
      <c r="AH279" s="408"/>
      <c r="AI279" s="408"/>
      <c r="AJ279" s="408"/>
      <c r="AK279" s="408"/>
      <c r="AL279" s="408"/>
      <c r="AM279" s="408"/>
      <c r="AN279" s="408"/>
      <c r="AO279" s="408"/>
      <c r="AP279" s="408"/>
      <c r="AQ279" s="408"/>
      <c r="AR279" s="408"/>
      <c r="AS279" s="408"/>
      <c r="AT279" s="408"/>
      <c r="AU279" s="408"/>
      <c r="AV279" s="408"/>
      <c r="AW279" s="408"/>
      <c r="AX279" s="408"/>
      <c r="AY279" s="408"/>
      <c r="AZ279" s="408"/>
      <c r="BA279" s="357">
        <f t="shared" si="67"/>
        <v>-61280.800806536296</v>
      </c>
      <c r="BB279" s="357">
        <f t="shared" si="68"/>
        <v>1813761.7239987077</v>
      </c>
      <c r="BC279" s="82" t="s">
        <v>41</v>
      </c>
      <c r="BD279" s="356"/>
      <c r="BE279" s="82"/>
    </row>
    <row r="280" spans="1:57" outlineLevel="1" x14ac:dyDescent="0.25">
      <c r="A280" s="394">
        <f>ROW()</f>
        <v>280</v>
      </c>
      <c r="B280" s="349" t="s">
        <v>99</v>
      </c>
      <c r="C280" s="350" t="s">
        <v>164</v>
      </c>
      <c r="D280" s="357">
        <f t="shared" si="66"/>
        <v>0</v>
      </c>
      <c r="E280" s="408"/>
      <c r="F280" s="408"/>
      <c r="G280" s="408"/>
      <c r="H280" s="408"/>
      <c r="I280" s="408"/>
      <c r="J280" s="408"/>
      <c r="K280" s="408"/>
      <c r="L280" s="408"/>
      <c r="M280" s="408"/>
      <c r="N280" s="408"/>
      <c r="O280" s="408"/>
      <c r="P280" s="408"/>
      <c r="Q280" s="408"/>
      <c r="R280" s="408"/>
      <c r="S280" s="408"/>
      <c r="T280" s="408"/>
      <c r="U280" s="408"/>
      <c r="V280" s="408"/>
      <c r="W280" s="408"/>
      <c r="X280" s="408"/>
      <c r="Y280" s="408"/>
      <c r="Z280" s="415">
        <f>'SEF-36 pg 1-33, 37'!OA$21</f>
        <v>0</v>
      </c>
      <c r="AA280" s="408"/>
      <c r="AB280" s="408"/>
      <c r="AC280" s="408"/>
      <c r="AD280" s="408"/>
      <c r="AE280" s="408"/>
      <c r="AF280" s="408"/>
      <c r="AG280" s="408"/>
      <c r="AH280" s="408"/>
      <c r="AI280" s="408"/>
      <c r="AJ280" s="408"/>
      <c r="AK280" s="408"/>
      <c r="AL280" s="408"/>
      <c r="AM280" s="408"/>
      <c r="AN280" s="408"/>
      <c r="AO280" s="408"/>
      <c r="AP280" s="408"/>
      <c r="AQ280" s="408"/>
      <c r="AR280" s="408"/>
      <c r="AS280" s="408"/>
      <c r="AT280" s="408"/>
      <c r="AU280" s="408"/>
      <c r="AV280" s="408"/>
      <c r="AW280" s="408"/>
      <c r="AX280" s="408"/>
      <c r="AY280" s="408"/>
      <c r="AZ280" s="408"/>
      <c r="BA280" s="357">
        <f t="shared" si="67"/>
        <v>0</v>
      </c>
      <c r="BB280" s="357">
        <f t="shared" si="68"/>
        <v>0</v>
      </c>
      <c r="BC280" s="82" t="s">
        <v>41</v>
      </c>
      <c r="BD280" s="356"/>
      <c r="BE280" s="82"/>
    </row>
    <row r="281" spans="1:57" outlineLevel="1" x14ac:dyDescent="0.25">
      <c r="A281" s="394">
        <f>ROW()</f>
        <v>281</v>
      </c>
      <c r="B281" s="349" t="s">
        <v>100</v>
      </c>
      <c r="C281" s="350" t="s">
        <v>164</v>
      </c>
      <c r="D281" s="371">
        <f t="shared" si="66"/>
        <v>67611403.503792793</v>
      </c>
      <c r="E281" s="370">
        <f>'SEF-36 pg 1-33, 37'!$M$65</f>
        <v>-13745.124033888567</v>
      </c>
      <c r="F281" s="408"/>
      <c r="G281" s="408"/>
      <c r="H281" s="408"/>
      <c r="I281" s="408"/>
      <c r="J281" s="408"/>
      <c r="K281" s="408"/>
      <c r="L281" s="408"/>
      <c r="M281" s="408"/>
      <c r="N281" s="408"/>
      <c r="O281" s="408">
        <f>+'SEF-36 pg 1-33, 37'!GK25</f>
        <v>565.25385706778616</v>
      </c>
      <c r="P281" s="408"/>
      <c r="Q281" s="408"/>
      <c r="R281" s="408"/>
      <c r="S281" s="408"/>
      <c r="T281" s="408"/>
      <c r="U281" s="408"/>
      <c r="V281" s="408"/>
      <c r="W281" s="408"/>
      <c r="X281" s="408"/>
      <c r="Y281" s="408"/>
      <c r="Z281" s="415">
        <f>'SEF-36 pg 1-33, 37'!OA$22</f>
        <v>7611452.4402360469</v>
      </c>
      <c r="AA281" s="408"/>
      <c r="AB281" s="408"/>
      <c r="AC281" s="408"/>
      <c r="AD281" s="408"/>
      <c r="AE281" s="408"/>
      <c r="AF281" s="408"/>
      <c r="AG281" s="408"/>
      <c r="AH281" s="408"/>
      <c r="AI281" s="408"/>
      <c r="AJ281" s="408"/>
      <c r="AK281" s="408"/>
      <c r="AL281" s="408"/>
      <c r="AM281" s="408"/>
      <c r="AN281" s="408"/>
      <c r="AO281" s="408">
        <f>'SEF-36 pg 1-33, 37'!WK16</f>
        <v>14131.56108006672</v>
      </c>
      <c r="AP281" s="408"/>
      <c r="AQ281" s="408"/>
      <c r="AR281" s="408"/>
      <c r="AS281" s="408"/>
      <c r="AT281" s="408"/>
      <c r="AU281" s="408"/>
      <c r="AV281" s="408"/>
      <c r="AW281" s="408"/>
      <c r="AX281" s="408"/>
      <c r="AY281" s="408"/>
      <c r="AZ281" s="408"/>
      <c r="BA281" s="357">
        <f t="shared" si="67"/>
        <v>7612404.1311392924</v>
      </c>
      <c r="BB281" s="357">
        <f t="shared" si="68"/>
        <v>75223807.634932086</v>
      </c>
      <c r="BC281" s="82" t="s">
        <v>41</v>
      </c>
      <c r="BD281" s="356"/>
      <c r="BE281" s="82"/>
    </row>
    <row r="282" spans="1:57" outlineLevel="1" x14ac:dyDescent="0.25">
      <c r="A282" s="394">
        <f>ROW()</f>
        <v>282</v>
      </c>
      <c r="B282" s="349" t="s">
        <v>101</v>
      </c>
      <c r="C282" s="350" t="s">
        <v>164</v>
      </c>
      <c r="D282" s="357">
        <f t="shared" si="66"/>
        <v>261594800.04505476</v>
      </c>
      <c r="E282" s="411"/>
      <c r="F282" s="411"/>
      <c r="G282" s="411"/>
      <c r="H282" s="411"/>
      <c r="I282" s="411"/>
      <c r="J282" s="411"/>
      <c r="K282" s="411"/>
      <c r="L282" s="411"/>
      <c r="M282" s="411"/>
      <c r="N282" s="411"/>
      <c r="O282" s="411"/>
      <c r="P282" s="411"/>
      <c r="Q282" s="411"/>
      <c r="R282" s="411"/>
      <c r="S282" s="411"/>
      <c r="T282" s="411"/>
      <c r="U282" s="411"/>
      <c r="V282" s="411"/>
      <c r="W282" s="411"/>
      <c r="X282" s="411"/>
      <c r="Y282" s="411"/>
      <c r="Z282" s="415"/>
      <c r="AA282" s="411"/>
      <c r="AB282" s="411"/>
      <c r="AC282" s="411"/>
      <c r="AD282" s="411"/>
      <c r="AE282" s="358">
        <f>'SEF-36 pg 1-33, 37'!RN17+'SEF-36 pg 1-33, 37'!RN18</f>
        <v>-4411272.8182750046</v>
      </c>
      <c r="AF282" s="358">
        <f>'SEF-36 pg 1-33, 37'!SF16+'SEF-36 pg 1-33, 37'!SF17</f>
        <v>-629245.79000000108</v>
      </c>
      <c r="AG282" s="358">
        <f>'SEF-36 pg 1-33, 37'!$SX$16+'SEF-36 pg 1-33, 37'!$SX$17</f>
        <v>6901889.2056350037</v>
      </c>
      <c r="AH282" s="358">
        <f>'SEF-36 pg 1-33, 37'!$SX$34+'SEF-36 pg 1-33, 37'!$SX$35</f>
        <v>2294484.3099999977</v>
      </c>
      <c r="AI282" s="358">
        <f>'SEF-36 pg 1-33, 37'!$SX$52+'SEF-36 pg 1-33, 37'!$SX$53</f>
        <v>0</v>
      </c>
      <c r="AJ282" s="358">
        <f>'SEF-36 pg 1-33, 37'!$SX$70+'SEF-36 pg 1-33, 37'!$SX$71</f>
        <v>1882505.4869500003</v>
      </c>
      <c r="AK282" s="411"/>
      <c r="AL282" s="411"/>
      <c r="AM282" s="408"/>
      <c r="AN282" s="411"/>
      <c r="AO282" s="411"/>
      <c r="AP282" s="411"/>
      <c r="AQ282" s="411"/>
      <c r="AR282" s="408">
        <f>'SEF-36 pg 34-36'!CY25</f>
        <v>-748928.48779001692</v>
      </c>
      <c r="AS282" s="411"/>
      <c r="AT282" s="412"/>
      <c r="AU282" s="411"/>
      <c r="AV282" s="411"/>
      <c r="AW282" s="408"/>
      <c r="AX282" s="411"/>
      <c r="AY282" s="411"/>
      <c r="AZ282" s="411"/>
      <c r="BA282" s="357">
        <f t="shared" si="67"/>
        <v>5289431.9065199792</v>
      </c>
      <c r="BB282" s="357">
        <f t="shared" si="68"/>
        <v>266884231.95157474</v>
      </c>
      <c r="BC282" s="82" t="s">
        <v>41</v>
      </c>
      <c r="BD282" s="356"/>
      <c r="BE282" s="82"/>
    </row>
    <row r="283" spans="1:57" outlineLevel="1" x14ac:dyDescent="0.25">
      <c r="A283" s="394">
        <f>ROW()</f>
        <v>283</v>
      </c>
      <c r="B283" s="349" t="s">
        <v>102</v>
      </c>
      <c r="C283" s="350" t="s">
        <v>164</v>
      </c>
      <c r="D283" s="357">
        <f t="shared" si="66"/>
        <v>36379318.171449929</v>
      </c>
      <c r="E283" s="408"/>
      <c r="F283" s="408"/>
      <c r="G283" s="408"/>
      <c r="H283" s="408"/>
      <c r="I283" s="408"/>
      <c r="J283" s="408"/>
      <c r="K283" s="408"/>
      <c r="L283" s="408"/>
      <c r="M283" s="408"/>
      <c r="N283" s="408"/>
      <c r="O283" s="408"/>
      <c r="P283" s="408"/>
      <c r="Q283" s="408"/>
      <c r="R283" s="408"/>
      <c r="S283" s="408"/>
      <c r="T283" s="408"/>
      <c r="U283" s="408"/>
      <c r="V283" s="408"/>
      <c r="W283" s="408"/>
      <c r="X283" s="408"/>
      <c r="Y283" s="408"/>
      <c r="Z283" s="1887"/>
      <c r="AA283" s="408"/>
      <c r="AB283" s="408"/>
      <c r="AC283" s="408"/>
      <c r="AD283" s="408"/>
      <c r="AE283" s="408">
        <f>'SEF-36 pg 1-33, 37'!RN19+'SEF-36 pg 1-33, 37'!RN20</f>
        <v>-4608053.669219967</v>
      </c>
      <c r="AF283" s="408">
        <f>'SEF-36 pg 1-33, 37'!SF18+'SEF-36 pg 1-33, 37'!SF19</f>
        <v>0</v>
      </c>
      <c r="AG283" s="358">
        <f>'SEF-36 pg 1-33, 37'!$SX$18+'SEF-36 pg 1-33, 37'!$SX$19</f>
        <v>3676415.3456249991</v>
      </c>
      <c r="AH283" s="358">
        <f>'SEF-36 pg 1-33, 37'!$SX$36+'SEF-36 pg 1-33, 37'!$SX$37</f>
        <v>0</v>
      </c>
      <c r="AI283" s="358">
        <f>'SEF-36 pg 1-33, 37'!$SX$54+'SEF-36 pg 1-33, 37'!$SX$55</f>
        <v>243767.49736000001</v>
      </c>
      <c r="AJ283" s="358">
        <f>'SEF-36 pg 1-33, 37'!$SX$72+'SEF-36 pg 1-33, 37'!$SX$73</f>
        <v>6463125.7664349992</v>
      </c>
      <c r="AK283" s="408"/>
      <c r="AL283" s="408"/>
      <c r="AM283" s="408"/>
      <c r="AN283" s="408"/>
      <c r="AO283" s="408"/>
      <c r="AP283" s="408"/>
      <c r="AQ283" s="408"/>
      <c r="AR283" s="408">
        <f>'SEF-36 pg 34-36'!CY26</f>
        <v>-117906.41138000035</v>
      </c>
      <c r="AS283" s="408"/>
      <c r="AT283" s="408"/>
      <c r="AU283" s="408"/>
      <c r="AV283" s="408"/>
      <c r="AW283" s="408"/>
      <c r="AX283" s="408"/>
      <c r="AY283" s="408"/>
      <c r="AZ283" s="408"/>
      <c r="BA283" s="357">
        <f t="shared" si="67"/>
        <v>5657348.5288200313</v>
      </c>
      <c r="BB283" s="357">
        <f t="shared" si="68"/>
        <v>42036666.70026996</v>
      </c>
      <c r="BC283" s="82" t="s">
        <v>41</v>
      </c>
      <c r="BD283" s="356"/>
      <c r="BE283" s="82"/>
    </row>
    <row r="284" spans="1:57" outlineLevel="1" x14ac:dyDescent="0.25">
      <c r="A284" s="394">
        <f>ROW()</f>
        <v>284</v>
      </c>
      <c r="B284" s="369" t="s">
        <v>103</v>
      </c>
      <c r="C284" s="350" t="s">
        <v>164</v>
      </c>
      <c r="D284" s="357">
        <f t="shared" si="66"/>
        <v>0</v>
      </c>
      <c r="E284" s="408"/>
      <c r="F284" s="408"/>
      <c r="G284" s="408"/>
      <c r="H284" s="408"/>
      <c r="I284" s="408"/>
      <c r="J284" s="408"/>
      <c r="K284" s="408"/>
      <c r="L284" s="408"/>
      <c r="M284" s="408"/>
      <c r="N284" s="408"/>
      <c r="O284" s="408"/>
      <c r="P284" s="408"/>
      <c r="Q284" s="408"/>
      <c r="R284" s="408"/>
      <c r="S284" s="408"/>
      <c r="T284" s="408"/>
      <c r="U284" s="408"/>
      <c r="V284" s="408"/>
      <c r="W284" s="408"/>
      <c r="X284" s="408"/>
      <c r="Y284" s="408"/>
      <c r="Z284" s="1887"/>
      <c r="AA284" s="408"/>
      <c r="AB284" s="408"/>
      <c r="AC284" s="408"/>
      <c r="AD284" s="408"/>
      <c r="AE284" s="408"/>
      <c r="AF284" s="408"/>
      <c r="AG284" s="358"/>
      <c r="AH284" s="358"/>
      <c r="AI284" s="358"/>
      <c r="AJ284" s="358"/>
      <c r="AK284" s="408"/>
      <c r="AL284" s="408"/>
      <c r="AM284" s="408"/>
      <c r="AN284" s="408"/>
      <c r="AO284" s="408"/>
      <c r="AP284" s="408"/>
      <c r="AQ284" s="408"/>
      <c r="AR284" s="408"/>
      <c r="AS284" s="408"/>
      <c r="AT284" s="408"/>
      <c r="AU284" s="408"/>
      <c r="AV284" s="408"/>
      <c r="AW284" s="408"/>
      <c r="AX284" s="408"/>
      <c r="AY284" s="408"/>
      <c r="AZ284" s="408"/>
      <c r="BA284" s="357">
        <f t="shared" si="67"/>
        <v>0</v>
      </c>
      <c r="BB284" s="357">
        <f t="shared" si="68"/>
        <v>0</v>
      </c>
      <c r="BC284" s="82" t="s">
        <v>41</v>
      </c>
      <c r="BD284" s="356"/>
      <c r="BE284" s="82"/>
    </row>
    <row r="285" spans="1:57" outlineLevel="1" x14ac:dyDescent="0.25">
      <c r="A285" s="394">
        <f>ROW()</f>
        <v>285</v>
      </c>
      <c r="B285" s="349" t="s">
        <v>104</v>
      </c>
      <c r="C285" s="350" t="s">
        <v>164</v>
      </c>
      <c r="D285" s="371">
        <f t="shared" si="66"/>
        <v>22363398.198620588</v>
      </c>
      <c r="E285" s="408"/>
      <c r="F285" s="408"/>
      <c r="G285" s="408"/>
      <c r="H285" s="408"/>
      <c r="I285" s="408"/>
      <c r="J285" s="408"/>
      <c r="K285" s="408"/>
      <c r="L285" s="408"/>
      <c r="M285" s="408"/>
      <c r="N285" s="408"/>
      <c r="O285" s="408"/>
      <c r="P285" s="408"/>
      <c r="Q285" s="408"/>
      <c r="R285" s="408"/>
      <c r="S285" s="408">
        <f>'SEF-36 pg 1-33, 37'!JE18</f>
        <v>-1877404.0336111076</v>
      </c>
      <c r="T285" s="408"/>
      <c r="U285" s="408"/>
      <c r="V285" s="408"/>
      <c r="W285" s="408"/>
      <c r="X285" s="408"/>
      <c r="Y285" s="408"/>
      <c r="Z285" s="415"/>
      <c r="AA285" s="408"/>
      <c r="AB285" s="408"/>
      <c r="AC285" s="408">
        <f>'SEF-36 pg 1-33, 37'!QC17</f>
        <v>-1789107.5335728293</v>
      </c>
      <c r="AD285" s="408"/>
      <c r="AE285" s="408"/>
      <c r="AF285" s="408"/>
      <c r="AG285" s="358"/>
      <c r="AH285" s="358"/>
      <c r="AI285" s="358"/>
      <c r="AJ285" s="358"/>
      <c r="AK285" s="408"/>
      <c r="AL285" s="408">
        <f>'SEF-36 pg 1-33, 37'!VC24</f>
        <v>0</v>
      </c>
      <c r="AM285" s="408"/>
      <c r="AN285" s="408"/>
      <c r="AO285" s="408"/>
      <c r="AP285" s="408"/>
      <c r="AQ285" s="408">
        <f>'SEF-36 pg 34-36'!CG44-'SEF-36 pg 34-36'!CG33-'SEF-36 pg 34-36'!CG36</f>
        <v>-3158565.3603837881</v>
      </c>
      <c r="AR285" s="408"/>
      <c r="AS285" s="370">
        <f>'SEF-36 pg 1-33, 37'!WZ16</f>
        <v>655030.41650999989</v>
      </c>
      <c r="AT285" s="370"/>
      <c r="AU285" s="370"/>
      <c r="AV285" s="370"/>
      <c r="AW285" s="370"/>
      <c r="AX285" s="370"/>
      <c r="AY285" s="370"/>
      <c r="AZ285" s="370"/>
      <c r="BA285" s="371">
        <f t="shared" si="67"/>
        <v>-6170046.5110577252</v>
      </c>
      <c r="BB285" s="371">
        <f t="shared" si="68"/>
        <v>16193351.687562862</v>
      </c>
      <c r="BC285" s="82" t="s">
        <v>41</v>
      </c>
      <c r="BD285" s="356"/>
      <c r="BE285" s="82"/>
    </row>
    <row r="286" spans="1:57" outlineLevel="1" x14ac:dyDescent="0.25">
      <c r="A286" s="394">
        <f>ROW()</f>
        <v>286</v>
      </c>
      <c r="B286" s="349" t="s">
        <v>105</v>
      </c>
      <c r="C286" s="350" t="s">
        <v>164</v>
      </c>
      <c r="D286" s="357">
        <f t="shared" si="66"/>
        <v>23648294.024331033</v>
      </c>
      <c r="E286" s="370">
        <f>'SEF-36 pg 1-33, 37'!$M$66</f>
        <v>-105587.29380352519</v>
      </c>
      <c r="F286" s="408"/>
      <c r="G286" s="408"/>
      <c r="H286" s="408"/>
      <c r="I286" s="408"/>
      <c r="J286" s="408"/>
      <c r="K286" s="408"/>
      <c r="L286" s="408"/>
      <c r="M286" s="408"/>
      <c r="N286" s="408"/>
      <c r="O286" s="408">
        <f>+'SEF-36 pg 1-33, 37'!GK28</f>
        <v>155.74030751886735</v>
      </c>
      <c r="P286" s="408"/>
      <c r="Q286" s="408"/>
      <c r="R286" s="408"/>
      <c r="S286" s="408"/>
      <c r="T286" s="408"/>
      <c r="U286" s="408"/>
      <c r="V286" s="408"/>
      <c r="W286" s="408"/>
      <c r="X286" s="408"/>
      <c r="Y286" s="408"/>
      <c r="Z286" s="1887">
        <f>'SEF-36 pg 1-33, 37'!OA$23</f>
        <v>2190298.4134793999</v>
      </c>
      <c r="AA286" s="408"/>
      <c r="AB286" s="408"/>
      <c r="AC286" s="408"/>
      <c r="AD286" s="408"/>
      <c r="AE286" s="408"/>
      <c r="AF286" s="408"/>
      <c r="AG286" s="358"/>
      <c r="AH286" s="358"/>
      <c r="AI286" s="358"/>
      <c r="AJ286" s="358"/>
      <c r="AK286" s="408"/>
      <c r="AL286" s="408"/>
      <c r="AM286" s="408"/>
      <c r="AN286" s="408"/>
      <c r="AO286" s="408"/>
      <c r="AP286" s="408"/>
      <c r="AQ286" s="408"/>
      <c r="AR286" s="408"/>
      <c r="AS286" s="408"/>
      <c r="AT286" s="408"/>
      <c r="AU286" s="408"/>
      <c r="AV286" s="408"/>
      <c r="AW286" s="408"/>
      <c r="AX286" s="408"/>
      <c r="AY286" s="408"/>
      <c r="AZ286" s="408"/>
      <c r="BA286" s="357">
        <f t="shared" si="67"/>
        <v>2084866.8599833935</v>
      </c>
      <c r="BB286" s="357">
        <f t="shared" si="68"/>
        <v>25733160.884314425</v>
      </c>
      <c r="BC286" s="82" t="s">
        <v>41</v>
      </c>
      <c r="BD286" s="356"/>
      <c r="BE286" s="82"/>
    </row>
    <row r="287" spans="1:57" outlineLevel="1" x14ac:dyDescent="0.25">
      <c r="A287" s="394">
        <f>ROW()</f>
        <v>287</v>
      </c>
      <c r="B287" s="349" t="s">
        <v>106</v>
      </c>
      <c r="C287" s="350" t="s">
        <v>164</v>
      </c>
      <c r="D287" s="371">
        <f t="shared" si="66"/>
        <v>-13884832.598161539</v>
      </c>
      <c r="E287" s="370">
        <f>'SEF-36 pg 1-33, 37'!$M$70</f>
        <v>-550566.44122702011</v>
      </c>
      <c r="F287" s="408"/>
      <c r="G287" s="408"/>
      <c r="H287" s="408"/>
      <c r="I287" s="408">
        <f>'SEF-36 pg 1-33, 37'!CG23</f>
        <v>259430.30854620427</v>
      </c>
      <c r="J287" s="408"/>
      <c r="K287" s="408"/>
      <c r="L287" s="408"/>
      <c r="M287" s="408"/>
      <c r="N287" s="408"/>
      <c r="O287" s="408">
        <f>+'SEF-36 pg 1-33, 37'!GK31</f>
        <v>-404.78128458990801</v>
      </c>
      <c r="P287" s="408"/>
      <c r="Q287" s="408"/>
      <c r="R287" s="408"/>
      <c r="S287" s="408">
        <f>'SEF-36 pg 1-33, 37'!JE21</f>
        <v>394254.84705833258</v>
      </c>
      <c r="T287" s="408"/>
      <c r="U287" s="408"/>
      <c r="V287" s="408"/>
      <c r="W287" s="408"/>
      <c r="X287" s="408"/>
      <c r="Y287" s="408"/>
      <c r="Z287" s="1887">
        <f>'SEF-36 pg 1-33, 37'!OA$30</f>
        <v>-1731059.1213659616</v>
      </c>
      <c r="AA287" s="408"/>
      <c r="AB287" s="408"/>
      <c r="AC287" s="408">
        <f>'SEF-36 pg 1-33, 37'!QC20</f>
        <v>375712.58205029415</v>
      </c>
      <c r="AD287" s="408"/>
      <c r="AE287" s="408">
        <f>'SEF-36 pg 1-33, 37'!RN29</f>
        <v>1894058.5623739439</v>
      </c>
      <c r="AF287" s="408">
        <f>'SEF-36 pg 1-33, 37'!SF28</f>
        <v>132141.61590000024</v>
      </c>
      <c r="AG287" s="358">
        <f>'SEF-36 pg 1-33, 37'!$SX$24</f>
        <v>-2221443.9557646005</v>
      </c>
      <c r="AH287" s="358">
        <f>'SEF-36 pg 1-33, 37'!$SX$42</f>
        <v>-481841.7050999995</v>
      </c>
      <c r="AI287" s="358">
        <f>'SEF-36 pg 1-33, 37'!$SX$60</f>
        <v>-51191.174445600001</v>
      </c>
      <c r="AJ287" s="358">
        <f>'SEF-36 pg 1-33, 37'!$SX$78</f>
        <v>-1752582.5632108499</v>
      </c>
      <c r="AK287" s="408"/>
      <c r="AL287" s="408">
        <f>'SEF-36 pg 1-33, 37'!VC26</f>
        <v>0</v>
      </c>
      <c r="AM287" s="408"/>
      <c r="AN287" s="408"/>
      <c r="AO287" s="408">
        <f>'SEF-36 pg 1-33, 37'!WK20</f>
        <v>-2967.6278268140113</v>
      </c>
      <c r="AP287" s="408"/>
      <c r="AQ287" s="408">
        <f>'SEF-36 pg 34-36'!CG46</f>
        <v>1215695.834247157</v>
      </c>
      <c r="AR287" s="408">
        <f>'SEF-36 pg 34-36'!CY29</f>
        <v>182035.32882570365</v>
      </c>
      <c r="AS287" s="370">
        <f>'SEF-36 pg 1-33, 37'!WZ20</f>
        <v>-137556.38746709996</v>
      </c>
      <c r="AT287" s="1901"/>
      <c r="AU287" s="370"/>
      <c r="AV287" s="370"/>
      <c r="AW287" s="370"/>
      <c r="AX287" s="370"/>
      <c r="AY287" s="370"/>
      <c r="AZ287" s="370"/>
      <c r="BA287" s="371">
        <f t="shared" si="67"/>
        <v>-2476284.6786908996</v>
      </c>
      <c r="BB287" s="371">
        <f t="shared" si="68"/>
        <v>-16361117.276852438</v>
      </c>
      <c r="BC287" s="82" t="s">
        <v>41</v>
      </c>
      <c r="BD287" s="356"/>
      <c r="BE287" s="82"/>
    </row>
    <row r="288" spans="1:57" outlineLevel="1" x14ac:dyDescent="0.25">
      <c r="A288" s="394">
        <f>ROW()</f>
        <v>288</v>
      </c>
      <c r="B288" s="365" t="s">
        <v>107</v>
      </c>
      <c r="C288" s="350" t="s">
        <v>164</v>
      </c>
      <c r="D288" s="357">
        <f t="shared" si="66"/>
        <v>-10922291.989409678</v>
      </c>
      <c r="E288" s="408"/>
      <c r="F288" s="408"/>
      <c r="G288" s="408"/>
      <c r="H288" s="408">
        <f>SUM('SEF-36 pg 1-33, 37'!BO17:BO19)</f>
        <v>-184598.59659993602</v>
      </c>
      <c r="I288" s="408"/>
      <c r="J288" s="408"/>
      <c r="K288" s="408"/>
      <c r="L288" s="408"/>
      <c r="M288" s="408"/>
      <c r="N288" s="408"/>
      <c r="O288" s="408"/>
      <c r="P288" s="408"/>
      <c r="Q288" s="408"/>
      <c r="R288" s="408"/>
      <c r="S288" s="408"/>
      <c r="T288" s="408"/>
      <c r="U288" s="408"/>
      <c r="V288" s="408"/>
      <c r="W288" s="408"/>
      <c r="X288" s="408"/>
      <c r="Y288" s="408"/>
      <c r="Z288" s="408"/>
      <c r="AA288" s="408"/>
      <c r="AB288" s="408"/>
      <c r="AC288" s="408"/>
      <c r="AD288" s="408"/>
      <c r="AE288" s="408"/>
      <c r="AF288" s="408"/>
      <c r="AG288" s="408"/>
      <c r="AH288" s="408"/>
      <c r="AI288" s="408"/>
      <c r="AJ288" s="408"/>
      <c r="AK288" s="408"/>
      <c r="AL288" s="408"/>
      <c r="AM288" s="408"/>
      <c r="AN288" s="408"/>
      <c r="AO288" s="408"/>
      <c r="AP288" s="408"/>
      <c r="AQ288" s="408"/>
      <c r="AR288" s="408"/>
      <c r="AS288" s="408"/>
      <c r="AT288" s="408"/>
      <c r="AU288" s="408"/>
      <c r="AV288" s="408"/>
      <c r="AW288" s="408"/>
      <c r="AX288" s="408"/>
      <c r="AY288" s="408"/>
      <c r="AZ288" s="408"/>
      <c r="BA288" s="357">
        <f t="shared" si="67"/>
        <v>-184598.59659993602</v>
      </c>
      <c r="BB288" s="357">
        <f t="shared" si="68"/>
        <v>-11106890.586009614</v>
      </c>
      <c r="BC288" s="82" t="s">
        <v>41</v>
      </c>
      <c r="BD288" s="356"/>
      <c r="BE288" s="82"/>
    </row>
    <row r="289" spans="1:57" outlineLevel="1" x14ac:dyDescent="0.25">
      <c r="A289" s="394">
        <f>ROW()</f>
        <v>289</v>
      </c>
      <c r="B289" s="349" t="s">
        <v>109</v>
      </c>
      <c r="C289" s="350" t="s">
        <v>164</v>
      </c>
      <c r="D289" s="373">
        <f t="shared" ref="D289:AS289" si="69">SUM(D273:D288)</f>
        <v>504097317.12390089</v>
      </c>
      <c r="E289" s="372">
        <f t="shared" si="69"/>
        <v>-677846.28978082817</v>
      </c>
      <c r="F289" s="409">
        <f t="shared" si="69"/>
        <v>0</v>
      </c>
      <c r="G289" s="409">
        <f t="shared" si="69"/>
        <v>0</v>
      </c>
      <c r="H289" s="409">
        <f t="shared" si="69"/>
        <v>-184598.59659993602</v>
      </c>
      <c r="I289" s="409">
        <f t="shared" si="69"/>
        <v>259430.30854620427</v>
      </c>
      <c r="J289" s="409">
        <f t="shared" si="69"/>
        <v>0</v>
      </c>
      <c r="K289" s="409">
        <f t="shared" si="69"/>
        <v>0</v>
      </c>
      <c r="L289" s="409">
        <f t="shared" si="69"/>
        <v>0</v>
      </c>
      <c r="M289" s="409">
        <f t="shared" si="69"/>
        <v>0</v>
      </c>
      <c r="N289" s="409">
        <f t="shared" si="69"/>
        <v>0</v>
      </c>
      <c r="O289" s="409">
        <f t="shared" si="69"/>
        <v>1522.7486420287016</v>
      </c>
      <c r="P289" s="409">
        <f t="shared" si="69"/>
        <v>0</v>
      </c>
      <c r="Q289" s="409">
        <f t="shared" si="69"/>
        <v>0</v>
      </c>
      <c r="R289" s="409">
        <f t="shared" si="69"/>
        <v>0</v>
      </c>
      <c r="S289" s="409">
        <f t="shared" si="69"/>
        <v>-1483149.1865527751</v>
      </c>
      <c r="T289" s="409">
        <f t="shared" si="69"/>
        <v>0</v>
      </c>
      <c r="U289" s="409">
        <f t="shared" si="69"/>
        <v>0</v>
      </c>
      <c r="V289" s="409">
        <f t="shared" si="69"/>
        <v>0</v>
      </c>
      <c r="W289" s="409">
        <f t="shared" si="69"/>
        <v>0</v>
      </c>
      <c r="X289" s="409">
        <f t="shared" si="69"/>
        <v>0</v>
      </c>
      <c r="Y289" s="409">
        <f t="shared" si="69"/>
        <v>0</v>
      </c>
      <c r="Z289" s="409">
        <f t="shared" si="69"/>
        <v>6512079.5518052848</v>
      </c>
      <c r="AA289" s="409">
        <f t="shared" si="69"/>
        <v>0</v>
      </c>
      <c r="AB289" s="409">
        <f t="shared" si="69"/>
        <v>0</v>
      </c>
      <c r="AC289" s="409">
        <f t="shared" si="69"/>
        <v>-1413394.9515225352</v>
      </c>
      <c r="AD289" s="409">
        <f t="shared" si="69"/>
        <v>0</v>
      </c>
      <c r="AE289" s="409">
        <f t="shared" si="69"/>
        <v>-7125267.925121028</v>
      </c>
      <c r="AF289" s="409">
        <f t="shared" si="69"/>
        <v>-497104.17410000088</v>
      </c>
      <c r="AG289" s="409">
        <f t="shared" si="69"/>
        <v>8356860.595495401</v>
      </c>
      <c r="AH289" s="409">
        <f t="shared" si="69"/>
        <v>1812642.6048999983</v>
      </c>
      <c r="AI289" s="409">
        <f t="shared" si="69"/>
        <v>192576.32291440002</v>
      </c>
      <c r="AJ289" s="409">
        <f t="shared" si="69"/>
        <v>6593048.6901741503</v>
      </c>
      <c r="AK289" s="409">
        <f t="shared" si="69"/>
        <v>0</v>
      </c>
      <c r="AL289" s="409">
        <f t="shared" si="69"/>
        <v>0</v>
      </c>
      <c r="AM289" s="368">
        <f t="shared" si="69"/>
        <v>0</v>
      </c>
      <c r="AN289" s="368">
        <f t="shared" si="69"/>
        <v>0</v>
      </c>
      <c r="AO289" s="368">
        <f t="shared" si="69"/>
        <v>11163.933253252708</v>
      </c>
      <c r="AP289" s="409">
        <f t="shared" si="69"/>
        <v>0</v>
      </c>
      <c r="AQ289" s="409">
        <f t="shared" si="69"/>
        <v>-1942869.5261366311</v>
      </c>
      <c r="AR289" s="409">
        <f t="shared" si="69"/>
        <v>-684799.57034431375</v>
      </c>
      <c r="AS289" s="372">
        <f t="shared" si="69"/>
        <v>517474.02904289996</v>
      </c>
      <c r="AT289" s="372"/>
      <c r="AU289" s="372"/>
      <c r="AV289" s="372"/>
      <c r="AW289" s="372"/>
      <c r="AX289" s="372"/>
      <c r="AY289" s="372"/>
      <c r="AZ289" s="372"/>
      <c r="BA289" s="373">
        <f>SUM(BA273:BA288)</f>
        <v>10247768.564615574</v>
      </c>
      <c r="BB289" s="373">
        <f>SUM(BB273:BB288)</f>
        <v>514345085.68851644</v>
      </c>
      <c r="BC289" s="82" t="s">
        <v>41</v>
      </c>
      <c r="BD289" s="356"/>
      <c r="BE289" s="82"/>
    </row>
    <row r="290" spans="1:57" outlineLevel="1" x14ac:dyDescent="0.25">
      <c r="A290" s="394">
        <f>ROW()</f>
        <v>290</v>
      </c>
      <c r="B290" s="365"/>
      <c r="C290" s="350" t="s">
        <v>164</v>
      </c>
      <c r="D290" s="374"/>
      <c r="E290" s="417"/>
      <c r="F290" s="417"/>
      <c r="G290" s="417"/>
      <c r="H290" s="417"/>
      <c r="I290" s="417"/>
      <c r="J290" s="417"/>
      <c r="K290" s="417"/>
      <c r="L290" s="417"/>
      <c r="M290" s="417"/>
      <c r="N290" s="417"/>
      <c r="O290" s="417"/>
      <c r="P290" s="417"/>
      <c r="Q290" s="417"/>
      <c r="R290" s="417"/>
      <c r="S290" s="417"/>
      <c r="T290" s="417"/>
      <c r="U290" s="417"/>
      <c r="V290" s="417"/>
      <c r="W290" s="417"/>
      <c r="X290" s="417"/>
      <c r="Y290" s="417"/>
      <c r="Z290" s="417"/>
      <c r="AA290" s="417"/>
      <c r="AB290" s="417"/>
      <c r="AC290" s="417"/>
      <c r="AD290" s="417"/>
      <c r="AE290" s="417"/>
      <c r="AF290" s="417"/>
      <c r="AG290" s="417"/>
      <c r="AH290" s="417"/>
      <c r="AI290" s="417"/>
      <c r="AJ290" s="417"/>
      <c r="AK290" s="417"/>
      <c r="AL290" s="417"/>
      <c r="AM290" s="375"/>
      <c r="AN290" s="417"/>
      <c r="AO290" s="417"/>
      <c r="AP290" s="417"/>
      <c r="AQ290" s="417"/>
      <c r="AR290" s="417"/>
      <c r="AS290" s="417"/>
      <c r="AT290" s="417"/>
      <c r="AU290" s="417"/>
      <c r="AV290" s="417"/>
      <c r="AW290" s="417"/>
      <c r="AX290" s="417"/>
      <c r="AY290" s="417"/>
      <c r="AZ290" s="417"/>
      <c r="BA290" s="374"/>
      <c r="BB290" s="374"/>
      <c r="BC290" s="82" t="s">
        <v>41</v>
      </c>
      <c r="BD290" s="356"/>
      <c r="BE290" s="82"/>
    </row>
    <row r="291" spans="1:57" ht="15.75" outlineLevel="1" thickBot="1" x14ac:dyDescent="0.3">
      <c r="A291" s="394">
        <f>ROW()</f>
        <v>291</v>
      </c>
      <c r="B291" s="365" t="s">
        <v>110</v>
      </c>
      <c r="C291" s="350" t="s">
        <v>164</v>
      </c>
      <c r="D291" s="379">
        <f t="shared" ref="D291:AS291" si="70">+D264-D289</f>
        <v>30177041.730425537</v>
      </c>
      <c r="E291" s="377">
        <f t="shared" si="70"/>
        <v>-2071178.5169968852</v>
      </c>
      <c r="F291" s="419">
        <f t="shared" si="70"/>
        <v>0</v>
      </c>
      <c r="G291" s="419">
        <f t="shared" si="70"/>
        <v>0</v>
      </c>
      <c r="H291" s="419">
        <f t="shared" si="70"/>
        <v>184598.59659993602</v>
      </c>
      <c r="I291" s="419">
        <f t="shared" si="70"/>
        <v>-259430.30854620427</v>
      </c>
      <c r="J291" s="419">
        <f t="shared" si="70"/>
        <v>0</v>
      </c>
      <c r="K291" s="419">
        <f t="shared" si="70"/>
        <v>0</v>
      </c>
      <c r="L291" s="419">
        <f t="shared" si="70"/>
        <v>0</v>
      </c>
      <c r="M291" s="419">
        <f t="shared" si="70"/>
        <v>0</v>
      </c>
      <c r="N291" s="419">
        <f t="shared" si="70"/>
        <v>0</v>
      </c>
      <c r="O291" s="419">
        <f t="shared" si="70"/>
        <v>-1522.7486420287016</v>
      </c>
      <c r="P291" s="419">
        <f t="shared" si="70"/>
        <v>0</v>
      </c>
      <c r="Q291" s="419">
        <f t="shared" si="70"/>
        <v>0</v>
      </c>
      <c r="R291" s="419">
        <f t="shared" si="70"/>
        <v>0</v>
      </c>
      <c r="S291" s="419">
        <f t="shared" si="70"/>
        <v>1483149.1865527751</v>
      </c>
      <c r="T291" s="419">
        <f t="shared" si="70"/>
        <v>0</v>
      </c>
      <c r="U291" s="419">
        <f t="shared" si="70"/>
        <v>0</v>
      </c>
      <c r="V291" s="419">
        <f t="shared" si="70"/>
        <v>0</v>
      </c>
      <c r="W291" s="419">
        <f t="shared" si="70"/>
        <v>0</v>
      </c>
      <c r="X291" s="419">
        <f t="shared" si="70"/>
        <v>0</v>
      </c>
      <c r="Y291" s="419">
        <f t="shared" si="70"/>
        <v>0</v>
      </c>
      <c r="Z291" s="419">
        <f t="shared" si="70"/>
        <v>-6512079.5518052848</v>
      </c>
      <c r="AA291" s="419">
        <f t="shared" si="70"/>
        <v>0</v>
      </c>
      <c r="AB291" s="419">
        <f t="shared" si="70"/>
        <v>0</v>
      </c>
      <c r="AC291" s="419">
        <f t="shared" si="70"/>
        <v>1413394.9515225352</v>
      </c>
      <c r="AD291" s="419">
        <f t="shared" si="70"/>
        <v>0</v>
      </c>
      <c r="AE291" s="419">
        <f t="shared" si="70"/>
        <v>7125267.925121028</v>
      </c>
      <c r="AF291" s="419">
        <f t="shared" si="70"/>
        <v>497104.17410000088</v>
      </c>
      <c r="AG291" s="419">
        <f t="shared" si="70"/>
        <v>-8356860.595495401</v>
      </c>
      <c r="AH291" s="419">
        <f t="shared" si="70"/>
        <v>-1812642.6048999983</v>
      </c>
      <c r="AI291" s="419">
        <f t="shared" si="70"/>
        <v>-192576.32291440002</v>
      </c>
      <c r="AJ291" s="419">
        <f t="shared" si="70"/>
        <v>-6593048.6901741503</v>
      </c>
      <c r="AK291" s="419">
        <f t="shared" si="70"/>
        <v>0</v>
      </c>
      <c r="AL291" s="419">
        <f t="shared" si="70"/>
        <v>0</v>
      </c>
      <c r="AM291" s="378">
        <f t="shared" si="70"/>
        <v>0</v>
      </c>
      <c r="AN291" s="378">
        <f t="shared" si="70"/>
        <v>0</v>
      </c>
      <c r="AO291" s="378">
        <f t="shared" si="70"/>
        <v>-11163.933253252708</v>
      </c>
      <c r="AP291" s="419">
        <f t="shared" si="70"/>
        <v>0</v>
      </c>
      <c r="AQ291" s="419">
        <f t="shared" si="70"/>
        <v>4573331.9478821624</v>
      </c>
      <c r="AR291" s="419">
        <f t="shared" si="70"/>
        <v>684799.57034431375</v>
      </c>
      <c r="AS291" s="377">
        <f t="shared" si="70"/>
        <v>-517474.02904289996</v>
      </c>
      <c r="AT291" s="377"/>
      <c r="AU291" s="377"/>
      <c r="AV291" s="377"/>
      <c r="AW291" s="377"/>
      <c r="AX291" s="377"/>
      <c r="AY291" s="377"/>
      <c r="AZ291" s="377"/>
      <c r="BA291" s="379">
        <f>+BA264-BA289</f>
        <v>-10366330.949647754</v>
      </c>
      <c r="BB291" s="379">
        <f>+BB264-BB289</f>
        <v>19810710.780777812</v>
      </c>
      <c r="BC291" s="82" t="s">
        <v>41</v>
      </c>
      <c r="BD291" s="356"/>
      <c r="BE291" s="82"/>
    </row>
    <row r="292" spans="1:57" ht="12" customHeight="1" outlineLevel="1" thickTop="1" x14ac:dyDescent="0.25">
      <c r="A292" s="394">
        <f>ROW()</f>
        <v>292</v>
      </c>
      <c r="B292" s="18"/>
      <c r="C292" s="350" t="s">
        <v>164</v>
      </c>
      <c r="D292" s="380"/>
      <c r="E292" s="420"/>
      <c r="F292" s="420"/>
      <c r="G292" s="420"/>
      <c r="H292" s="420"/>
      <c r="I292" s="420"/>
      <c r="J292" s="420"/>
      <c r="K292" s="420"/>
      <c r="L292" s="420"/>
      <c r="M292" s="420"/>
      <c r="N292" s="420"/>
      <c r="O292" s="420"/>
      <c r="P292" s="420"/>
      <c r="Q292" s="420"/>
      <c r="R292" s="420"/>
      <c r="S292" s="420"/>
      <c r="T292" s="420"/>
      <c r="U292" s="420"/>
      <c r="V292" s="420"/>
      <c r="W292" s="420"/>
      <c r="X292" s="420"/>
      <c r="Y292" s="420"/>
      <c r="Z292" s="420"/>
      <c r="AA292" s="420"/>
      <c r="AB292" s="420"/>
      <c r="AC292" s="420"/>
      <c r="AD292" s="420"/>
      <c r="AE292" s="420"/>
      <c r="AF292" s="420"/>
      <c r="AG292" s="420"/>
      <c r="AH292" s="420"/>
      <c r="AI292" s="420"/>
      <c r="AJ292" s="420"/>
      <c r="AK292" s="420"/>
      <c r="AL292" s="420"/>
      <c r="AM292" s="381"/>
      <c r="AN292" s="420"/>
      <c r="AO292" s="420"/>
      <c r="AP292" s="420"/>
      <c r="AQ292" s="420"/>
      <c r="AR292" s="420"/>
      <c r="AS292" s="420"/>
      <c r="AT292" s="420"/>
      <c r="AU292" s="420"/>
      <c r="AV292" s="420"/>
      <c r="AW292" s="420"/>
      <c r="AX292" s="420"/>
      <c r="AY292" s="420"/>
      <c r="AZ292" s="420"/>
      <c r="BA292" s="380"/>
      <c r="BB292" s="380"/>
      <c r="BC292" s="82" t="s">
        <v>41</v>
      </c>
      <c r="BD292" s="356"/>
      <c r="BE292" s="82"/>
    </row>
    <row r="293" spans="1:57" outlineLevel="1" x14ac:dyDescent="0.25">
      <c r="A293" s="394">
        <f>ROW()</f>
        <v>293</v>
      </c>
      <c r="B293" s="349" t="s">
        <v>145</v>
      </c>
      <c r="C293" s="350" t="s">
        <v>164</v>
      </c>
      <c r="D293" s="366">
        <f t="shared" ref="D293:AN293" si="71">D304</f>
        <v>2866503992.9496732</v>
      </c>
      <c r="E293" s="412">
        <f t="shared" si="71"/>
        <v>0</v>
      </c>
      <c r="F293" s="412">
        <f t="shared" si="71"/>
        <v>0</v>
      </c>
      <c r="G293" s="412">
        <f t="shared" si="71"/>
        <v>0</v>
      </c>
      <c r="H293" s="412">
        <f t="shared" si="71"/>
        <v>0</v>
      </c>
      <c r="I293" s="412">
        <f t="shared" si="71"/>
        <v>0</v>
      </c>
      <c r="J293" s="412">
        <f t="shared" si="71"/>
        <v>0</v>
      </c>
      <c r="K293" s="412">
        <f t="shared" si="71"/>
        <v>0</v>
      </c>
      <c r="L293" s="412">
        <f t="shared" si="71"/>
        <v>0</v>
      </c>
      <c r="M293" s="412">
        <f t="shared" si="71"/>
        <v>0</v>
      </c>
      <c r="N293" s="412">
        <f t="shared" si="71"/>
        <v>0</v>
      </c>
      <c r="O293" s="412">
        <f t="shared" si="71"/>
        <v>0</v>
      </c>
      <c r="P293" s="412">
        <f t="shared" si="71"/>
        <v>0</v>
      </c>
      <c r="Q293" s="412">
        <f t="shared" si="71"/>
        <v>0</v>
      </c>
      <c r="R293" s="412">
        <f t="shared" si="71"/>
        <v>0</v>
      </c>
      <c r="S293" s="412">
        <f t="shared" si="71"/>
        <v>0</v>
      </c>
      <c r="T293" s="412">
        <f t="shared" si="71"/>
        <v>0</v>
      </c>
      <c r="U293" s="412">
        <f t="shared" si="71"/>
        <v>0</v>
      </c>
      <c r="V293" s="412">
        <f t="shared" si="71"/>
        <v>0</v>
      </c>
      <c r="W293" s="412">
        <f t="shared" si="71"/>
        <v>0</v>
      </c>
      <c r="X293" s="412">
        <f t="shared" si="71"/>
        <v>0</v>
      </c>
      <c r="Y293" s="412">
        <f t="shared" si="71"/>
        <v>0</v>
      </c>
      <c r="Z293" s="412">
        <f t="shared" si="71"/>
        <v>0</v>
      </c>
      <c r="AA293" s="412">
        <f t="shared" si="71"/>
        <v>0</v>
      </c>
      <c r="AB293" s="412">
        <f t="shared" si="71"/>
        <v>0</v>
      </c>
      <c r="AC293" s="412">
        <f t="shared" si="71"/>
        <v>0</v>
      </c>
      <c r="AD293" s="412">
        <f t="shared" si="71"/>
        <v>0</v>
      </c>
      <c r="AE293" s="412">
        <f t="shared" si="71"/>
        <v>-212142643.35983646</v>
      </c>
      <c r="AF293" s="412">
        <f t="shared" si="71"/>
        <v>1154341.1600000001</v>
      </c>
      <c r="AG293" s="412">
        <f t="shared" si="71"/>
        <v>122407421.21765506</v>
      </c>
      <c r="AH293" s="412">
        <f t="shared" si="71"/>
        <v>43611657.550000012</v>
      </c>
      <c r="AI293" s="412">
        <f t="shared" si="71"/>
        <v>1774798.5898300002</v>
      </c>
      <c r="AJ293" s="412">
        <f t="shared" si="71"/>
        <v>44104526.972805083</v>
      </c>
      <c r="AK293" s="412">
        <f t="shared" si="71"/>
        <v>0</v>
      </c>
      <c r="AL293" s="412">
        <f t="shared" si="71"/>
        <v>0</v>
      </c>
      <c r="AM293" s="412">
        <f t="shared" si="71"/>
        <v>0</v>
      </c>
      <c r="AN293" s="412">
        <f t="shared" si="71"/>
        <v>0</v>
      </c>
      <c r="AO293" s="412"/>
      <c r="AP293" s="412">
        <f>AP304</f>
        <v>0</v>
      </c>
      <c r="AQ293" s="412">
        <f>AQ304</f>
        <v>-5437988.3141693044</v>
      </c>
      <c r="AR293" s="412">
        <f>AR304</f>
        <v>1152189.4358550543</v>
      </c>
      <c r="AS293" s="412"/>
      <c r="AT293" s="412"/>
      <c r="AU293" s="412"/>
      <c r="AV293" s="412"/>
      <c r="AW293" s="412"/>
      <c r="AX293" s="412"/>
      <c r="AY293" s="412"/>
      <c r="AZ293" s="412"/>
      <c r="BA293" s="366">
        <f>BA304</f>
        <v>-3375696.7478605136</v>
      </c>
      <c r="BB293" s="366">
        <f>BB304</f>
        <v>2863128296.2018123</v>
      </c>
      <c r="BC293" s="82" t="s">
        <v>41</v>
      </c>
      <c r="BD293" s="356"/>
      <c r="BE293" s="82"/>
    </row>
    <row r="294" spans="1:57" outlineLevel="1" x14ac:dyDescent="0.25">
      <c r="A294" s="394">
        <f>ROW()</f>
        <v>294</v>
      </c>
      <c r="B294" s="365"/>
      <c r="C294" s="350" t="s">
        <v>164</v>
      </c>
      <c r="D294" s="351"/>
      <c r="E294" s="411"/>
      <c r="F294" s="411"/>
      <c r="G294" s="411"/>
      <c r="H294" s="411"/>
      <c r="I294" s="411"/>
      <c r="J294" s="411"/>
      <c r="K294" s="411"/>
      <c r="L294" s="411"/>
      <c r="M294" s="411"/>
      <c r="N294" s="411"/>
      <c r="O294" s="411"/>
      <c r="P294" s="411"/>
      <c r="Q294" s="411"/>
      <c r="R294" s="411"/>
      <c r="S294" s="411"/>
      <c r="T294" s="411"/>
      <c r="U294" s="411"/>
      <c r="V294" s="411"/>
      <c r="W294" s="411"/>
      <c r="X294" s="411"/>
      <c r="Y294" s="411"/>
      <c r="Z294" s="411"/>
      <c r="AA294" s="411"/>
      <c r="AB294" s="411"/>
      <c r="AC294" s="411"/>
      <c r="AD294" s="411"/>
      <c r="AE294" s="411"/>
      <c r="AF294" s="411"/>
      <c r="AG294" s="411"/>
      <c r="AH294" s="411"/>
      <c r="AI294" s="411"/>
      <c r="AJ294" s="411"/>
      <c r="AK294" s="411"/>
      <c r="AL294" s="411"/>
      <c r="AM294" s="1900"/>
      <c r="AN294" s="411"/>
      <c r="AO294" s="411"/>
      <c r="AP294" s="411"/>
      <c r="AQ294" s="411"/>
      <c r="AR294" s="411"/>
      <c r="AS294" s="411"/>
      <c r="AT294" s="411"/>
      <c r="AU294" s="411"/>
      <c r="AV294" s="411"/>
      <c r="AW294" s="411"/>
      <c r="AX294" s="411"/>
      <c r="AY294" s="411"/>
      <c r="AZ294" s="411"/>
      <c r="BA294" s="351"/>
      <c r="BB294" s="351"/>
      <c r="BC294" s="82" t="s">
        <v>41</v>
      </c>
      <c r="BD294" s="356"/>
      <c r="BE294" s="82"/>
    </row>
    <row r="295" spans="1:57" outlineLevel="1" x14ac:dyDescent="0.25">
      <c r="A295" s="394">
        <f>ROW()</f>
        <v>295</v>
      </c>
      <c r="B295" s="349" t="s">
        <v>18</v>
      </c>
      <c r="C295" s="350" t="s">
        <v>164</v>
      </c>
      <c r="D295" s="403">
        <f>+D291/D293</f>
        <v>1.0527472420986559E-2</v>
      </c>
      <c r="E295" s="408"/>
      <c r="F295" s="408"/>
      <c r="G295" s="408"/>
      <c r="H295" s="408"/>
      <c r="I295" s="408"/>
      <c r="J295" s="408"/>
      <c r="K295" s="408"/>
      <c r="L295" s="408"/>
      <c r="M295" s="408"/>
      <c r="N295" s="408"/>
      <c r="O295" s="408"/>
      <c r="P295" s="408"/>
      <c r="Q295" s="408"/>
      <c r="R295" s="408"/>
      <c r="S295" s="408"/>
      <c r="T295" s="408"/>
      <c r="U295" s="408"/>
      <c r="V295" s="408"/>
      <c r="W295" s="408"/>
      <c r="X295" s="408"/>
      <c r="Y295" s="408"/>
      <c r="Z295" s="408"/>
      <c r="AA295" s="408"/>
      <c r="AB295" s="408"/>
      <c r="AC295" s="408"/>
      <c r="AD295" s="408"/>
      <c r="AE295" s="408"/>
      <c r="AF295" s="408"/>
      <c r="AG295" s="408"/>
      <c r="AH295" s="408"/>
      <c r="AI295" s="408"/>
      <c r="AJ295" s="408"/>
      <c r="AK295" s="408"/>
      <c r="AL295" s="408"/>
      <c r="AM295" s="1899"/>
      <c r="AN295" s="408"/>
      <c r="AO295" s="408"/>
      <c r="AP295" s="408"/>
      <c r="AQ295" s="408"/>
      <c r="AR295" s="408"/>
      <c r="AS295" s="408"/>
      <c r="AT295" s="408"/>
      <c r="AU295" s="408"/>
      <c r="AV295" s="408"/>
      <c r="AW295" s="408"/>
      <c r="AX295" s="408"/>
      <c r="AY295" s="408"/>
      <c r="AZ295" s="408"/>
      <c r="BA295" s="383"/>
      <c r="BB295" s="403">
        <f>+BB291/BB293</f>
        <v>6.9192536035002118E-3</v>
      </c>
      <c r="BC295" s="82" t="s">
        <v>41</v>
      </c>
      <c r="BD295" s="356"/>
      <c r="BE295" s="82"/>
    </row>
    <row r="296" spans="1:57" outlineLevel="1" x14ac:dyDescent="0.25">
      <c r="A296" s="394">
        <f>ROW()</f>
        <v>296</v>
      </c>
      <c r="B296" s="365"/>
      <c r="C296" s="350" t="s">
        <v>164</v>
      </c>
      <c r="D296" s="357"/>
      <c r="E296" s="408"/>
      <c r="F296" s="408"/>
      <c r="G296" s="408"/>
      <c r="H296" s="408"/>
      <c r="I296" s="408"/>
      <c r="J296" s="408"/>
      <c r="K296" s="408"/>
      <c r="L296" s="408"/>
      <c r="M296" s="408"/>
      <c r="N296" s="408"/>
      <c r="O296" s="408"/>
      <c r="P296" s="408"/>
      <c r="Q296" s="408"/>
      <c r="R296" s="408"/>
      <c r="S296" s="408"/>
      <c r="T296" s="408"/>
      <c r="U296" s="408"/>
      <c r="V296" s="408"/>
      <c r="W296" s="408"/>
      <c r="X296" s="408"/>
      <c r="Y296" s="408"/>
      <c r="Z296" s="408"/>
      <c r="AA296" s="408"/>
      <c r="AB296" s="408"/>
      <c r="AC296" s="408"/>
      <c r="AD296" s="408"/>
      <c r="AE296" s="408"/>
      <c r="AF296" s="408"/>
      <c r="AG296" s="408"/>
      <c r="AH296" s="408"/>
      <c r="AI296" s="408"/>
      <c r="AJ296" s="408"/>
      <c r="AK296" s="408"/>
      <c r="AL296" s="408"/>
      <c r="AM296" s="358"/>
      <c r="AN296" s="408"/>
      <c r="AO296" s="408"/>
      <c r="AP296" s="408"/>
      <c r="AQ296" s="408"/>
      <c r="AR296" s="408"/>
      <c r="AS296" s="408"/>
      <c r="AT296" s="408"/>
      <c r="AU296" s="408"/>
      <c r="AV296" s="408"/>
      <c r="AW296" s="408"/>
      <c r="AX296" s="408"/>
      <c r="AY296" s="408"/>
      <c r="AZ296" s="408"/>
      <c r="BA296" s="357"/>
      <c r="BB296" s="357"/>
      <c r="BC296" s="82" t="s">
        <v>41</v>
      </c>
      <c r="BD296" s="356"/>
      <c r="BE296" s="82"/>
    </row>
    <row r="297" spans="1:57" outlineLevel="1" x14ac:dyDescent="0.25">
      <c r="A297" s="394">
        <f>ROW()</f>
        <v>297</v>
      </c>
      <c r="B297" s="365" t="s">
        <v>146</v>
      </c>
      <c r="C297" s="350" t="s">
        <v>164</v>
      </c>
      <c r="D297" s="357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08"/>
      <c r="V297" s="408"/>
      <c r="W297" s="408"/>
      <c r="X297" s="408"/>
      <c r="Y297" s="408"/>
      <c r="Z297" s="408"/>
      <c r="AA297" s="408"/>
      <c r="AB297" s="408"/>
      <c r="AC297" s="408"/>
      <c r="AD297" s="408"/>
      <c r="AE297" s="408"/>
      <c r="AF297" s="408"/>
      <c r="AG297" s="408"/>
      <c r="AH297" s="408"/>
      <c r="AI297" s="408"/>
      <c r="AJ297" s="408"/>
      <c r="AK297" s="408"/>
      <c r="AL297" s="408"/>
      <c r="AM297" s="358"/>
      <c r="AN297" s="408"/>
      <c r="AO297" s="408"/>
      <c r="AP297" s="408"/>
      <c r="AQ297" s="408"/>
      <c r="AR297" s="408"/>
      <c r="AS297" s="408"/>
      <c r="AT297" s="408"/>
      <c r="AU297" s="408"/>
      <c r="AV297" s="408"/>
      <c r="AW297" s="408"/>
      <c r="AX297" s="408"/>
      <c r="AY297" s="408"/>
      <c r="AZ297" s="408"/>
      <c r="BA297" s="357"/>
      <c r="BB297" s="357"/>
      <c r="BC297" s="82" t="s">
        <v>41</v>
      </c>
      <c r="BD297" s="356"/>
      <c r="BE297" s="82"/>
    </row>
    <row r="298" spans="1:57" outlineLevel="1" x14ac:dyDescent="0.25">
      <c r="A298" s="394">
        <f>ROW()</f>
        <v>298</v>
      </c>
      <c r="B298" s="384" t="s">
        <v>112</v>
      </c>
      <c r="C298" s="350" t="s">
        <v>164</v>
      </c>
      <c r="D298" s="366">
        <f t="shared" ref="D298:D303" si="72">+BB237</f>
        <v>5800008724.6087608</v>
      </c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/>
      <c r="P298" s="412"/>
      <c r="Q298" s="412"/>
      <c r="R298" s="412"/>
      <c r="S298" s="412"/>
      <c r="T298" s="412"/>
      <c r="U298" s="412"/>
      <c r="V298" s="412"/>
      <c r="W298" s="412"/>
      <c r="X298" s="412"/>
      <c r="Y298" s="412"/>
      <c r="Z298" s="412"/>
      <c r="AA298" s="412"/>
      <c r="AB298" s="412"/>
      <c r="AC298" s="412"/>
      <c r="AD298" s="412">
        <f>'SEF-36 pg 1-33, 37'!QV17</f>
        <v>-132706230.10262708</v>
      </c>
      <c r="AE298" s="412"/>
      <c r="AF298" s="412"/>
      <c r="AG298" s="356">
        <f>'SEF-36 pg 1-33, 37'!$SX$28</f>
        <v>148518084.85406506</v>
      </c>
      <c r="AH298" s="356">
        <f>'SEF-36 pg 1-33, 37'!$SX$46</f>
        <v>53719330.550000012</v>
      </c>
      <c r="AI298" s="356">
        <f>'SEF-36 pg 1-33, 37'!$SX$64</f>
        <v>2437674.9908750001</v>
      </c>
      <c r="AJ298" s="356">
        <f>'SEF-36 pg 1-33, 37'!$SX$82</f>
        <v>67432604.695660084</v>
      </c>
      <c r="AK298" s="412"/>
      <c r="AL298" s="412"/>
      <c r="AM298" s="356"/>
      <c r="AN298" s="412"/>
      <c r="AO298" s="412"/>
      <c r="AP298" s="412"/>
      <c r="AQ298" s="412"/>
      <c r="AR298" s="412">
        <f>'SEF-36 pg 34-36'!CY18</f>
        <v>0</v>
      </c>
      <c r="AS298" s="412"/>
      <c r="AT298" s="412"/>
      <c r="AU298" s="412"/>
      <c r="AV298" s="412"/>
      <c r="AW298" s="412"/>
      <c r="AX298" s="412"/>
      <c r="AY298" s="412"/>
      <c r="AZ298" s="412"/>
      <c r="BA298" s="366">
        <f t="shared" ref="BA298:BA303" si="73">SUM(E298:AZ298)</f>
        <v>139401464.98797309</v>
      </c>
      <c r="BB298" s="366">
        <f t="shared" ref="BB298:BB303" si="74">+BA298+D298</f>
        <v>5939410189.596734</v>
      </c>
      <c r="BC298" s="82" t="s">
        <v>41</v>
      </c>
      <c r="BD298" s="356"/>
      <c r="BE298" s="82"/>
    </row>
    <row r="299" spans="1:57" outlineLevel="1" x14ac:dyDescent="0.25">
      <c r="A299" s="394">
        <f>ROW()</f>
        <v>299</v>
      </c>
      <c r="B299" s="384" t="s">
        <v>113</v>
      </c>
      <c r="C299" s="350" t="s">
        <v>164</v>
      </c>
      <c r="D299" s="357">
        <f t="shared" si="72"/>
        <v>-2520722889.248621</v>
      </c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08"/>
      <c r="V299" s="408"/>
      <c r="W299" s="408"/>
      <c r="X299" s="408"/>
      <c r="Y299" s="408"/>
      <c r="Z299" s="408"/>
      <c r="AA299" s="408"/>
      <c r="AB299" s="408"/>
      <c r="AC299" s="408"/>
      <c r="AD299" s="408">
        <f>'SEF-36 pg 1-33, 37'!QV18</f>
        <v>132706230.10262708</v>
      </c>
      <c r="AE299" s="408">
        <f>'SEF-36 pg 1-33, 37'!RN34</f>
        <v>-255077277.02818441</v>
      </c>
      <c r="AF299" s="408">
        <f>'SEF-36 pg 1-33, 37'!SF33</f>
        <v>1154341.1600000001</v>
      </c>
      <c r="AG299" s="358">
        <f>'SEF-36 pg 1-33, 37'!$SX$29</f>
        <v>-23582994.780954998</v>
      </c>
      <c r="AH299" s="358">
        <f>'SEF-36 pg 1-33, 37'!$SX$47</f>
        <v>-9046873.4099999983</v>
      </c>
      <c r="AI299" s="358">
        <f>'SEF-36 pg 1-33, 37'!$SX$65</f>
        <v>-492049.07124999998</v>
      </c>
      <c r="AJ299" s="358">
        <f>'SEF-36 pg 1-33, 37'!$SX$83</f>
        <v>-19967157.574074995</v>
      </c>
      <c r="AK299" s="408"/>
      <c r="AL299" s="408"/>
      <c r="AM299" s="385"/>
      <c r="AN299" s="408">
        <f>'SEF-36 pg 1-33, 37'!VV21</f>
        <v>0</v>
      </c>
      <c r="AO299" s="408"/>
      <c r="AP299" s="408"/>
      <c r="AQ299" s="408"/>
      <c r="AR299" s="408">
        <f>'SEF-36 pg 34-36'!CY19+'SEF-36 pg 34-36'!CY20</f>
        <v>1097259.3660379963</v>
      </c>
      <c r="AS299" s="408"/>
      <c r="AT299" s="416"/>
      <c r="AU299" s="408"/>
      <c r="AV299" s="408"/>
      <c r="AW299" s="408"/>
      <c r="AX299" s="408"/>
      <c r="AY299" s="408"/>
      <c r="AZ299" s="408"/>
      <c r="BA299" s="357">
        <f t="shared" si="73"/>
        <v>-173208521.23579931</v>
      </c>
      <c r="BB299" s="357">
        <f t="shared" si="74"/>
        <v>-2693931410.4844203</v>
      </c>
      <c r="BC299" s="82" t="s">
        <v>41</v>
      </c>
      <c r="BD299" s="356"/>
      <c r="BE299" s="82"/>
    </row>
    <row r="300" spans="1:57" outlineLevel="1" x14ac:dyDescent="0.25">
      <c r="A300" s="394">
        <f>ROW()</f>
        <v>300</v>
      </c>
      <c r="B300" s="365" t="s">
        <v>147</v>
      </c>
      <c r="C300" s="350" t="s">
        <v>164</v>
      </c>
      <c r="D300" s="357">
        <f t="shared" si="72"/>
        <v>10700572.893702809</v>
      </c>
      <c r="E300" s="408"/>
      <c r="F300" s="408"/>
      <c r="G300" s="408"/>
      <c r="H300" s="408"/>
      <c r="I300" s="408"/>
      <c r="J300" s="408"/>
      <c r="K300" s="408"/>
      <c r="L300" s="408"/>
      <c r="M300" s="408"/>
      <c r="N300" s="408"/>
      <c r="O300" s="408"/>
      <c r="P300" s="408"/>
      <c r="Q300" s="408"/>
      <c r="R300" s="408"/>
      <c r="S300" s="408"/>
      <c r="T300" s="408"/>
      <c r="U300" s="408"/>
      <c r="V300" s="408"/>
      <c r="W300" s="408"/>
      <c r="X300" s="408"/>
      <c r="Y300" s="408"/>
      <c r="Z300" s="408"/>
      <c r="AA300" s="408"/>
      <c r="AB300" s="408"/>
      <c r="AC300" s="408"/>
      <c r="AD300" s="408"/>
      <c r="AE300" s="408"/>
      <c r="AF300" s="408">
        <f>'SEF-36 pg 1-33, 37'!SF34</f>
        <v>0</v>
      </c>
      <c r="AG300" s="358"/>
      <c r="AH300" s="358"/>
      <c r="AI300" s="358"/>
      <c r="AJ300" s="358"/>
      <c r="AK300" s="408"/>
      <c r="AL300" s="408">
        <f>'SEF-36 pg 1-33, 37'!VC17</f>
        <v>0</v>
      </c>
      <c r="AM300" s="385"/>
      <c r="AO300" s="408"/>
      <c r="AP300" s="408"/>
      <c r="AQ300" s="408">
        <f>'SEF-36 pg 34-36'!CG25</f>
        <v>-6604602.5850778967</v>
      </c>
      <c r="AR300" s="408"/>
      <c r="AS300" s="408"/>
      <c r="AT300" s="416"/>
      <c r="AU300" s="408"/>
      <c r="AV300" s="408"/>
      <c r="AW300" s="408"/>
      <c r="AX300" s="408"/>
      <c r="AY300" s="408"/>
      <c r="AZ300" s="408"/>
      <c r="BA300" s="357">
        <f t="shared" si="73"/>
        <v>-6604602.5850778967</v>
      </c>
      <c r="BB300" s="357">
        <f t="shared" si="74"/>
        <v>4095970.3086249121</v>
      </c>
      <c r="BC300" s="82" t="s">
        <v>41</v>
      </c>
      <c r="BD300" s="356"/>
      <c r="BE300" s="82"/>
    </row>
    <row r="301" spans="1:57" outlineLevel="1" x14ac:dyDescent="0.25">
      <c r="A301" s="394">
        <f>ROW()</f>
        <v>301</v>
      </c>
      <c r="B301" s="365" t="s">
        <v>148</v>
      </c>
      <c r="C301" s="350" t="s">
        <v>164</v>
      </c>
      <c r="D301" s="357">
        <f t="shared" si="72"/>
        <v>-541309885.01676476</v>
      </c>
      <c r="E301" s="408"/>
      <c r="F301" s="408"/>
      <c r="G301" s="408"/>
      <c r="H301" s="408"/>
      <c r="I301" s="408"/>
      <c r="J301" s="408"/>
      <c r="K301" s="408"/>
      <c r="L301" s="408"/>
      <c r="M301" s="408"/>
      <c r="N301" s="408"/>
      <c r="O301" s="408"/>
      <c r="P301" s="408"/>
      <c r="Q301" s="408"/>
      <c r="R301" s="408"/>
      <c r="S301" s="408"/>
      <c r="T301" s="408"/>
      <c r="U301" s="408"/>
      <c r="V301" s="408"/>
      <c r="W301" s="408"/>
      <c r="X301" s="408"/>
      <c r="Y301" s="408"/>
      <c r="Z301" s="408"/>
      <c r="AA301" s="408"/>
      <c r="AB301" s="408"/>
      <c r="AC301" s="408"/>
      <c r="AD301" s="408"/>
      <c r="AE301" s="408">
        <f>'SEF-36 pg 1-33, 37'!RN35</f>
        <v>42934633.668347955</v>
      </c>
      <c r="AF301" s="408"/>
      <c r="AG301" s="358">
        <f>'SEF-36 pg 1-33, 37'!$SX$30</f>
        <v>-2527668.855455</v>
      </c>
      <c r="AH301" s="358">
        <f>'SEF-36 pg 1-33, 37'!$SX$48</f>
        <v>-1060799.5899999999</v>
      </c>
      <c r="AI301" s="358">
        <f>'SEF-36 pg 1-33, 37'!$SX$66</f>
        <v>-170827.32979499997</v>
      </c>
      <c r="AJ301" s="358">
        <f>'SEF-36 pg 1-33, 37'!$SX$84</f>
        <v>-3360920.1487800009</v>
      </c>
      <c r="AK301" s="408"/>
      <c r="AL301" s="408">
        <f>'SEF-36 pg 1-33, 37'!VC18</f>
        <v>0</v>
      </c>
      <c r="AM301" s="1898"/>
      <c r="AN301" s="408">
        <f>'SEF-36 pg 1-33, 37'!VV22</f>
        <v>0</v>
      </c>
      <c r="AO301" s="408"/>
      <c r="AP301" s="408"/>
      <c r="AQ301" s="408">
        <f>'SEF-36 pg 34-36'!CG26</f>
        <v>1166614.2709085923</v>
      </c>
      <c r="AR301" s="408">
        <f>'SEF-36 pg 34-36'!CY21</f>
        <v>54930.069817058044</v>
      </c>
      <c r="AS301" s="408"/>
      <c r="AT301" s="414"/>
      <c r="AU301" s="408"/>
      <c r="AV301" s="408"/>
      <c r="AW301" s="408"/>
      <c r="AX301" s="408"/>
      <c r="AY301" s="408"/>
      <c r="AZ301" s="408"/>
      <c r="BA301" s="357">
        <f t="shared" si="73"/>
        <v>37035962.085043602</v>
      </c>
      <c r="BB301" s="357">
        <f t="shared" si="74"/>
        <v>-504273922.93172115</v>
      </c>
      <c r="BC301" s="82" t="s">
        <v>41</v>
      </c>
      <c r="BD301" s="356"/>
      <c r="BE301" s="82"/>
    </row>
    <row r="302" spans="1:57" outlineLevel="1" x14ac:dyDescent="0.25">
      <c r="A302" s="394">
        <f>ROW()</f>
        <v>302</v>
      </c>
      <c r="B302" s="365" t="s">
        <v>149</v>
      </c>
      <c r="C302" s="350" t="s">
        <v>164</v>
      </c>
      <c r="D302" s="386">
        <f t="shared" si="72"/>
        <v>119028167.29199991</v>
      </c>
      <c r="E302" s="408"/>
      <c r="F302" s="408"/>
      <c r="G302" s="408"/>
      <c r="H302" s="408"/>
      <c r="I302" s="408"/>
      <c r="J302" s="408"/>
      <c r="K302" s="408"/>
      <c r="L302" s="408"/>
      <c r="M302" s="408"/>
      <c r="N302" s="408"/>
      <c r="O302" s="408"/>
      <c r="P302" s="408"/>
      <c r="Q302" s="408"/>
      <c r="R302" s="408"/>
      <c r="S302" s="408"/>
      <c r="T302" s="408"/>
      <c r="U302" s="408"/>
      <c r="V302" s="408"/>
      <c r="W302" s="408"/>
      <c r="X302" s="408"/>
      <c r="Y302" s="408"/>
      <c r="Z302" s="408"/>
      <c r="AA302" s="408"/>
      <c r="AB302" s="408"/>
      <c r="AC302" s="408"/>
      <c r="AD302" s="408"/>
      <c r="AE302" s="408"/>
      <c r="AF302" s="408"/>
      <c r="AG302" s="408"/>
      <c r="AH302" s="408"/>
      <c r="AI302" s="408"/>
      <c r="AJ302" s="408"/>
      <c r="AK302" s="408"/>
      <c r="AL302" s="408"/>
      <c r="AM302" s="385"/>
      <c r="AN302" s="408"/>
      <c r="AO302" s="408"/>
      <c r="AP302" s="408"/>
      <c r="AQ302" s="408"/>
      <c r="AR302" s="408"/>
      <c r="AS302" s="408"/>
      <c r="AT302" s="408"/>
      <c r="AU302" s="408"/>
      <c r="AV302" s="408"/>
      <c r="AW302" s="408"/>
      <c r="AX302" s="408"/>
      <c r="AY302" s="408"/>
      <c r="AZ302" s="408"/>
      <c r="BA302" s="387">
        <f t="shared" si="73"/>
        <v>0</v>
      </c>
      <c r="BB302" s="357">
        <f t="shared" si="74"/>
        <v>119028167.29199991</v>
      </c>
      <c r="BC302" s="82" t="s">
        <v>41</v>
      </c>
      <c r="BD302" s="356"/>
      <c r="BE302" s="82"/>
    </row>
    <row r="303" spans="1:57" outlineLevel="1" x14ac:dyDescent="0.25">
      <c r="A303" s="394">
        <f>ROW()</f>
        <v>303</v>
      </c>
      <c r="B303" s="365" t="s">
        <v>150</v>
      </c>
      <c r="C303" s="350" t="s">
        <v>164</v>
      </c>
      <c r="D303" s="357">
        <f t="shared" si="72"/>
        <v>-1200697.579405</v>
      </c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408"/>
      <c r="R303" s="408"/>
      <c r="S303" s="408"/>
      <c r="T303" s="408"/>
      <c r="U303" s="408"/>
      <c r="V303" s="408"/>
      <c r="W303" s="408"/>
      <c r="X303" s="408"/>
      <c r="Y303" s="408"/>
      <c r="Z303" s="408"/>
      <c r="AA303" s="408"/>
      <c r="AB303" s="408"/>
      <c r="AC303" s="408"/>
      <c r="AD303" s="408"/>
      <c r="AE303" s="408"/>
      <c r="AF303" s="408"/>
      <c r="AG303" s="408"/>
      <c r="AH303" s="408"/>
      <c r="AI303" s="408"/>
      <c r="AJ303" s="408"/>
      <c r="AK303" s="408"/>
      <c r="AL303" s="408"/>
      <c r="AM303" s="385"/>
      <c r="AN303" s="408"/>
      <c r="AO303" s="408"/>
      <c r="AP303" s="408"/>
      <c r="AQ303" s="408"/>
      <c r="AR303" s="408"/>
      <c r="AS303" s="408"/>
      <c r="AT303" s="408"/>
      <c r="AU303" s="408"/>
      <c r="AV303" s="408"/>
      <c r="AW303" s="408"/>
      <c r="AX303" s="408"/>
      <c r="AY303" s="408"/>
      <c r="AZ303" s="408"/>
      <c r="BA303" s="357">
        <f t="shared" si="73"/>
        <v>0</v>
      </c>
      <c r="BB303" s="357">
        <f t="shared" si="74"/>
        <v>-1200697.579405</v>
      </c>
      <c r="BC303" s="82" t="s">
        <v>41</v>
      </c>
      <c r="BD303" s="356"/>
      <c r="BE303" s="82"/>
    </row>
    <row r="304" spans="1:57" ht="15.75" outlineLevel="1" thickBot="1" x14ac:dyDescent="0.3">
      <c r="A304" s="394">
        <f>ROW()</f>
        <v>304</v>
      </c>
      <c r="B304" s="365" t="s">
        <v>118</v>
      </c>
      <c r="C304" s="350" t="s">
        <v>164</v>
      </c>
      <c r="D304" s="388">
        <f t="shared" ref="D304:AR304" si="75">SUM(D298:D303)</f>
        <v>2866503992.9496732</v>
      </c>
      <c r="E304" s="421">
        <f t="shared" si="75"/>
        <v>0</v>
      </c>
      <c r="F304" s="421">
        <f t="shared" si="75"/>
        <v>0</v>
      </c>
      <c r="G304" s="421">
        <f t="shared" si="75"/>
        <v>0</v>
      </c>
      <c r="H304" s="421">
        <f t="shared" si="75"/>
        <v>0</v>
      </c>
      <c r="I304" s="421">
        <f t="shared" si="75"/>
        <v>0</v>
      </c>
      <c r="J304" s="421">
        <f t="shared" si="75"/>
        <v>0</v>
      </c>
      <c r="K304" s="421">
        <f t="shared" si="75"/>
        <v>0</v>
      </c>
      <c r="L304" s="421">
        <f t="shared" si="75"/>
        <v>0</v>
      </c>
      <c r="M304" s="421">
        <f t="shared" si="75"/>
        <v>0</v>
      </c>
      <c r="N304" s="421">
        <f t="shared" si="75"/>
        <v>0</v>
      </c>
      <c r="O304" s="421">
        <f t="shared" si="75"/>
        <v>0</v>
      </c>
      <c r="P304" s="421">
        <f t="shared" si="75"/>
        <v>0</v>
      </c>
      <c r="Q304" s="421">
        <f t="shared" si="75"/>
        <v>0</v>
      </c>
      <c r="R304" s="421">
        <f t="shared" si="75"/>
        <v>0</v>
      </c>
      <c r="S304" s="421">
        <f t="shared" si="75"/>
        <v>0</v>
      </c>
      <c r="T304" s="421">
        <f t="shared" si="75"/>
        <v>0</v>
      </c>
      <c r="U304" s="421">
        <f t="shared" si="75"/>
        <v>0</v>
      </c>
      <c r="V304" s="421">
        <f t="shared" si="75"/>
        <v>0</v>
      </c>
      <c r="W304" s="421">
        <f t="shared" si="75"/>
        <v>0</v>
      </c>
      <c r="X304" s="421">
        <f t="shared" si="75"/>
        <v>0</v>
      </c>
      <c r="Y304" s="421">
        <f t="shared" si="75"/>
        <v>0</v>
      </c>
      <c r="Z304" s="421">
        <f t="shared" si="75"/>
        <v>0</v>
      </c>
      <c r="AA304" s="421">
        <f t="shared" si="75"/>
        <v>0</v>
      </c>
      <c r="AB304" s="421">
        <f t="shared" si="75"/>
        <v>0</v>
      </c>
      <c r="AC304" s="421">
        <f t="shared" si="75"/>
        <v>0</v>
      </c>
      <c r="AD304" s="421">
        <f t="shared" si="75"/>
        <v>0</v>
      </c>
      <c r="AE304" s="421">
        <f t="shared" si="75"/>
        <v>-212142643.35983646</v>
      </c>
      <c r="AF304" s="421">
        <f t="shared" si="75"/>
        <v>1154341.1600000001</v>
      </c>
      <c r="AG304" s="421">
        <f t="shared" si="75"/>
        <v>122407421.21765506</v>
      </c>
      <c r="AH304" s="421">
        <f t="shared" si="75"/>
        <v>43611657.550000012</v>
      </c>
      <c r="AI304" s="421">
        <f t="shared" si="75"/>
        <v>1774798.5898300002</v>
      </c>
      <c r="AJ304" s="421">
        <f t="shared" si="75"/>
        <v>44104526.972805083</v>
      </c>
      <c r="AK304" s="421">
        <f t="shared" si="75"/>
        <v>0</v>
      </c>
      <c r="AL304" s="421">
        <f t="shared" si="75"/>
        <v>0</v>
      </c>
      <c r="AM304" s="389">
        <f t="shared" si="75"/>
        <v>0</v>
      </c>
      <c r="AN304" s="389">
        <f t="shared" si="75"/>
        <v>0</v>
      </c>
      <c r="AO304" s="389">
        <f t="shared" si="75"/>
        <v>0</v>
      </c>
      <c r="AP304" s="421">
        <f t="shared" si="75"/>
        <v>0</v>
      </c>
      <c r="AQ304" s="421">
        <f t="shared" si="75"/>
        <v>-5437988.3141693044</v>
      </c>
      <c r="AR304" s="421">
        <f t="shared" si="75"/>
        <v>1152189.4358550543</v>
      </c>
      <c r="AS304" s="421"/>
      <c r="AT304" s="421"/>
      <c r="AU304" s="421"/>
      <c r="AV304" s="421"/>
      <c r="AW304" s="421"/>
      <c r="AX304" s="421"/>
      <c r="AY304" s="421"/>
      <c r="AZ304" s="421"/>
      <c r="BA304" s="388">
        <f>SUM(BA298:BA303)</f>
        <v>-3375696.7478605136</v>
      </c>
      <c r="BB304" s="388">
        <f>SUM(BB298:BB303)</f>
        <v>2863128296.2018123</v>
      </c>
      <c r="BC304" s="82" t="s">
        <v>41</v>
      </c>
      <c r="BD304" s="356"/>
      <c r="BE304" s="82"/>
    </row>
    <row r="305" spans="1:57" ht="15.75" outlineLevel="1" thickTop="1" x14ac:dyDescent="0.25">
      <c r="A305" s="394">
        <f>ROW()</f>
        <v>305</v>
      </c>
      <c r="B305" s="65" t="s">
        <v>30</v>
      </c>
      <c r="C305" s="350" t="s">
        <v>164</v>
      </c>
      <c r="H305" s="1897"/>
      <c r="BA305" s="351"/>
      <c r="BB305" s="351"/>
      <c r="BC305" s="82" t="s">
        <v>41</v>
      </c>
      <c r="BD305" s="356"/>
      <c r="BE305" s="82"/>
    </row>
    <row r="306" spans="1:57" outlineLevel="1" x14ac:dyDescent="0.25">
      <c r="A306" s="394">
        <f>ROW()</f>
        <v>306</v>
      </c>
      <c r="B306" s="1896" t="s">
        <v>119</v>
      </c>
      <c r="C306" s="1895" t="s">
        <v>164</v>
      </c>
      <c r="D306" s="1894">
        <f>+'SEF-33 pg 1-2'!C13</f>
        <v>7.6499999999999999E-2</v>
      </c>
      <c r="E306" s="1893">
        <f>+'SEF-33 pg 1-2'!D13</f>
        <v>7.9899999999999999E-2</v>
      </c>
      <c r="F306" s="422">
        <f>+'SEF-33 pg 1-2'!D13</f>
        <v>7.9899999999999999E-2</v>
      </c>
      <c r="G306" s="422">
        <f>+'SEF-33 pg 1-2'!D13</f>
        <v>7.9899999999999999E-2</v>
      </c>
      <c r="H306" s="422">
        <f>+'SEF-33 pg 1-2'!D13</f>
        <v>7.9899999999999999E-2</v>
      </c>
      <c r="I306" s="422">
        <f>+'SEF-33 pg 1-2'!D13</f>
        <v>7.9899999999999999E-2</v>
      </c>
      <c r="J306" s="422">
        <f>+'SEF-33 pg 1-2'!D13</f>
        <v>7.9899999999999999E-2</v>
      </c>
      <c r="K306" s="422">
        <f>+'SEF-33 pg 1-2'!D13</f>
        <v>7.9899999999999999E-2</v>
      </c>
      <c r="L306" s="422">
        <f>+'SEF-33 pg 1-2'!D13</f>
        <v>7.9899999999999999E-2</v>
      </c>
      <c r="M306" s="422">
        <f>+'SEF-33 pg 1-2'!D13</f>
        <v>7.9899999999999999E-2</v>
      </c>
      <c r="N306" s="422">
        <f>+'SEF-33 pg 1-2'!D13</f>
        <v>7.9899999999999999E-2</v>
      </c>
      <c r="O306" s="422">
        <f>+'SEF-33 pg 1-2'!D13</f>
        <v>7.9899999999999999E-2</v>
      </c>
      <c r="P306" s="422">
        <f>+'SEF-33 pg 1-2'!D13</f>
        <v>7.9899999999999999E-2</v>
      </c>
      <c r="Q306" s="422">
        <f>+'SEF-33 pg 1-2'!D13</f>
        <v>7.9899999999999999E-2</v>
      </c>
      <c r="R306" s="422">
        <f>+'SEF-33 pg 1-2'!D13</f>
        <v>7.9899999999999999E-2</v>
      </c>
      <c r="S306" s="422">
        <f>+'SEF-33 pg 1-2'!D13</f>
        <v>7.9899999999999999E-2</v>
      </c>
      <c r="T306" s="422">
        <f>+'SEF-33 pg 1-2'!D13</f>
        <v>7.9899999999999999E-2</v>
      </c>
      <c r="U306" s="422">
        <f>+'SEF-33 pg 1-2'!D13</f>
        <v>7.9899999999999999E-2</v>
      </c>
      <c r="V306" s="422">
        <f>+'SEF-33 pg 1-2'!D13</f>
        <v>7.9899999999999999E-2</v>
      </c>
      <c r="W306" s="422">
        <f>+'SEF-33 pg 1-2'!D13</f>
        <v>7.9899999999999999E-2</v>
      </c>
      <c r="X306" s="422">
        <f>+'SEF-33 pg 1-2'!D13</f>
        <v>7.9899999999999999E-2</v>
      </c>
      <c r="Y306" s="422">
        <f>+'SEF-33 pg 1-2'!D13</f>
        <v>7.9899999999999999E-2</v>
      </c>
      <c r="Z306" s="422">
        <f>+'SEF-33 pg 1-2'!D13</f>
        <v>7.9899999999999999E-2</v>
      </c>
      <c r="AA306" s="422">
        <f>+'SEF-33 pg 1-2'!D13</f>
        <v>7.9899999999999999E-2</v>
      </c>
      <c r="AB306" s="422">
        <f>+'SEF-33 pg 1-2'!D13</f>
        <v>7.9899999999999999E-2</v>
      </c>
      <c r="AC306" s="422">
        <f>+'SEF-33 pg 1-2'!D13</f>
        <v>7.9899999999999999E-2</v>
      </c>
      <c r="AD306" s="422">
        <f>+'SEF-33 pg 1-2'!D13</f>
        <v>7.9899999999999999E-2</v>
      </c>
      <c r="AE306" s="422">
        <f>+'SEF-33 pg 1-2'!D13</f>
        <v>7.9899999999999999E-2</v>
      </c>
      <c r="AF306" s="422">
        <f>+'SEF-33 pg 1-2'!D13</f>
        <v>7.9899999999999999E-2</v>
      </c>
      <c r="AG306" s="422">
        <f>+'SEF-33 pg 1-2'!$D$13</f>
        <v>7.9899999999999999E-2</v>
      </c>
      <c r="AH306" s="422">
        <f>+'SEF-33 pg 1-2'!$D$13</f>
        <v>7.9899999999999999E-2</v>
      </c>
      <c r="AI306" s="422">
        <f>+'SEF-33 pg 1-2'!$D$13</f>
        <v>7.9899999999999999E-2</v>
      </c>
      <c r="AJ306" s="422">
        <f>+'SEF-33 pg 1-2'!$D$13</f>
        <v>7.9899999999999999E-2</v>
      </c>
      <c r="AK306" s="422">
        <f>+'SEF-33 pg 1-2'!$D$13</f>
        <v>7.9899999999999999E-2</v>
      </c>
      <c r="AL306" s="422">
        <f>+'SEF-33 pg 1-2'!$D$13</f>
        <v>7.9899999999999999E-2</v>
      </c>
      <c r="AM306" s="422">
        <f>+'SEF-33 pg 1-2'!$D$13</f>
        <v>7.9899999999999999E-2</v>
      </c>
      <c r="AN306" s="422">
        <f>+'SEF-33 pg 1-2'!$D$13</f>
        <v>7.9899999999999999E-2</v>
      </c>
      <c r="AO306" s="422">
        <f>+'SEF-33 pg 1-2'!$D$13</f>
        <v>7.9899999999999999E-2</v>
      </c>
      <c r="AP306" s="422">
        <f>+'SEF-33 pg 1-2'!D13</f>
        <v>7.9899999999999999E-2</v>
      </c>
      <c r="AQ306" s="422">
        <f>+'SEF-33 pg 1-2'!D13</f>
        <v>7.9899999999999999E-2</v>
      </c>
      <c r="AR306" s="422">
        <f>+'SEF-33 pg 1-2'!D13</f>
        <v>7.9899999999999999E-2</v>
      </c>
      <c r="AS306" s="422">
        <f>+'SEF-33 pg 1-2'!D13</f>
        <v>7.9899999999999999E-2</v>
      </c>
      <c r="AT306" s="422"/>
      <c r="AU306" s="422"/>
      <c r="AV306" s="422"/>
      <c r="AW306" s="422"/>
      <c r="AX306" s="422"/>
      <c r="AY306" s="422"/>
      <c r="AZ306" s="422"/>
      <c r="BA306" s="81">
        <f>+'SEF-33 pg 1-2'!C13</f>
        <v>7.6499999999999999E-2</v>
      </c>
      <c r="BB306" s="81">
        <f>+'SEF-33 pg 1-2'!C13</f>
        <v>7.6499999999999999E-2</v>
      </c>
      <c r="BC306" s="82" t="s">
        <v>41</v>
      </c>
      <c r="BD306" s="356"/>
      <c r="BE306" s="82"/>
    </row>
    <row r="307" spans="1:57" outlineLevel="1" x14ac:dyDescent="0.25">
      <c r="A307" s="394">
        <f>ROW()</f>
        <v>307</v>
      </c>
      <c r="B307" s="365" t="s">
        <v>3</v>
      </c>
      <c r="C307" s="350" t="s">
        <v>164</v>
      </c>
      <c r="D307" s="390">
        <f>+'SEF-35'!E20</f>
        <v>0.75342299999999995</v>
      </c>
      <c r="E307" s="391">
        <f>+'SEF-35'!E20</f>
        <v>0.75342299999999995</v>
      </c>
      <c r="F307" s="391">
        <f>+'SEF-35'!E20</f>
        <v>0.75342299999999995</v>
      </c>
      <c r="G307" s="391">
        <f>+'SEF-35'!E20</f>
        <v>0.75342299999999995</v>
      </c>
      <c r="H307" s="391">
        <f>+'SEF-35'!E20</f>
        <v>0.75342299999999995</v>
      </c>
      <c r="I307" s="391">
        <f>+'SEF-35'!E20</f>
        <v>0.75342299999999995</v>
      </c>
      <c r="J307" s="391">
        <f>+'SEF-35'!E20</f>
        <v>0.75342299999999995</v>
      </c>
      <c r="K307" s="391">
        <f>+'SEF-35'!E20</f>
        <v>0.75342299999999995</v>
      </c>
      <c r="L307" s="391">
        <f>+'SEF-35'!E20</f>
        <v>0.75342299999999995</v>
      </c>
      <c r="M307" s="391">
        <f>+'SEF-35'!E20</f>
        <v>0.75342299999999995</v>
      </c>
      <c r="N307" s="391">
        <f>+'SEF-35'!E20</f>
        <v>0.75342299999999995</v>
      </c>
      <c r="O307" s="391">
        <f>+'SEF-35'!E20</f>
        <v>0.75342299999999995</v>
      </c>
      <c r="P307" s="391">
        <f>+'SEF-35'!E20</f>
        <v>0.75342299999999995</v>
      </c>
      <c r="Q307" s="391">
        <f>+'SEF-35'!E20</f>
        <v>0.75342299999999995</v>
      </c>
      <c r="R307" s="391">
        <f>+'SEF-35'!E20</f>
        <v>0.75342299999999995</v>
      </c>
      <c r="S307" s="391">
        <f>+'SEF-35'!E20</f>
        <v>0.75342299999999995</v>
      </c>
      <c r="T307" s="391">
        <f>+'SEF-35'!E20</f>
        <v>0.75342299999999995</v>
      </c>
      <c r="U307" s="391">
        <f>+'SEF-35'!E20</f>
        <v>0.75342299999999995</v>
      </c>
      <c r="V307" s="391">
        <f>+'SEF-35'!E20</f>
        <v>0.75342299999999995</v>
      </c>
      <c r="W307" s="391">
        <f>+'SEF-35'!E20</f>
        <v>0.75342299999999995</v>
      </c>
      <c r="X307" s="391">
        <f>+'SEF-35'!E20</f>
        <v>0.75342299999999995</v>
      </c>
      <c r="Y307" s="391">
        <f>+'SEF-35'!E20</f>
        <v>0.75342299999999995</v>
      </c>
      <c r="Z307" s="391">
        <f>+'SEF-35'!E20</f>
        <v>0.75342299999999995</v>
      </c>
      <c r="AA307" s="391">
        <f>+'SEF-35'!E20</f>
        <v>0.75342299999999995</v>
      </c>
      <c r="AB307" s="391">
        <f>+'SEF-35'!E20</f>
        <v>0.75342299999999995</v>
      </c>
      <c r="AC307" s="391">
        <f>+'SEF-35'!E20</f>
        <v>0.75342299999999995</v>
      </c>
      <c r="AD307" s="391">
        <f>+'SEF-35'!E20</f>
        <v>0.75342299999999995</v>
      </c>
      <c r="AE307" s="391">
        <f>+'SEF-35'!E20</f>
        <v>0.75342299999999995</v>
      </c>
      <c r="AF307" s="391">
        <f>+'SEF-35'!E20</f>
        <v>0.75342299999999995</v>
      </c>
      <c r="AG307" s="391">
        <f>+'SEF-35'!$E$20</f>
        <v>0.75342299999999995</v>
      </c>
      <c r="AH307" s="391">
        <f>+'SEF-35'!$E$20</f>
        <v>0.75342299999999995</v>
      </c>
      <c r="AI307" s="391">
        <f>+'SEF-35'!$E$20</f>
        <v>0.75342299999999995</v>
      </c>
      <c r="AJ307" s="391">
        <f>+'SEF-35'!$E$20</f>
        <v>0.75342299999999995</v>
      </c>
      <c r="AK307" s="391">
        <f>+'SEF-35'!$E$20</f>
        <v>0.75342299999999995</v>
      </c>
      <c r="AL307" s="391">
        <f>+'SEF-35'!$E$20</f>
        <v>0.75342299999999995</v>
      </c>
      <c r="AM307" s="391">
        <f>+'SEF-35'!$E$20</f>
        <v>0.75342299999999995</v>
      </c>
      <c r="AN307" s="391">
        <f>+'SEF-35'!$E$20</f>
        <v>0.75342299999999995</v>
      </c>
      <c r="AO307" s="391">
        <f>+'SEF-35'!$E$20</f>
        <v>0.75342299999999995</v>
      </c>
      <c r="AP307" s="391">
        <f>+'SEF-35'!E20</f>
        <v>0.75342299999999995</v>
      </c>
      <c r="AQ307" s="391">
        <f>+'SEF-35'!E20</f>
        <v>0.75342299999999995</v>
      </c>
      <c r="AR307" s="391">
        <f>+'SEF-35'!E20</f>
        <v>0.75342299999999995</v>
      </c>
      <c r="AS307" s="391">
        <f>+'SEF-35'!E20</f>
        <v>0.75342299999999995</v>
      </c>
      <c r="AT307" s="391"/>
      <c r="AU307" s="391"/>
      <c r="AV307" s="391"/>
      <c r="AW307" s="391"/>
      <c r="AX307" s="391"/>
      <c r="AY307" s="391"/>
      <c r="AZ307" s="391"/>
      <c r="BA307" s="391">
        <f>+'SEF-35'!E20</f>
        <v>0.75342299999999995</v>
      </c>
      <c r="BB307" s="390">
        <f>+'SEF-35'!E20</f>
        <v>0.75342299999999995</v>
      </c>
      <c r="BC307" s="82" t="s">
        <v>41</v>
      </c>
      <c r="BD307" s="356"/>
      <c r="BE307" s="82"/>
    </row>
    <row r="308" spans="1:57" outlineLevel="1" x14ac:dyDescent="0.25">
      <c r="A308" s="394">
        <f>ROW()</f>
        <v>308</v>
      </c>
      <c r="B308" s="365" t="s">
        <v>152</v>
      </c>
      <c r="C308" s="350" t="s">
        <v>164</v>
      </c>
      <c r="D308" s="371">
        <f t="shared" ref="D308:AS308" si="76">+D291-(D304*D306)</f>
        <v>-189110513.73022446</v>
      </c>
      <c r="E308" s="392">
        <f t="shared" si="76"/>
        <v>-2071178.5169968852</v>
      </c>
      <c r="F308" s="414">
        <f t="shared" si="76"/>
        <v>0</v>
      </c>
      <c r="G308" s="414">
        <f t="shared" si="76"/>
        <v>0</v>
      </c>
      <c r="H308" s="414">
        <f t="shared" si="76"/>
        <v>184598.59659993602</v>
      </c>
      <c r="I308" s="414">
        <f t="shared" si="76"/>
        <v>-259430.30854620427</v>
      </c>
      <c r="J308" s="414">
        <f t="shared" si="76"/>
        <v>0</v>
      </c>
      <c r="K308" s="414">
        <f t="shared" si="76"/>
        <v>0</v>
      </c>
      <c r="L308" s="414">
        <f t="shared" si="76"/>
        <v>0</v>
      </c>
      <c r="M308" s="414">
        <f t="shared" si="76"/>
        <v>0</v>
      </c>
      <c r="N308" s="414">
        <f t="shared" si="76"/>
        <v>0</v>
      </c>
      <c r="O308" s="414">
        <f t="shared" si="76"/>
        <v>-1522.7486420287016</v>
      </c>
      <c r="P308" s="414">
        <f t="shared" si="76"/>
        <v>0</v>
      </c>
      <c r="Q308" s="414">
        <f t="shared" si="76"/>
        <v>0</v>
      </c>
      <c r="R308" s="414">
        <f t="shared" si="76"/>
        <v>0</v>
      </c>
      <c r="S308" s="414">
        <f t="shared" si="76"/>
        <v>1483149.1865527751</v>
      </c>
      <c r="T308" s="414">
        <f t="shared" si="76"/>
        <v>0</v>
      </c>
      <c r="U308" s="414">
        <f t="shared" si="76"/>
        <v>0</v>
      </c>
      <c r="V308" s="414">
        <f t="shared" si="76"/>
        <v>0</v>
      </c>
      <c r="W308" s="414">
        <f t="shared" si="76"/>
        <v>0</v>
      </c>
      <c r="X308" s="414">
        <f t="shared" si="76"/>
        <v>0</v>
      </c>
      <c r="Y308" s="414">
        <f t="shared" si="76"/>
        <v>0</v>
      </c>
      <c r="Z308" s="414">
        <f t="shared" si="76"/>
        <v>-6512079.5518052848</v>
      </c>
      <c r="AA308" s="414">
        <f t="shared" si="76"/>
        <v>0</v>
      </c>
      <c r="AB308" s="414">
        <f t="shared" si="76"/>
        <v>0</v>
      </c>
      <c r="AC308" s="414">
        <f t="shared" si="76"/>
        <v>1413394.9515225352</v>
      </c>
      <c r="AD308" s="414">
        <f t="shared" si="76"/>
        <v>0</v>
      </c>
      <c r="AE308" s="414">
        <f t="shared" si="76"/>
        <v>24075465.129571959</v>
      </c>
      <c r="AF308" s="414">
        <f t="shared" si="76"/>
        <v>404872.3154160009</v>
      </c>
      <c r="AG308" s="414">
        <f t="shared" si="76"/>
        <v>-18137213.550786041</v>
      </c>
      <c r="AH308" s="414">
        <f t="shared" si="76"/>
        <v>-5297214.0431449991</v>
      </c>
      <c r="AI308" s="414">
        <f t="shared" si="76"/>
        <v>-334382.73024181707</v>
      </c>
      <c r="AJ308" s="414">
        <f t="shared" si="76"/>
        <v>-10117000.395301277</v>
      </c>
      <c r="AK308" s="414">
        <f t="shared" si="76"/>
        <v>0</v>
      </c>
      <c r="AL308" s="414">
        <f t="shared" si="76"/>
        <v>0</v>
      </c>
      <c r="AM308" s="414">
        <f t="shared" si="76"/>
        <v>0</v>
      </c>
      <c r="AN308" s="414">
        <f t="shared" si="76"/>
        <v>0</v>
      </c>
      <c r="AO308" s="414">
        <f t="shared" si="76"/>
        <v>-11163.933253252708</v>
      </c>
      <c r="AP308" s="414">
        <f t="shared" si="76"/>
        <v>0</v>
      </c>
      <c r="AQ308" s="414">
        <f t="shared" si="76"/>
        <v>5007827.2141842898</v>
      </c>
      <c r="AR308" s="414">
        <f t="shared" si="76"/>
        <v>592739.63441949489</v>
      </c>
      <c r="AS308" s="392">
        <f t="shared" si="76"/>
        <v>-517474.02904289996</v>
      </c>
      <c r="AT308" s="414"/>
      <c r="AU308" s="414"/>
      <c r="AV308" s="414"/>
      <c r="AW308" s="414"/>
      <c r="AX308" s="414"/>
      <c r="AY308" s="414"/>
      <c r="AZ308" s="414"/>
      <c r="BA308" s="357">
        <f>SUM(E308:AZ308)</f>
        <v>-10096612.779493695</v>
      </c>
      <c r="BB308" s="371">
        <f>+BB291-(BB304*BB306)</f>
        <v>-199218603.87866083</v>
      </c>
      <c r="BC308" s="82" t="s">
        <v>41</v>
      </c>
      <c r="BD308" s="356"/>
      <c r="BE308" s="82"/>
    </row>
    <row r="309" spans="1:57" outlineLevel="1" x14ac:dyDescent="0.25">
      <c r="A309" s="394">
        <f>ROW()</f>
        <v>309</v>
      </c>
      <c r="B309" s="1892" t="s">
        <v>153</v>
      </c>
      <c r="C309" s="350" t="s">
        <v>164</v>
      </c>
      <c r="D309" s="371">
        <f t="shared" ref="D309:AS309" si="77">-D308/D307</f>
        <v>251001779.5185765</v>
      </c>
      <c r="E309" s="414">
        <f t="shared" si="77"/>
        <v>2749024.8067777138</v>
      </c>
      <c r="F309" s="414">
        <f t="shared" si="77"/>
        <v>0</v>
      </c>
      <c r="G309" s="414">
        <f t="shared" si="77"/>
        <v>0</v>
      </c>
      <c r="H309" s="392">
        <f t="shared" si="77"/>
        <v>-245013.22178900303</v>
      </c>
      <c r="I309" s="392">
        <f t="shared" si="77"/>
        <v>344335.53069949325</v>
      </c>
      <c r="J309" s="414">
        <f t="shared" si="77"/>
        <v>0</v>
      </c>
      <c r="K309" s="414">
        <f t="shared" si="77"/>
        <v>0</v>
      </c>
      <c r="L309" s="414">
        <f t="shared" si="77"/>
        <v>0</v>
      </c>
      <c r="M309" s="414">
        <f t="shared" si="77"/>
        <v>0</v>
      </c>
      <c r="N309" s="414">
        <f t="shared" si="77"/>
        <v>0</v>
      </c>
      <c r="O309" s="392">
        <f t="shared" si="77"/>
        <v>2021.1071894920938</v>
      </c>
      <c r="P309" s="414">
        <f t="shared" si="77"/>
        <v>0</v>
      </c>
      <c r="Q309" s="414">
        <f t="shared" si="77"/>
        <v>0</v>
      </c>
      <c r="R309" s="414">
        <f t="shared" si="77"/>
        <v>0</v>
      </c>
      <c r="S309" s="392">
        <f t="shared" si="77"/>
        <v>-1968547.7965933813</v>
      </c>
      <c r="T309" s="414">
        <f t="shared" si="77"/>
        <v>0</v>
      </c>
      <c r="U309" s="414">
        <f t="shared" si="77"/>
        <v>0</v>
      </c>
      <c r="V309" s="414">
        <f t="shared" si="77"/>
        <v>0</v>
      </c>
      <c r="W309" s="414">
        <f t="shared" si="77"/>
        <v>0</v>
      </c>
      <c r="X309" s="414">
        <f t="shared" si="77"/>
        <v>0</v>
      </c>
      <c r="Y309" s="414">
        <f t="shared" si="77"/>
        <v>0</v>
      </c>
      <c r="Z309" s="392">
        <f t="shared" si="77"/>
        <v>8643324.6022556853</v>
      </c>
      <c r="AA309" s="414">
        <f t="shared" si="77"/>
        <v>0</v>
      </c>
      <c r="AB309" s="414">
        <f t="shared" si="77"/>
        <v>0</v>
      </c>
      <c r="AC309" s="392">
        <f t="shared" si="77"/>
        <v>-1875964.6991431576</v>
      </c>
      <c r="AD309" s="414">
        <f t="shared" si="77"/>
        <v>0</v>
      </c>
      <c r="AE309" s="392">
        <f t="shared" si="77"/>
        <v>-31954778.563399259</v>
      </c>
      <c r="AF309" s="392">
        <f t="shared" si="77"/>
        <v>-537377.16450918128</v>
      </c>
      <c r="AG309" s="392">
        <f t="shared" si="77"/>
        <v>24073081.855459739</v>
      </c>
      <c r="AH309" s="392">
        <f t="shared" si="77"/>
        <v>7030863.1978914887</v>
      </c>
      <c r="AI309" s="392">
        <f t="shared" si="77"/>
        <v>443818.05472067761</v>
      </c>
      <c r="AJ309" s="392">
        <f t="shared" si="77"/>
        <v>13428048.248196932</v>
      </c>
      <c r="AK309" s="414">
        <f t="shared" si="77"/>
        <v>0</v>
      </c>
      <c r="AL309" s="414">
        <f t="shared" si="77"/>
        <v>0</v>
      </c>
      <c r="AM309" s="414">
        <f t="shared" si="77"/>
        <v>0</v>
      </c>
      <c r="AN309" s="414">
        <f t="shared" si="77"/>
        <v>0</v>
      </c>
      <c r="AO309" s="392">
        <f t="shared" si="77"/>
        <v>14817.61673489223</v>
      </c>
      <c r="AP309" s="414">
        <f t="shared" si="77"/>
        <v>0</v>
      </c>
      <c r="AQ309" s="392">
        <f t="shared" si="77"/>
        <v>-6646767.1071686028</v>
      </c>
      <c r="AR309" s="392">
        <f t="shared" si="77"/>
        <v>-786728.88194214262</v>
      </c>
      <c r="AS309" s="392">
        <f t="shared" si="77"/>
        <v>686830.67684806546</v>
      </c>
      <c r="AT309" s="414"/>
      <c r="AU309" s="414"/>
      <c r="AV309" s="414"/>
      <c r="AW309" s="414"/>
      <c r="AX309" s="414"/>
      <c r="AY309" s="414"/>
      <c r="AZ309" s="414"/>
      <c r="BA309" s="357">
        <f>-BA308/BA307</f>
        <v>13400988.262229446</v>
      </c>
      <c r="BB309" s="371">
        <f>-BB308/BB307</f>
        <v>264418001.41309839</v>
      </c>
      <c r="BC309" s="82" t="s">
        <v>41</v>
      </c>
      <c r="BD309" s="356"/>
      <c r="BE309" s="82"/>
    </row>
    <row r="310" spans="1:57" outlineLevel="1" x14ac:dyDescent="0.25">
      <c r="A310" s="394">
        <f>ROW()</f>
        <v>310</v>
      </c>
      <c r="B310" s="365" t="s">
        <v>128</v>
      </c>
      <c r="C310" s="350" t="s">
        <v>164</v>
      </c>
      <c r="D310" s="357"/>
      <c r="E310" s="414"/>
      <c r="F310" s="414"/>
      <c r="G310" s="414"/>
      <c r="H310" s="414"/>
      <c r="I310" s="414"/>
      <c r="J310" s="414"/>
      <c r="K310" s="414"/>
      <c r="L310" s="414"/>
      <c r="M310" s="414"/>
      <c r="N310" s="414"/>
      <c r="O310" s="414"/>
      <c r="P310" s="414"/>
      <c r="Q310" s="414"/>
      <c r="R310" s="414"/>
      <c r="S310" s="414"/>
      <c r="T310" s="414"/>
      <c r="U310" s="414"/>
      <c r="V310" s="414"/>
      <c r="W310" s="414"/>
      <c r="X310" s="414"/>
      <c r="Y310" s="414"/>
      <c r="Z310" s="414"/>
      <c r="AA310" s="414"/>
      <c r="AB310" s="414"/>
      <c r="AC310" s="414"/>
      <c r="AD310" s="414"/>
      <c r="AE310" s="414"/>
      <c r="AF310" s="414"/>
      <c r="AG310" s="414"/>
      <c r="AH310" s="414"/>
      <c r="AI310" s="414"/>
      <c r="AJ310" s="414"/>
      <c r="AK310" s="414"/>
      <c r="AL310" s="414"/>
      <c r="AM310" s="382"/>
      <c r="AN310" s="414"/>
      <c r="AO310" s="414"/>
      <c r="AP310" s="414"/>
      <c r="AQ310" s="414"/>
      <c r="AR310" s="414"/>
      <c r="AS310" s="414"/>
      <c r="AT310" s="414"/>
      <c r="AU310" s="414"/>
      <c r="AV310" s="414"/>
      <c r="AW310" s="414"/>
      <c r="AX310" s="414"/>
      <c r="AY310" s="414"/>
      <c r="AZ310" s="414"/>
      <c r="BA310" s="357"/>
      <c r="BB310" s="357">
        <f>+BB249</f>
        <v>1033773304.3797647</v>
      </c>
      <c r="BC310" s="82" t="s">
        <v>41</v>
      </c>
      <c r="BD310" s="356"/>
      <c r="BE310" s="82"/>
    </row>
    <row r="311" spans="1:57" outlineLevel="1" x14ac:dyDescent="0.25">
      <c r="A311" s="394">
        <f>ROW()</f>
        <v>311</v>
      </c>
      <c r="B311" s="365" t="s">
        <v>129</v>
      </c>
      <c r="C311" s="350" t="s">
        <v>164</v>
      </c>
      <c r="D311" s="357"/>
      <c r="E311" s="414"/>
      <c r="F311" s="414"/>
      <c r="G311" s="414"/>
      <c r="H311" s="414"/>
      <c r="I311" s="414"/>
      <c r="J311" s="414"/>
      <c r="K311" s="414"/>
      <c r="L311" s="414"/>
      <c r="M311" s="414"/>
      <c r="N311" s="414"/>
      <c r="O311" s="414"/>
      <c r="P311" s="414"/>
      <c r="Q311" s="414"/>
      <c r="R311" s="414"/>
      <c r="S311" s="414"/>
      <c r="T311" s="414"/>
      <c r="U311" s="414"/>
      <c r="V311" s="414"/>
      <c r="W311" s="414"/>
      <c r="X311" s="414"/>
      <c r="Y311" s="414"/>
      <c r="Z311" s="414"/>
      <c r="AA311" s="414"/>
      <c r="AB311" s="414"/>
      <c r="AC311" s="414"/>
      <c r="AD311" s="414"/>
      <c r="AE311" s="414"/>
      <c r="AF311" s="414"/>
      <c r="AG311" s="414"/>
      <c r="AH311" s="414"/>
      <c r="AI311" s="414"/>
      <c r="AJ311" s="414"/>
      <c r="AK311" s="414"/>
      <c r="AL311" s="414"/>
      <c r="AM311" s="382"/>
      <c r="AN311" s="414"/>
      <c r="AO311" s="414"/>
      <c r="AP311" s="414"/>
      <c r="AQ311" s="414"/>
      <c r="AR311" s="414"/>
      <c r="AS311" s="414"/>
      <c r="AT311" s="414"/>
      <c r="AU311" s="414"/>
      <c r="AV311" s="414"/>
      <c r="AW311" s="414"/>
      <c r="AX311" s="414"/>
      <c r="AY311" s="414"/>
      <c r="AZ311" s="414"/>
      <c r="BA311" s="357"/>
      <c r="BB311" s="1891">
        <f>SUM(BB309:BB310)</f>
        <v>1298191305.7928631</v>
      </c>
      <c r="BC311" s="82" t="s">
        <v>41</v>
      </c>
      <c r="BD311" s="356"/>
      <c r="BE311" s="82"/>
    </row>
    <row r="312" spans="1:57" outlineLevel="1" x14ac:dyDescent="0.25">
      <c r="A312" s="394">
        <f>ROW()</f>
        <v>312</v>
      </c>
      <c r="B312" s="365"/>
      <c r="C312" s="350" t="s">
        <v>164</v>
      </c>
      <c r="D312" s="393"/>
      <c r="E312" s="382"/>
      <c r="F312" s="382"/>
      <c r="G312" s="382"/>
      <c r="H312" s="382"/>
      <c r="I312" s="382"/>
      <c r="J312" s="382"/>
      <c r="K312" s="382"/>
      <c r="L312" s="382"/>
      <c r="M312" s="382"/>
      <c r="N312" s="382"/>
      <c r="O312" s="382"/>
      <c r="P312" s="382"/>
      <c r="Q312" s="382"/>
      <c r="R312" s="382"/>
      <c r="S312" s="382"/>
      <c r="T312" s="382"/>
      <c r="U312" s="382"/>
      <c r="V312" s="382"/>
      <c r="W312" s="382"/>
      <c r="X312" s="382"/>
      <c r="Y312" s="382"/>
      <c r="Z312" s="382"/>
      <c r="AA312" s="382"/>
      <c r="AB312" s="382"/>
      <c r="AC312" s="382"/>
      <c r="AD312" s="382"/>
      <c r="AE312" s="382"/>
      <c r="AF312" s="382"/>
      <c r="AG312" s="414"/>
      <c r="AH312" s="414"/>
      <c r="AI312" s="414"/>
      <c r="AJ312" s="414"/>
      <c r="AK312" s="382"/>
      <c r="AL312" s="382"/>
      <c r="AM312" s="382"/>
      <c r="AN312" s="382"/>
      <c r="AO312" s="382"/>
      <c r="AP312" s="382"/>
      <c r="AQ312" s="382"/>
      <c r="AR312" s="382"/>
      <c r="AS312" s="382"/>
      <c r="AT312" s="382"/>
      <c r="AU312" s="382"/>
      <c r="AV312" s="382"/>
      <c r="AW312" s="382"/>
      <c r="AX312" s="382"/>
      <c r="AY312" s="382"/>
      <c r="AZ312" s="382"/>
      <c r="BA312" s="393"/>
      <c r="BB312" s="393"/>
      <c r="BC312" s="82" t="s">
        <v>41</v>
      </c>
      <c r="BE312" s="82"/>
    </row>
    <row r="313" spans="1:57" outlineLevel="1" x14ac:dyDescent="0.25">
      <c r="A313" s="394">
        <f>ROW()</f>
        <v>313</v>
      </c>
      <c r="B313" s="365"/>
      <c r="C313" s="350" t="s">
        <v>164</v>
      </c>
      <c r="BA313" s="80">
        <f>+'SEF-33 pg 1-2'!K24</f>
        <v>7.6499999999999999E-2</v>
      </c>
      <c r="BB313" s="80">
        <f>+'SEF-33 pg 1-2'!K24</f>
        <v>7.6499999999999999E-2</v>
      </c>
      <c r="BC313" s="82" t="s">
        <v>41</v>
      </c>
      <c r="BE313" s="82"/>
    </row>
    <row r="314" spans="1:57" outlineLevel="1" x14ac:dyDescent="0.25">
      <c r="A314" s="394">
        <f>ROW()</f>
        <v>314</v>
      </c>
      <c r="B314" s="395" t="s">
        <v>154</v>
      </c>
      <c r="C314" s="350" t="s">
        <v>164</v>
      </c>
      <c r="D314" s="396"/>
      <c r="E314" s="429">
        <f>ROUND('SEF-36 pg 1-33, 37'!M$71-E291,0)+E293</f>
        <v>0</v>
      </c>
      <c r="F314" s="429">
        <f>ROUND('SEF-36 pg 1-33, 37'!AE$65-F291,0)+F293</f>
        <v>0</v>
      </c>
      <c r="G314" s="429">
        <f>ROUND('SEF-36 pg 1-33, 37'!AW$30-G291,0)+G293</f>
        <v>0</v>
      </c>
      <c r="H314" s="429">
        <f>ROUND('SEF-36 pg 1-33, 37'!BO$22-H291,0)+ROUND('SEF-36 pg 1-33, 37'!BO$24-H293,0)</f>
        <v>0</v>
      </c>
      <c r="I314" s="429">
        <f>ROUND('SEF-36 pg 1-33, 37'!CG$24-I291,0)+I293</f>
        <v>0</v>
      </c>
      <c r="J314" s="429">
        <f>ROUND('SEF-36 pg 1-33, 37'!CY$20-J291,0)+J293</f>
        <v>0</v>
      </c>
      <c r="K314" s="429">
        <f>ROUND('SEF-36 pg 1-33, 37'!DQ$22-K291,0)+K293</f>
        <v>0</v>
      </c>
      <c r="L314" s="429">
        <f>ROUND('SEF-36 pg 1-33, 37'!EI$21-L291,0)+L293</f>
        <v>0</v>
      </c>
      <c r="M314" s="429">
        <f>ROUND('SEF-36 pg 1-33, 37'!FA$27-M291,0)+M293</f>
        <v>0</v>
      </c>
      <c r="N314" s="429">
        <f>ROUND('SEF-36 pg 1-33, 37'!FS$23-N291,0)+N293</f>
        <v>0</v>
      </c>
      <c r="O314" s="429">
        <f>ROUND('SEF-36 pg 1-33, 37'!GK$32-O291,0)+O293</f>
        <v>0</v>
      </c>
      <c r="P314" s="429">
        <f>ROUND('SEF-36 pg 1-33, 37'!HC$36-P291,0)+P293</f>
        <v>0</v>
      </c>
      <c r="Q314" s="429">
        <f>ROUND('SEF-36 pg 1-33, 37'!HU$18-Q291,0)+Q293</f>
        <v>0</v>
      </c>
      <c r="R314" s="429">
        <f>ROUND('SEF-36 pg 1-33, 37'!IM$21-R291,0)+R293</f>
        <v>0</v>
      </c>
      <c r="S314" s="429">
        <f>ROUND('SEF-36 pg 1-33, 37'!JE$22-S291,0)+S293</f>
        <v>0</v>
      </c>
      <c r="T314" s="429">
        <f>ROUND('SEF-36 pg 1-33, 37'!JW$23-T291,0)+T293</f>
        <v>0</v>
      </c>
      <c r="U314" s="429">
        <f>ROUND('SEF-36 pg 1-33, 37'!KO$20-U291,0)+U293</f>
        <v>0</v>
      </c>
      <c r="V314" s="429">
        <f>ROUND('SEF-36 pg 1-33, 37'!LG$33-V291,0)+V293</f>
        <v>0</v>
      </c>
      <c r="W314" s="429">
        <f>ROUND('SEF-36 pg 1-33, 37'!LY$22-W293,0)+W291</f>
        <v>0</v>
      </c>
      <c r="X314" s="429">
        <f>ROUND('SEF-36 pg 1-33, 37'!MQ$31-X291,0)+ROUND('SEF-36 pg 1-33, 37'!MQ$36-X293,0)</f>
        <v>0</v>
      </c>
      <c r="Y314" s="429">
        <f>ROUND('SEF-36 pg 1-33, 37'!NI$22-Y291,0)+Y293</f>
        <v>0</v>
      </c>
      <c r="Z314" s="429">
        <f>ROUND('SEF-36 pg 1-33, 37'!OA$31-Z291,0)+Z293</f>
        <v>0</v>
      </c>
      <c r="AA314" s="429">
        <f>ROUND('SEF-36 pg 1-33, 37'!OS$35-AA291,0)+ROUND('SEF-36 pg 1-33, 37'!OS$24-AA293,0)</f>
        <v>0</v>
      </c>
      <c r="AB314" s="429">
        <f>ROUND('SEF-36 pg 1-33, 37'!PK$51-AB291,0)+ROUND('SEF-36 pg 1-33, 37'!PK$35-AB293,0)</f>
        <v>0</v>
      </c>
      <c r="AC314" s="429">
        <f>ROUND('SEF-36 pg 1-33, 37'!QC$21-AC291,0)+AC293</f>
        <v>0</v>
      </c>
      <c r="AD314" s="429">
        <f>ROUND('SEF-36 pg 1-33, 37'!QV19-AD293,0)</f>
        <v>0</v>
      </c>
      <c r="AE314" s="429">
        <f>ROUND('SEF-36 pg 1-33, 37'!RN31-AE291,0)+ROUND('SEF-36 pg 1-33, 37'!RN36-AE293,0)</f>
        <v>0</v>
      </c>
      <c r="AF314" s="429">
        <f>ROUND('SEF-36 pg 1-33, 37'!SF30-AF291,0)+ROUND('SEF-36 pg 1-33, 37'!SF35-AF293,0)</f>
        <v>0</v>
      </c>
      <c r="AG314" s="429">
        <f>ROUND('SEF-36 pg 1-33, 37'!$SX$26-AG291,0)+ROUND('SEF-36 pg 1-33, 37'!$SX$31-AG293,0)</f>
        <v>0</v>
      </c>
      <c r="AH314" s="429">
        <f>ROUND('SEF-36 pg 1-33, 37'!$SX$44-AH291,0)+ROUND('SEF-36 pg 1-33, 37'!$SX$49-AH293,0)</f>
        <v>0</v>
      </c>
      <c r="AI314" s="429">
        <f>ROUND('SEF-36 pg 1-33, 37'!$SX$62-AI291,0)+ROUND('SEF-36 pg 1-33, 37'!$SX$67-AI293,0)</f>
        <v>0</v>
      </c>
      <c r="AJ314" s="429">
        <f>ROUND('SEF-36 pg 1-33, 37'!$SX$80-AJ291,0)+ROUND('SEF-36 pg 1-33, 37'!$SX$85-AJ293,0)</f>
        <v>0</v>
      </c>
      <c r="AK314" s="429">
        <f>ROUND('SEF-36 pg 1-33, 37'!UJ$38-AK291,0)</f>
        <v>0</v>
      </c>
      <c r="AL314" s="429">
        <f>ROUND('SEF-36 pg 1-33, 37'!VC$27-AL291,0)+ROUND('SEF-36 pg 1-33, 37'!VC$19-AL293,0)</f>
        <v>0</v>
      </c>
      <c r="AM314" s="429">
        <f>ROUND('SEF-36 pg 1-33, 37'!TQ$25-AM291,0)</f>
        <v>0</v>
      </c>
      <c r="AN314" s="429">
        <f>ROUND('SEF-36 pg 1-33, 37'!VV$32-AN291,0)+ROUND(AN304-'SEF-36 pg 1-33, 37'!VV24,0)</f>
        <v>0</v>
      </c>
      <c r="AO314" s="429">
        <f>ROUND('SEF-36 pg 1-33, 37'!WK$21-AO291,0)</f>
        <v>0</v>
      </c>
      <c r="AP314" s="429">
        <f>ROUND('SEF-36 pg 34-36'!BO$49-AP293,0)+ROUND('SEF-36 pg 34-36'!BO$33-AP291,0)</f>
        <v>0</v>
      </c>
      <c r="AQ314" s="429">
        <f>ROUND('SEF-36 pg 34-36'!CG$47-AQ291,0)+ROUND('SEF-36 pg 34-36'!CG$27-AQ293,0)</f>
        <v>0</v>
      </c>
      <c r="AR314" s="429">
        <f>ROUND('SEF-36 pg 34-36'!CY22-AR291+'SEF-36 pg 34-36'!CY31-AR293,0)</f>
        <v>0</v>
      </c>
      <c r="AS314" s="1890">
        <f>ROUND('SEF-36 pg 1-33, 37'!WZ21-AS291,0)</f>
        <v>0</v>
      </c>
      <c r="AT314" s="1890"/>
      <c r="AU314" s="1889"/>
      <c r="AV314" s="1888"/>
      <c r="AW314" s="1888"/>
      <c r="AX314" s="1888"/>
      <c r="AY314" s="1888"/>
      <c r="AZ314" s="1888"/>
      <c r="BA314" s="398"/>
      <c r="BB314" s="398"/>
      <c r="BC314" s="82" t="s">
        <v>41</v>
      </c>
      <c r="BE314" s="82"/>
    </row>
    <row r="315" spans="1:57" outlineLevel="1" x14ac:dyDescent="0.25">
      <c r="A315" s="394">
        <f>ROW()</f>
        <v>315</v>
      </c>
      <c r="B315" s="395" t="s">
        <v>155</v>
      </c>
      <c r="C315" s="350" t="s">
        <v>164</v>
      </c>
      <c r="D315" s="429">
        <f>'SEF-34 pg 1'!K47-D291</f>
        <v>0</v>
      </c>
      <c r="BB315" s="429">
        <f>'SEF-34 pg 1'!M47-BB291</f>
        <v>0</v>
      </c>
      <c r="BC315" s="82" t="s">
        <v>41</v>
      </c>
      <c r="BE315" s="82"/>
    </row>
    <row r="316" spans="1:57" outlineLevel="1" x14ac:dyDescent="0.25">
      <c r="A316" s="394">
        <f>ROW()</f>
        <v>316</v>
      </c>
      <c r="B316" s="395" t="s">
        <v>156</v>
      </c>
      <c r="C316" s="350" t="s">
        <v>164</v>
      </c>
      <c r="D316" s="429">
        <f>'SEF-34 pg 1'!K58-D304</f>
        <v>0</v>
      </c>
      <c r="BB316" s="429">
        <f>'SEF-34 pg 1'!M58-BB304</f>
        <v>0</v>
      </c>
      <c r="BC316" s="82" t="s">
        <v>41</v>
      </c>
      <c r="BE316" s="82"/>
    </row>
    <row r="317" spans="1:57" x14ac:dyDescent="0.25">
      <c r="B317" s="461"/>
      <c r="C317" s="350"/>
      <c r="D317" s="1248"/>
      <c r="BB317" s="1248"/>
      <c r="BC317" s="82" t="s">
        <v>41</v>
      </c>
      <c r="BE317" s="82"/>
    </row>
    <row r="318" spans="1:57" outlineLevel="1" x14ac:dyDescent="0.25">
      <c r="A318" s="342"/>
      <c r="B318" s="343"/>
      <c r="C318" s="405"/>
      <c r="D318" s="345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  <c r="BB318" s="346"/>
      <c r="BC318" s="82"/>
      <c r="BE318" s="82"/>
    </row>
    <row r="319" spans="1:57" outlineLevel="1" x14ac:dyDescent="0.25">
      <c r="A319" s="342"/>
      <c r="B319" s="343"/>
      <c r="C319" s="405"/>
      <c r="D319" s="347"/>
      <c r="E319" s="348"/>
      <c r="F319" s="348"/>
      <c r="G319" s="348"/>
      <c r="H319" s="348"/>
      <c r="I319" s="348"/>
      <c r="J319" s="348"/>
      <c r="K319" s="348"/>
      <c r="L319" s="348"/>
      <c r="M319" s="348"/>
      <c r="N319" s="348"/>
      <c r="O319" s="348"/>
      <c r="P319" s="348"/>
      <c r="Q319" s="348"/>
      <c r="R319" s="348"/>
      <c r="S319" s="348"/>
      <c r="T319" s="348"/>
      <c r="U319" s="348"/>
      <c r="V319" s="348"/>
      <c r="W319" s="348"/>
      <c r="X319" s="348"/>
      <c r="Y319" s="348"/>
      <c r="Z319" s="348"/>
      <c r="AA319" s="348"/>
      <c r="AB319" s="348"/>
      <c r="AC319" s="348"/>
      <c r="AD319" s="348"/>
      <c r="AE319" s="348"/>
      <c r="AF319" s="348"/>
      <c r="AG319" s="348"/>
      <c r="AH319" s="348"/>
      <c r="AI319" s="348"/>
      <c r="AJ319" s="348"/>
      <c r="AK319" s="348"/>
      <c r="AL319" s="348"/>
      <c r="AM319" s="348"/>
      <c r="AN319" s="348"/>
      <c r="AO319" s="348"/>
      <c r="AP319" s="348"/>
      <c r="AQ319" s="348"/>
      <c r="AR319" s="348"/>
      <c r="AS319" s="348"/>
      <c r="AT319" s="348"/>
      <c r="AU319" s="348"/>
      <c r="AV319" s="348"/>
      <c r="AW319" s="348"/>
      <c r="AX319" s="348"/>
      <c r="AY319" s="348"/>
      <c r="AZ319" s="348"/>
      <c r="BA319" s="342"/>
      <c r="BB319" s="347"/>
      <c r="BC319" s="82"/>
      <c r="BE319" s="82"/>
    </row>
    <row r="320" spans="1:57" outlineLevel="1" x14ac:dyDescent="0.25">
      <c r="B320" s="349" t="s">
        <v>81</v>
      </c>
      <c r="C320" s="406"/>
      <c r="D320" s="366"/>
      <c r="BA320" s="352"/>
      <c r="BB320" s="352"/>
      <c r="BC320" s="82" t="s">
        <v>41</v>
      </c>
      <c r="BE320" s="82"/>
    </row>
    <row r="321" spans="1:57" outlineLevel="1" x14ac:dyDescent="0.25">
      <c r="B321" s="349" t="s">
        <v>82</v>
      </c>
      <c r="C321" s="406"/>
      <c r="D321" s="352"/>
      <c r="E321" s="407">
        <f>'SEF-36 pg 1-33, 37'!$O$37</f>
        <v>0</v>
      </c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353"/>
      <c r="R321" s="353"/>
      <c r="S321" s="353"/>
      <c r="T321" s="353"/>
      <c r="U321" s="353"/>
      <c r="V321" s="353"/>
      <c r="W321" s="353"/>
      <c r="X321" s="353"/>
      <c r="Y321" s="353"/>
      <c r="Z321" s="353"/>
      <c r="AA321" s="353"/>
      <c r="AB321" s="353"/>
      <c r="AC321" s="353"/>
      <c r="AD321" s="353"/>
      <c r="AE321" s="353"/>
      <c r="AF321" s="353"/>
      <c r="AG321" s="353"/>
      <c r="AH321" s="353"/>
      <c r="AI321" s="353"/>
      <c r="AJ321" s="353"/>
      <c r="AK321" s="353"/>
      <c r="AL321" s="353"/>
      <c r="AM321" s="353"/>
      <c r="AN321" s="353"/>
      <c r="AO321" s="353"/>
      <c r="AP321" s="353"/>
      <c r="AQ321" s="353"/>
      <c r="AR321" s="353"/>
      <c r="AS321" s="353"/>
      <c r="AT321" s="353"/>
      <c r="AU321" s="353"/>
      <c r="AV321" s="353"/>
      <c r="AW321" s="407"/>
      <c r="AX321" s="407"/>
      <c r="AY321" s="353"/>
      <c r="AZ321" s="353"/>
      <c r="BA321" s="352">
        <f>SUM(E321:AZ321)</f>
        <v>0</v>
      </c>
      <c r="BB321" s="352">
        <f>+BA321+D321</f>
        <v>0</v>
      </c>
      <c r="BC321" s="82" t="s">
        <v>41</v>
      </c>
      <c r="BE321" s="82"/>
    </row>
    <row r="322" spans="1:57" outlineLevel="1" x14ac:dyDescent="0.25">
      <c r="B322" s="349" t="s">
        <v>83</v>
      </c>
      <c r="C322" s="406"/>
      <c r="D322" s="357"/>
      <c r="E322" s="40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  <c r="AA322" s="358"/>
      <c r="AB322" s="358"/>
      <c r="AC322" s="358"/>
      <c r="AD322" s="358"/>
      <c r="AE322" s="358"/>
      <c r="AF322" s="358"/>
      <c r="AG322" s="358"/>
      <c r="AH322" s="358"/>
      <c r="AI322" s="358"/>
      <c r="AJ322" s="358"/>
      <c r="AK322" s="358"/>
      <c r="AL322" s="358"/>
      <c r="AM322" s="358"/>
      <c r="AN322" s="358"/>
      <c r="AO322" s="358"/>
      <c r="AP322" s="358"/>
      <c r="AQ322" s="358"/>
      <c r="AR322" s="358"/>
      <c r="AS322" s="358"/>
      <c r="AT322" s="358"/>
      <c r="AU322" s="358"/>
      <c r="AV322" s="358"/>
      <c r="AW322" s="408"/>
      <c r="AX322" s="408"/>
      <c r="AY322" s="358"/>
      <c r="AZ322" s="358"/>
      <c r="BA322" s="357">
        <f>SUM(E322:AZ322)</f>
        <v>0</v>
      </c>
      <c r="BB322" s="357">
        <f>+BA322+D322</f>
        <v>0</v>
      </c>
      <c r="BC322" s="82" t="s">
        <v>41</v>
      </c>
      <c r="BE322" s="82"/>
    </row>
    <row r="323" spans="1:57" outlineLevel="1" x14ac:dyDescent="0.25">
      <c r="B323" s="349" t="s">
        <v>84</v>
      </c>
      <c r="C323" s="406"/>
      <c r="D323" s="357"/>
      <c r="E323" s="40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  <c r="AA323" s="358"/>
      <c r="AB323" s="358"/>
      <c r="AC323" s="358"/>
      <c r="AD323" s="358"/>
      <c r="AE323" s="358"/>
      <c r="AF323" s="358"/>
      <c r="AG323" s="358"/>
      <c r="AH323" s="358"/>
      <c r="AI323" s="370"/>
      <c r="AJ323" s="370"/>
      <c r="AK323" s="370"/>
      <c r="AL323" s="370"/>
      <c r="AM323" s="370"/>
      <c r="AN323" s="370"/>
      <c r="AO323" s="370"/>
      <c r="AP323" s="358"/>
      <c r="AQ323" s="358"/>
      <c r="AR323" s="358"/>
      <c r="AS323" s="358"/>
      <c r="AT323" s="358"/>
      <c r="AU323" s="358"/>
      <c r="AV323" s="358"/>
      <c r="AW323" s="408"/>
      <c r="AX323" s="408"/>
      <c r="AY323" s="358"/>
      <c r="AZ323" s="358"/>
      <c r="BA323" s="357">
        <f>SUM(E323:AZ323)</f>
        <v>0</v>
      </c>
      <c r="BB323" s="357">
        <f>+BA323+D323</f>
        <v>0</v>
      </c>
      <c r="BC323" s="82" t="s">
        <v>41</v>
      </c>
      <c r="BE323" s="82"/>
    </row>
    <row r="324" spans="1:57" s="424" customFormat="1" outlineLevel="1" x14ac:dyDescent="0.25">
      <c r="A324" s="317"/>
      <c r="B324" s="349" t="s">
        <v>85</v>
      </c>
      <c r="C324" s="406"/>
      <c r="D324" s="357"/>
      <c r="E324" s="40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408"/>
      <c r="AA324" s="408"/>
      <c r="AB324" s="408"/>
      <c r="AC324" s="358"/>
      <c r="AD324" s="358"/>
      <c r="AE324" s="358"/>
      <c r="AF324" s="358"/>
      <c r="AG324" s="358"/>
      <c r="AH324" s="358"/>
      <c r="AI324" s="370"/>
      <c r="AJ324" s="370"/>
      <c r="AK324" s="370"/>
      <c r="AL324" s="370"/>
      <c r="AM324" s="370"/>
      <c r="AN324" s="370"/>
      <c r="AO324" s="370"/>
      <c r="AP324" s="358"/>
      <c r="AQ324" s="358"/>
      <c r="AR324" s="358"/>
      <c r="AS324" s="358"/>
      <c r="AT324" s="358"/>
      <c r="AU324" s="358"/>
      <c r="AV324" s="358"/>
      <c r="AW324" s="408"/>
      <c r="AX324" s="408"/>
      <c r="AY324" s="358"/>
      <c r="AZ324" s="358"/>
      <c r="BA324" s="357">
        <f>SUM(E324:AZ324)</f>
        <v>0</v>
      </c>
      <c r="BB324" s="357">
        <f>+BA324+D324</f>
        <v>0</v>
      </c>
      <c r="BC324" s="82" t="s">
        <v>41</v>
      </c>
      <c r="BE324" s="82"/>
    </row>
    <row r="325" spans="1:57" s="424" customFormat="1" outlineLevel="1" x14ac:dyDescent="0.25">
      <c r="A325" s="317"/>
      <c r="B325" s="349" t="s">
        <v>86</v>
      </c>
      <c r="C325" s="406"/>
      <c r="D325" s="359">
        <f t="shared" ref="D325:AI325" si="78">SUM(D321:D324)</f>
        <v>0</v>
      </c>
      <c r="E325" s="410">
        <f t="shared" si="78"/>
        <v>0</v>
      </c>
      <c r="F325" s="360">
        <f t="shared" si="78"/>
        <v>0</v>
      </c>
      <c r="G325" s="360">
        <f t="shared" si="78"/>
        <v>0</v>
      </c>
      <c r="H325" s="360">
        <f t="shared" si="78"/>
        <v>0</v>
      </c>
      <c r="I325" s="360">
        <f t="shared" si="78"/>
        <v>0</v>
      </c>
      <c r="J325" s="360">
        <f t="shared" si="78"/>
        <v>0</v>
      </c>
      <c r="K325" s="360">
        <f t="shared" si="78"/>
        <v>0</v>
      </c>
      <c r="L325" s="360">
        <f t="shared" si="78"/>
        <v>0</v>
      </c>
      <c r="M325" s="360">
        <f t="shared" si="78"/>
        <v>0</v>
      </c>
      <c r="N325" s="360">
        <f t="shared" si="78"/>
        <v>0</v>
      </c>
      <c r="O325" s="360">
        <f t="shared" si="78"/>
        <v>0</v>
      </c>
      <c r="P325" s="360">
        <f t="shared" si="78"/>
        <v>0</v>
      </c>
      <c r="Q325" s="360">
        <f t="shared" si="78"/>
        <v>0</v>
      </c>
      <c r="R325" s="360">
        <f t="shared" si="78"/>
        <v>0</v>
      </c>
      <c r="S325" s="360">
        <f t="shared" si="78"/>
        <v>0</v>
      </c>
      <c r="T325" s="360">
        <f t="shared" si="78"/>
        <v>0</v>
      </c>
      <c r="U325" s="360">
        <f t="shared" si="78"/>
        <v>0</v>
      </c>
      <c r="V325" s="360">
        <f t="shared" si="78"/>
        <v>0</v>
      </c>
      <c r="W325" s="360">
        <f t="shared" si="78"/>
        <v>0</v>
      </c>
      <c r="X325" s="360">
        <f t="shared" si="78"/>
        <v>0</v>
      </c>
      <c r="Y325" s="360">
        <f t="shared" si="78"/>
        <v>0</v>
      </c>
      <c r="Z325" s="410">
        <f t="shared" si="78"/>
        <v>0</v>
      </c>
      <c r="AA325" s="410">
        <f t="shared" si="78"/>
        <v>0</v>
      </c>
      <c r="AB325" s="410">
        <f t="shared" si="78"/>
        <v>0</v>
      </c>
      <c r="AC325" s="360">
        <f t="shared" si="78"/>
        <v>0</v>
      </c>
      <c r="AD325" s="360">
        <f t="shared" si="78"/>
        <v>0</v>
      </c>
      <c r="AE325" s="360">
        <f t="shared" si="78"/>
        <v>0</v>
      </c>
      <c r="AF325" s="360">
        <f t="shared" si="78"/>
        <v>0</v>
      </c>
      <c r="AG325" s="360">
        <f t="shared" si="78"/>
        <v>0</v>
      </c>
      <c r="AH325" s="360">
        <f t="shared" si="78"/>
        <v>0</v>
      </c>
      <c r="AI325" s="361">
        <f t="shared" si="78"/>
        <v>0</v>
      </c>
      <c r="AJ325" s="361"/>
      <c r="AK325" s="361"/>
      <c r="AL325" s="361"/>
      <c r="AM325" s="361"/>
      <c r="AN325" s="361"/>
      <c r="AO325" s="361"/>
      <c r="AP325" s="360">
        <f>SUM(AP321:AP324)</f>
        <v>0</v>
      </c>
      <c r="AQ325" s="360">
        <f>SUM(AQ321:AQ324)</f>
        <v>0</v>
      </c>
      <c r="AR325" s="360">
        <f>SUM(AR321:AR324)</f>
        <v>0</v>
      </c>
      <c r="AS325" s="360"/>
      <c r="AT325" s="360"/>
      <c r="AU325" s="360"/>
      <c r="AV325" s="360"/>
      <c r="AW325" s="410"/>
      <c r="AX325" s="410"/>
      <c r="AY325" s="360"/>
      <c r="AZ325" s="360"/>
      <c r="BA325" s="359">
        <f>SUM(BA321:BA324)</f>
        <v>0</v>
      </c>
      <c r="BB325" s="359">
        <f>SUM(BB321:BB324)</f>
        <v>0</v>
      </c>
      <c r="BC325" s="82" t="s">
        <v>41</v>
      </c>
      <c r="BE325" s="82"/>
    </row>
    <row r="326" spans="1:57" s="424" customFormat="1" outlineLevel="1" x14ac:dyDescent="0.25">
      <c r="A326" s="317"/>
      <c r="B326" s="363"/>
      <c r="C326" s="406"/>
      <c r="D326" s="357"/>
      <c r="E326" s="40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408"/>
      <c r="AA326" s="408"/>
      <c r="AB326" s="408"/>
      <c r="AC326" s="358"/>
      <c r="AD326" s="358"/>
      <c r="AE326" s="358"/>
      <c r="AF326" s="358"/>
      <c r="AG326" s="358"/>
      <c r="AH326" s="358"/>
      <c r="AI326" s="358"/>
      <c r="AJ326" s="358"/>
      <c r="AK326" s="358"/>
      <c r="AL326" s="358"/>
      <c r="AM326" s="358"/>
      <c r="AN326" s="358"/>
      <c r="AO326" s="358"/>
      <c r="AP326" s="358"/>
      <c r="AQ326" s="358"/>
      <c r="AR326" s="358"/>
      <c r="AS326" s="358"/>
      <c r="AT326" s="358"/>
      <c r="AU326" s="358"/>
      <c r="AV326" s="358"/>
      <c r="AW326" s="408"/>
      <c r="AX326" s="408"/>
      <c r="AY326" s="358"/>
      <c r="AZ326" s="358"/>
      <c r="BA326" s="357"/>
      <c r="BB326" s="357"/>
      <c r="BC326" s="82" t="s">
        <v>41</v>
      </c>
      <c r="BE326" s="82"/>
    </row>
    <row r="327" spans="1:57" s="424" customFormat="1" outlineLevel="1" x14ac:dyDescent="0.25">
      <c r="A327" s="317"/>
      <c r="B327" s="349" t="s">
        <v>87</v>
      </c>
      <c r="C327" s="406"/>
      <c r="D327" s="351"/>
      <c r="E327" s="411"/>
      <c r="F327" s="317"/>
      <c r="G327" s="317"/>
      <c r="H327" s="317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  <c r="S327" s="317"/>
      <c r="T327" s="317"/>
      <c r="U327" s="317"/>
      <c r="V327" s="317"/>
      <c r="W327" s="317"/>
      <c r="X327" s="317"/>
      <c r="Y327" s="317"/>
      <c r="Z327" s="411"/>
      <c r="AA327" s="411"/>
      <c r="AB327" s="411"/>
      <c r="AC327" s="317"/>
      <c r="AD327" s="317"/>
      <c r="AE327" s="317"/>
      <c r="AF327" s="317"/>
      <c r="AG327" s="317"/>
      <c r="AH327" s="317"/>
      <c r="AI327" s="317"/>
      <c r="AJ327" s="317"/>
      <c r="AK327" s="317"/>
      <c r="AL327" s="317"/>
      <c r="AM327" s="317"/>
      <c r="AN327" s="317"/>
      <c r="AO327" s="317"/>
      <c r="AP327" s="317"/>
      <c r="AQ327" s="317"/>
      <c r="AR327" s="317"/>
      <c r="AS327" s="317"/>
      <c r="AT327" s="317"/>
      <c r="AU327" s="317"/>
      <c r="AV327" s="317"/>
      <c r="AW327" s="411"/>
      <c r="AX327" s="411"/>
      <c r="AY327" s="317"/>
      <c r="AZ327" s="317"/>
      <c r="BA327" s="351"/>
      <c r="BB327" s="351"/>
      <c r="BC327" s="82" t="s">
        <v>41</v>
      </c>
      <c r="BE327" s="82"/>
    </row>
    <row r="328" spans="1:57" s="424" customFormat="1" outlineLevel="1" x14ac:dyDescent="0.25">
      <c r="A328" s="317"/>
      <c r="B328" s="365"/>
      <c r="C328" s="406"/>
      <c r="D328" s="351"/>
      <c r="E328" s="411"/>
      <c r="F328" s="317"/>
      <c r="G328" s="317"/>
      <c r="H328" s="317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  <c r="S328" s="317"/>
      <c r="T328" s="317"/>
      <c r="U328" s="317"/>
      <c r="V328" s="317"/>
      <c r="W328" s="317"/>
      <c r="X328" s="317"/>
      <c r="Y328" s="317"/>
      <c r="Z328" s="411"/>
      <c r="AA328" s="411"/>
      <c r="AB328" s="411"/>
      <c r="AC328" s="317"/>
      <c r="AD328" s="317"/>
      <c r="AE328" s="317"/>
      <c r="AF328" s="317"/>
      <c r="AG328" s="317"/>
      <c r="AH328" s="317"/>
      <c r="AI328" s="317"/>
      <c r="AJ328" s="317"/>
      <c r="AK328" s="317"/>
      <c r="AL328" s="317"/>
      <c r="AM328" s="317"/>
      <c r="AN328" s="317"/>
      <c r="AO328" s="317"/>
      <c r="AP328" s="317"/>
      <c r="AQ328" s="317"/>
      <c r="AR328" s="317"/>
      <c r="AS328" s="317"/>
      <c r="AT328" s="317"/>
      <c r="AU328" s="317"/>
      <c r="AV328" s="317"/>
      <c r="AW328" s="411"/>
      <c r="AX328" s="411"/>
      <c r="AY328" s="317"/>
      <c r="AZ328" s="317"/>
      <c r="BA328" s="351"/>
      <c r="BB328" s="351"/>
      <c r="BC328" s="82" t="s">
        <v>41</v>
      </c>
      <c r="BE328" s="82"/>
    </row>
    <row r="329" spans="1:57" s="424" customFormat="1" outlineLevel="1" x14ac:dyDescent="0.25">
      <c r="A329" s="317"/>
      <c r="B329" s="349" t="s">
        <v>88</v>
      </c>
      <c r="C329" s="406"/>
      <c r="D329" s="351"/>
      <c r="E329" s="411"/>
      <c r="F329" s="317"/>
      <c r="G329" s="317"/>
      <c r="H329" s="317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  <c r="S329" s="317"/>
      <c r="T329" s="317"/>
      <c r="U329" s="317"/>
      <c r="V329" s="317"/>
      <c r="W329" s="317"/>
      <c r="X329" s="317"/>
      <c r="Y329" s="317"/>
      <c r="Z329" s="411"/>
      <c r="AA329" s="411"/>
      <c r="AB329" s="411"/>
      <c r="AC329" s="317"/>
      <c r="AD329" s="317"/>
      <c r="AE329" s="317"/>
      <c r="AF329" s="317"/>
      <c r="AG329" s="317"/>
      <c r="AH329" s="317"/>
      <c r="AI329" s="317"/>
      <c r="AJ329" s="317"/>
      <c r="AK329" s="317"/>
      <c r="AL329" s="317"/>
      <c r="AM329" s="317"/>
      <c r="AN329" s="317"/>
      <c r="AO329" s="317"/>
      <c r="AP329" s="317"/>
      <c r="AQ329" s="317"/>
      <c r="AR329" s="317"/>
      <c r="AS329" s="317"/>
      <c r="AT329" s="317"/>
      <c r="AU329" s="317"/>
      <c r="AV329" s="317"/>
      <c r="AW329" s="411"/>
      <c r="AX329" s="411"/>
      <c r="AY329" s="317"/>
      <c r="AZ329" s="317"/>
      <c r="BA329" s="351"/>
      <c r="BB329" s="351"/>
      <c r="BC329" s="82" t="s">
        <v>41</v>
      </c>
      <c r="BE329" s="82"/>
    </row>
    <row r="330" spans="1:57" s="424" customFormat="1" outlineLevel="1" x14ac:dyDescent="0.25">
      <c r="A330" s="317"/>
      <c r="B330" s="349" t="s">
        <v>89</v>
      </c>
      <c r="C330" s="406"/>
      <c r="D330" s="366"/>
      <c r="E330" s="412"/>
      <c r="F330" s="356"/>
      <c r="G330" s="356"/>
      <c r="H330" s="356"/>
      <c r="I330" s="356"/>
      <c r="J330" s="356"/>
      <c r="K330" s="356"/>
      <c r="L330" s="356"/>
      <c r="M330" s="356"/>
      <c r="N330" s="356"/>
      <c r="O330" s="356"/>
      <c r="P330" s="356"/>
      <c r="Q330" s="356"/>
      <c r="R330" s="356"/>
      <c r="S330" s="356"/>
      <c r="T330" s="356"/>
      <c r="U330" s="356"/>
      <c r="V330" s="356"/>
      <c r="W330" s="356"/>
      <c r="X330" s="356"/>
      <c r="Y330" s="356"/>
      <c r="Z330" s="412"/>
      <c r="AA330" s="412"/>
      <c r="AB330" s="412"/>
      <c r="AC330" s="356"/>
      <c r="AD330" s="356"/>
      <c r="AE330" s="356"/>
      <c r="AF330" s="356"/>
      <c r="AG330" s="356"/>
      <c r="AH330" s="356"/>
      <c r="AI330" s="423"/>
      <c r="AJ330" s="423"/>
      <c r="AK330" s="423"/>
      <c r="AL330" s="423"/>
      <c r="AM330" s="423"/>
      <c r="AN330" s="423"/>
      <c r="AO330" s="423"/>
      <c r="AP330" s="356"/>
      <c r="AQ330" s="356"/>
      <c r="AR330" s="356"/>
      <c r="AS330" s="356"/>
      <c r="AT330" s="356"/>
      <c r="AU330" s="356"/>
      <c r="AV330" s="356"/>
      <c r="AW330" s="412"/>
      <c r="AX330" s="412"/>
      <c r="AY330" s="356"/>
      <c r="AZ330" s="356"/>
      <c r="BA330" s="366">
        <f>SUM(E330:AZ330)</f>
        <v>0</v>
      </c>
      <c r="BB330" s="366">
        <f>+BA330+D330</f>
        <v>0</v>
      </c>
      <c r="BC330" s="82" t="s">
        <v>41</v>
      </c>
      <c r="BE330" s="82"/>
    </row>
    <row r="331" spans="1:57" s="424" customFormat="1" outlineLevel="1" x14ac:dyDescent="0.25">
      <c r="A331" s="317"/>
      <c r="B331" s="349" t="s">
        <v>90</v>
      </c>
      <c r="C331" s="406"/>
      <c r="D331" s="357"/>
      <c r="E331" s="40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408"/>
      <c r="AA331" s="408"/>
      <c r="AB331" s="408"/>
      <c r="AC331" s="358"/>
      <c r="AD331" s="358"/>
      <c r="AE331" s="358"/>
      <c r="AF331" s="358"/>
      <c r="AG331" s="358"/>
      <c r="AH331" s="358"/>
      <c r="AI331" s="370"/>
      <c r="AJ331" s="370"/>
      <c r="AK331" s="370"/>
      <c r="AL331" s="370"/>
      <c r="AM331" s="370"/>
      <c r="AN331" s="370"/>
      <c r="AO331" s="370"/>
      <c r="AP331" s="358"/>
      <c r="AQ331" s="358"/>
      <c r="AR331" s="358"/>
      <c r="AS331" s="358"/>
      <c r="AT331" s="358"/>
      <c r="AU331" s="358"/>
      <c r="AV331" s="358"/>
      <c r="AW331" s="408"/>
      <c r="AX331" s="408"/>
      <c r="AY331" s="358"/>
      <c r="AZ331" s="358"/>
      <c r="BA331" s="357">
        <f>SUM(E331:AZ331)</f>
        <v>0</v>
      </c>
      <c r="BB331" s="357">
        <f>+BA331+D331</f>
        <v>0</v>
      </c>
      <c r="BC331" s="82" t="s">
        <v>41</v>
      </c>
      <c r="BE331" s="82"/>
    </row>
    <row r="332" spans="1:57" outlineLevel="1" x14ac:dyDescent="0.25">
      <c r="B332" s="349" t="s">
        <v>91</v>
      </c>
      <c r="C332" s="406"/>
      <c r="D332" s="357"/>
      <c r="E332" s="40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408"/>
      <c r="AA332" s="408"/>
      <c r="AB332" s="408"/>
      <c r="AC332" s="358"/>
      <c r="AD332" s="358"/>
      <c r="AE332" s="358"/>
      <c r="AF332" s="358"/>
      <c r="AG332" s="358"/>
      <c r="AH332" s="358"/>
      <c r="AI332" s="370"/>
      <c r="AJ332" s="370"/>
      <c r="AK332" s="370"/>
      <c r="AL332" s="370"/>
      <c r="AM332" s="370"/>
      <c r="AN332" s="370"/>
      <c r="AO332" s="370"/>
      <c r="AP332" s="358"/>
      <c r="AQ332" s="358"/>
      <c r="AR332" s="358"/>
      <c r="AS332" s="358"/>
      <c r="AT332" s="358"/>
      <c r="AU332" s="358"/>
      <c r="AV332" s="358"/>
      <c r="AW332" s="408"/>
      <c r="AX332" s="408"/>
      <c r="AY332" s="358"/>
      <c r="AZ332" s="358"/>
      <c r="BA332" s="357">
        <f>SUM(E332:AZ332)</f>
        <v>0</v>
      </c>
      <c r="BB332" s="357">
        <f>+BA332+D332</f>
        <v>0</v>
      </c>
      <c r="BC332" s="82" t="s">
        <v>41</v>
      </c>
      <c r="BE332" s="82"/>
    </row>
    <row r="333" spans="1:57" outlineLevel="1" x14ac:dyDescent="0.25">
      <c r="B333" s="365" t="s">
        <v>92</v>
      </c>
      <c r="C333" s="406"/>
      <c r="D333" s="357"/>
      <c r="E333" s="40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408"/>
      <c r="AA333" s="408"/>
      <c r="AB333" s="408"/>
      <c r="AC333" s="358"/>
      <c r="AD333" s="358"/>
      <c r="AE333" s="358"/>
      <c r="AF333" s="358"/>
      <c r="AG333" s="358"/>
      <c r="AH333" s="358"/>
      <c r="AI333" s="358"/>
      <c r="AJ333" s="358"/>
      <c r="AK333" s="358"/>
      <c r="AL333" s="358"/>
      <c r="AM333" s="358"/>
      <c r="AN333" s="358"/>
      <c r="AO333" s="358"/>
      <c r="AP333" s="358"/>
      <c r="AQ333" s="358"/>
      <c r="AR333" s="358"/>
      <c r="AS333" s="358"/>
      <c r="AT333" s="358"/>
      <c r="AU333" s="358"/>
      <c r="AV333" s="358"/>
      <c r="AW333" s="408"/>
      <c r="AX333" s="408"/>
      <c r="AY333" s="358"/>
      <c r="AZ333" s="358"/>
      <c r="BA333" s="357">
        <f>SUM(E333:AZ333)</f>
        <v>0</v>
      </c>
      <c r="BB333" s="357">
        <f>+BA333+D333</f>
        <v>0</v>
      </c>
      <c r="BC333" s="82" t="s">
        <v>41</v>
      </c>
      <c r="BE333" s="82"/>
    </row>
    <row r="334" spans="1:57" outlineLevel="1" x14ac:dyDescent="0.25">
      <c r="B334" s="349" t="s">
        <v>93</v>
      </c>
      <c r="C334" s="406"/>
      <c r="D334" s="367">
        <f t="shared" ref="D334:AI334" si="79">SUM(D329:D333)</f>
        <v>0</v>
      </c>
      <c r="E334" s="409">
        <f t="shared" si="79"/>
        <v>0</v>
      </c>
      <c r="F334" s="368">
        <f t="shared" si="79"/>
        <v>0</v>
      </c>
      <c r="G334" s="368">
        <f t="shared" si="79"/>
        <v>0</v>
      </c>
      <c r="H334" s="368">
        <f t="shared" si="79"/>
        <v>0</v>
      </c>
      <c r="I334" s="368">
        <f t="shared" si="79"/>
        <v>0</v>
      </c>
      <c r="J334" s="368">
        <f t="shared" si="79"/>
        <v>0</v>
      </c>
      <c r="K334" s="368">
        <f t="shared" si="79"/>
        <v>0</v>
      </c>
      <c r="L334" s="368">
        <f t="shared" si="79"/>
        <v>0</v>
      </c>
      <c r="M334" s="368">
        <f t="shared" si="79"/>
        <v>0</v>
      </c>
      <c r="N334" s="368">
        <f t="shared" si="79"/>
        <v>0</v>
      </c>
      <c r="O334" s="368">
        <f t="shared" si="79"/>
        <v>0</v>
      </c>
      <c r="P334" s="368">
        <f t="shared" si="79"/>
        <v>0</v>
      </c>
      <c r="Q334" s="368">
        <f t="shared" si="79"/>
        <v>0</v>
      </c>
      <c r="R334" s="368">
        <f t="shared" si="79"/>
        <v>0</v>
      </c>
      <c r="S334" s="368">
        <f t="shared" si="79"/>
        <v>0</v>
      </c>
      <c r="T334" s="368">
        <f t="shared" si="79"/>
        <v>0</v>
      </c>
      <c r="U334" s="368">
        <f t="shared" si="79"/>
        <v>0</v>
      </c>
      <c r="V334" s="368">
        <f t="shared" si="79"/>
        <v>0</v>
      </c>
      <c r="W334" s="368">
        <f t="shared" si="79"/>
        <v>0</v>
      </c>
      <c r="X334" s="368">
        <f t="shared" si="79"/>
        <v>0</v>
      </c>
      <c r="Y334" s="368">
        <f t="shared" si="79"/>
        <v>0</v>
      </c>
      <c r="Z334" s="409">
        <f t="shared" si="79"/>
        <v>0</v>
      </c>
      <c r="AA334" s="409">
        <f t="shared" si="79"/>
        <v>0</v>
      </c>
      <c r="AB334" s="409">
        <f t="shared" si="79"/>
        <v>0</v>
      </c>
      <c r="AC334" s="368">
        <f t="shared" si="79"/>
        <v>0</v>
      </c>
      <c r="AD334" s="368">
        <f t="shared" si="79"/>
        <v>0</v>
      </c>
      <c r="AE334" s="368">
        <f t="shared" si="79"/>
        <v>0</v>
      </c>
      <c r="AF334" s="368">
        <f t="shared" si="79"/>
        <v>0</v>
      </c>
      <c r="AG334" s="368">
        <f t="shared" si="79"/>
        <v>0</v>
      </c>
      <c r="AH334" s="368">
        <f t="shared" si="79"/>
        <v>0</v>
      </c>
      <c r="AI334" s="372">
        <f t="shared" si="79"/>
        <v>0</v>
      </c>
      <c r="AJ334" s="372"/>
      <c r="AK334" s="372"/>
      <c r="AL334" s="372"/>
      <c r="AM334" s="372"/>
      <c r="AN334" s="372"/>
      <c r="AO334" s="372"/>
      <c r="AP334" s="368">
        <f>SUM(AP329:AP333)</f>
        <v>0</v>
      </c>
      <c r="AQ334" s="368">
        <f>SUM(AQ329:AQ333)</f>
        <v>0</v>
      </c>
      <c r="AR334" s="368">
        <f>SUM(AR329:AR333)</f>
        <v>0</v>
      </c>
      <c r="AS334" s="368"/>
      <c r="AT334" s="368"/>
      <c r="AU334" s="368"/>
      <c r="AV334" s="368"/>
      <c r="AW334" s="409"/>
      <c r="AX334" s="409"/>
      <c r="AY334" s="368"/>
      <c r="AZ334" s="368"/>
      <c r="BA334" s="367">
        <f>SUM(BA329:BA333)</f>
        <v>0</v>
      </c>
      <c r="BB334" s="367">
        <f>SUM(BB329:BB333)</f>
        <v>0</v>
      </c>
      <c r="BC334" s="82" t="s">
        <v>41</v>
      </c>
      <c r="BE334" s="82"/>
    </row>
    <row r="335" spans="1:57" outlineLevel="1" x14ac:dyDescent="0.25">
      <c r="B335" s="349"/>
      <c r="C335" s="406"/>
      <c r="D335" s="366"/>
      <c r="E335" s="412"/>
      <c r="F335" s="356"/>
      <c r="G335" s="356"/>
      <c r="H335" s="356"/>
      <c r="I335" s="356"/>
      <c r="J335" s="356"/>
      <c r="K335" s="356"/>
      <c r="L335" s="356"/>
      <c r="M335" s="356"/>
      <c r="N335" s="356"/>
      <c r="O335" s="356"/>
      <c r="P335" s="356"/>
      <c r="Q335" s="356"/>
      <c r="R335" s="356"/>
      <c r="S335" s="356"/>
      <c r="T335" s="356"/>
      <c r="U335" s="356"/>
      <c r="V335" s="356"/>
      <c r="W335" s="356"/>
      <c r="X335" s="356"/>
      <c r="Y335" s="356"/>
      <c r="Z335" s="412"/>
      <c r="AA335" s="412"/>
      <c r="AB335" s="412"/>
      <c r="AC335" s="356"/>
      <c r="AD335" s="356"/>
      <c r="AE335" s="356"/>
      <c r="AF335" s="356"/>
      <c r="AG335" s="356"/>
      <c r="AH335" s="356"/>
      <c r="AI335" s="356"/>
      <c r="AJ335" s="356"/>
      <c r="AK335" s="356"/>
      <c r="AL335" s="356"/>
      <c r="AM335" s="356"/>
      <c r="AN335" s="356"/>
      <c r="AO335" s="356"/>
      <c r="AP335" s="356"/>
      <c r="AQ335" s="356"/>
      <c r="AR335" s="356"/>
      <c r="AS335" s="356"/>
      <c r="AT335" s="356"/>
      <c r="AU335" s="356"/>
      <c r="AV335" s="356"/>
      <c r="AW335" s="412"/>
      <c r="AX335" s="412"/>
      <c r="AY335" s="356"/>
      <c r="AZ335" s="356"/>
      <c r="BA335" s="366"/>
      <c r="BB335" s="366"/>
      <c r="BC335" s="82" t="s">
        <v>41</v>
      </c>
      <c r="BE335" s="82"/>
    </row>
    <row r="336" spans="1:57" outlineLevel="1" x14ac:dyDescent="0.25">
      <c r="B336" s="369" t="s">
        <v>94</v>
      </c>
      <c r="C336" s="406"/>
      <c r="D336" s="357"/>
      <c r="E336" s="412"/>
      <c r="F336" s="356"/>
      <c r="G336" s="356"/>
      <c r="H336" s="356"/>
      <c r="I336" s="356"/>
      <c r="J336" s="356"/>
      <c r="K336" s="356"/>
      <c r="L336" s="356"/>
      <c r="M336" s="356"/>
      <c r="N336" s="356"/>
      <c r="O336" s="356"/>
      <c r="P336" s="356"/>
      <c r="Q336" s="356"/>
      <c r="R336" s="356"/>
      <c r="S336" s="356"/>
      <c r="T336" s="356"/>
      <c r="U336" s="356"/>
      <c r="V336" s="356"/>
      <c r="W336" s="356"/>
      <c r="X336" s="356"/>
      <c r="Y336" s="356"/>
      <c r="Z336" s="415"/>
      <c r="AA336" s="412"/>
      <c r="AB336" s="412"/>
      <c r="AC336" s="356"/>
      <c r="AD336" s="356"/>
      <c r="AE336" s="356"/>
      <c r="AF336" s="356"/>
      <c r="AG336" s="356"/>
      <c r="AH336" s="356"/>
      <c r="AI336" s="356"/>
      <c r="AJ336" s="356"/>
      <c r="AK336" s="356"/>
      <c r="AL336" s="356"/>
      <c r="AM336" s="356"/>
      <c r="AN336" s="356"/>
      <c r="AO336" s="356"/>
      <c r="AP336" s="356"/>
      <c r="AQ336" s="356"/>
      <c r="AR336" s="356"/>
      <c r="AS336" s="356"/>
      <c r="AT336" s="356"/>
      <c r="AU336" s="356"/>
      <c r="AV336" s="356"/>
      <c r="AW336" s="412"/>
      <c r="AX336" s="412"/>
      <c r="AY336" s="356"/>
      <c r="AZ336" s="356"/>
      <c r="BA336" s="357">
        <f t="shared" ref="BA336:BA349" si="80">SUM(E336:AZ336)</f>
        <v>0</v>
      </c>
      <c r="BB336" s="366">
        <f t="shared" ref="BB336:BB349" si="81">+BA336+D336</f>
        <v>0</v>
      </c>
      <c r="BC336" s="82" t="s">
        <v>41</v>
      </c>
      <c r="BE336" s="82"/>
    </row>
    <row r="337" spans="2:57" outlineLevel="1" x14ac:dyDescent="0.25">
      <c r="B337" s="349" t="s">
        <v>95</v>
      </c>
      <c r="C337" s="406"/>
      <c r="D337" s="357"/>
      <c r="E337" s="40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415"/>
      <c r="AA337" s="408"/>
      <c r="AB337" s="408"/>
      <c r="AC337" s="358"/>
      <c r="AD337" s="358"/>
      <c r="AE337" s="358"/>
      <c r="AF337" s="358"/>
      <c r="AG337" s="358"/>
      <c r="AH337" s="358"/>
      <c r="AI337" s="358"/>
      <c r="AJ337" s="358"/>
      <c r="AK337" s="358"/>
      <c r="AL337" s="358"/>
      <c r="AM337" s="358"/>
      <c r="AN337" s="358"/>
      <c r="AO337" s="358"/>
      <c r="AP337" s="358"/>
      <c r="AQ337" s="358"/>
      <c r="AR337" s="358"/>
      <c r="AS337" s="358"/>
      <c r="AT337" s="358"/>
      <c r="AU337" s="358"/>
      <c r="AV337" s="358"/>
      <c r="AW337" s="408"/>
      <c r="AX337" s="408"/>
      <c r="AY337" s="358"/>
      <c r="AZ337" s="358"/>
      <c r="BA337" s="357">
        <f t="shared" si="80"/>
        <v>0</v>
      </c>
      <c r="BB337" s="357">
        <f t="shared" si="81"/>
        <v>0</v>
      </c>
      <c r="BC337" s="82" t="s">
        <v>41</v>
      </c>
      <c r="BE337" s="82"/>
    </row>
    <row r="338" spans="2:57" outlineLevel="1" x14ac:dyDescent="0.25">
      <c r="B338" s="349" t="s">
        <v>96</v>
      </c>
      <c r="C338" s="406"/>
      <c r="D338" s="357"/>
      <c r="E338" s="40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415"/>
      <c r="AA338" s="408"/>
      <c r="AB338" s="408"/>
      <c r="AC338" s="358"/>
      <c r="AD338" s="358"/>
      <c r="AE338" s="358"/>
      <c r="AF338" s="358"/>
      <c r="AG338" s="358"/>
      <c r="AH338" s="358"/>
      <c r="AI338" s="358"/>
      <c r="AJ338" s="358"/>
      <c r="AK338" s="358"/>
      <c r="AL338" s="358"/>
      <c r="AM338" s="358"/>
      <c r="AN338" s="358"/>
      <c r="AO338" s="358"/>
      <c r="AP338" s="358"/>
      <c r="AQ338" s="358"/>
      <c r="AR338" s="358"/>
      <c r="AS338" s="358"/>
      <c r="AT338" s="358"/>
      <c r="AU338" s="358"/>
      <c r="AV338" s="358"/>
      <c r="AW338" s="408"/>
      <c r="AX338" s="408"/>
      <c r="AY338" s="358"/>
      <c r="AZ338" s="358"/>
      <c r="BA338" s="357">
        <f t="shared" si="80"/>
        <v>0</v>
      </c>
      <c r="BB338" s="357">
        <f t="shared" si="81"/>
        <v>0</v>
      </c>
      <c r="BC338" s="82" t="s">
        <v>41</v>
      </c>
      <c r="BE338" s="82"/>
    </row>
    <row r="339" spans="2:57" outlineLevel="1" x14ac:dyDescent="0.25">
      <c r="B339" s="349" t="s">
        <v>97</v>
      </c>
      <c r="C339" s="406"/>
      <c r="D339" s="357"/>
      <c r="E339" s="408">
        <f>'SEF-36 pg 1-33, 37'!$O$64</f>
        <v>0</v>
      </c>
      <c r="F339" s="408"/>
      <c r="G339" s="408"/>
      <c r="H339" s="408"/>
      <c r="I339" s="40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415"/>
      <c r="AA339" s="408"/>
      <c r="AB339" s="408"/>
      <c r="AC339" s="358"/>
      <c r="AD339" s="358"/>
      <c r="AE339" s="358"/>
      <c r="AF339" s="358"/>
      <c r="AG339" s="358"/>
      <c r="AH339" s="358"/>
      <c r="AI339" s="358"/>
      <c r="AJ339" s="358"/>
      <c r="AK339" s="358"/>
      <c r="AL339" s="358"/>
      <c r="AM339" s="358"/>
      <c r="AN339" s="358"/>
      <c r="AO339" s="358"/>
      <c r="AP339" s="358"/>
      <c r="AQ339" s="358"/>
      <c r="AR339" s="358"/>
      <c r="AS339" s="358"/>
      <c r="AT339" s="358"/>
      <c r="AU339" s="358"/>
      <c r="AV339" s="358"/>
      <c r="AW339" s="408"/>
      <c r="AX339" s="408"/>
      <c r="AY339" s="358"/>
      <c r="AZ339" s="358"/>
      <c r="BA339" s="357">
        <f t="shared" si="80"/>
        <v>0</v>
      </c>
      <c r="BB339" s="357">
        <f t="shared" si="81"/>
        <v>0</v>
      </c>
      <c r="BC339" s="82" t="s">
        <v>41</v>
      </c>
      <c r="BE339" s="82"/>
    </row>
    <row r="340" spans="2:57" outlineLevel="1" x14ac:dyDescent="0.25">
      <c r="B340" s="349" t="s">
        <v>98</v>
      </c>
      <c r="C340" s="406"/>
      <c r="D340" s="357"/>
      <c r="E340" s="408"/>
      <c r="F340" s="408"/>
      <c r="G340" s="408"/>
      <c r="H340" s="408"/>
      <c r="I340" s="408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415"/>
      <c r="AA340" s="408"/>
      <c r="AB340" s="408"/>
      <c r="AC340" s="358"/>
      <c r="AD340" s="358"/>
      <c r="AE340" s="358"/>
      <c r="AF340" s="358"/>
      <c r="AG340" s="358"/>
      <c r="AH340" s="358"/>
      <c r="AI340" s="358"/>
      <c r="AJ340" s="358"/>
      <c r="AK340" s="358"/>
      <c r="AL340" s="358"/>
      <c r="AM340" s="358"/>
      <c r="AN340" s="358"/>
      <c r="AO340" s="358"/>
      <c r="AP340" s="358"/>
      <c r="AQ340" s="358"/>
      <c r="AR340" s="358"/>
      <c r="AS340" s="358"/>
      <c r="AT340" s="358"/>
      <c r="AU340" s="358"/>
      <c r="AV340" s="358"/>
      <c r="AW340" s="408"/>
      <c r="AX340" s="408"/>
      <c r="AY340" s="358"/>
      <c r="AZ340" s="358"/>
      <c r="BA340" s="357">
        <f t="shared" si="80"/>
        <v>0</v>
      </c>
      <c r="BB340" s="357">
        <f t="shared" si="81"/>
        <v>0</v>
      </c>
      <c r="BC340" s="82" t="s">
        <v>41</v>
      </c>
      <c r="BE340" s="82"/>
    </row>
    <row r="341" spans="2:57" outlineLevel="1" x14ac:dyDescent="0.25">
      <c r="B341" s="349" t="s">
        <v>99</v>
      </c>
      <c r="C341" s="406"/>
      <c r="D341" s="357"/>
      <c r="E341" s="408"/>
      <c r="F341" s="408"/>
      <c r="G341" s="408"/>
      <c r="H341" s="408"/>
      <c r="I341" s="408"/>
      <c r="J341" s="358"/>
      <c r="K341" s="358"/>
      <c r="L341" s="358"/>
      <c r="M341" s="358"/>
      <c r="N341" s="358"/>
      <c r="O341" s="358"/>
      <c r="P341" s="358"/>
      <c r="Q341" s="358"/>
      <c r="R341" s="358"/>
      <c r="S341" s="358"/>
      <c r="T341" s="358"/>
      <c r="U341" s="370"/>
      <c r="V341" s="358"/>
      <c r="W341" s="358"/>
      <c r="X341" s="358"/>
      <c r="Y341" s="358"/>
      <c r="Z341" s="415"/>
      <c r="AA341" s="408"/>
      <c r="AB341" s="408"/>
      <c r="AC341" s="358"/>
      <c r="AD341" s="358"/>
      <c r="AE341" s="358"/>
      <c r="AF341" s="358"/>
      <c r="AG341" s="358"/>
      <c r="AH341" s="358"/>
      <c r="AI341" s="358"/>
      <c r="AJ341" s="358"/>
      <c r="AK341" s="358"/>
      <c r="AL341" s="358"/>
      <c r="AM341" s="358"/>
      <c r="AN341" s="358"/>
      <c r="AO341" s="358"/>
      <c r="AP341" s="358"/>
      <c r="AQ341" s="358"/>
      <c r="AR341" s="358"/>
      <c r="AS341" s="358"/>
      <c r="AT341" s="358"/>
      <c r="AU341" s="358"/>
      <c r="AV341" s="358"/>
      <c r="AW341" s="408"/>
      <c r="AX341" s="408"/>
      <c r="AY341" s="358"/>
      <c r="AZ341" s="358"/>
      <c r="BA341" s="357">
        <f t="shared" si="80"/>
        <v>0</v>
      </c>
      <c r="BB341" s="357">
        <f t="shared" si="81"/>
        <v>0</v>
      </c>
      <c r="BC341" s="82" t="s">
        <v>41</v>
      </c>
      <c r="BE341" s="82"/>
    </row>
    <row r="342" spans="2:57" outlineLevel="1" x14ac:dyDescent="0.25">
      <c r="B342" s="349" t="s">
        <v>100</v>
      </c>
      <c r="C342" s="406"/>
      <c r="D342" s="357"/>
      <c r="E342" s="408">
        <f>'SEF-36 pg 1-33, 37'!$O$65</f>
        <v>0</v>
      </c>
      <c r="F342" s="408"/>
      <c r="G342" s="408"/>
      <c r="H342" s="408"/>
      <c r="I342" s="408"/>
      <c r="J342" s="358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415"/>
      <c r="AA342" s="408"/>
      <c r="AB342" s="408"/>
      <c r="AC342" s="358"/>
      <c r="AD342" s="358"/>
      <c r="AE342" s="358"/>
      <c r="AF342" s="358"/>
      <c r="AG342" s="358"/>
      <c r="AH342" s="358"/>
      <c r="AI342" s="358"/>
      <c r="AJ342" s="358"/>
      <c r="AK342" s="358"/>
      <c r="AL342" s="358"/>
      <c r="AM342" s="358"/>
      <c r="AN342" s="358"/>
      <c r="AO342" s="358"/>
      <c r="AP342" s="358"/>
      <c r="AQ342" s="358"/>
      <c r="AR342" s="358"/>
      <c r="AS342" s="358"/>
      <c r="AT342" s="358"/>
      <c r="AU342" s="358"/>
      <c r="AV342" s="358"/>
      <c r="AW342" s="408"/>
      <c r="AX342" s="408"/>
      <c r="AY342" s="358"/>
      <c r="AZ342" s="358"/>
      <c r="BA342" s="357">
        <f t="shared" si="80"/>
        <v>0</v>
      </c>
      <c r="BB342" s="357">
        <f t="shared" si="81"/>
        <v>0</v>
      </c>
      <c r="BC342" s="82" t="s">
        <v>41</v>
      </c>
      <c r="BE342" s="82"/>
    </row>
    <row r="343" spans="2:57" outlineLevel="1" x14ac:dyDescent="0.25">
      <c r="B343" s="349" t="s">
        <v>101</v>
      </c>
      <c r="C343" s="406"/>
      <c r="D343" s="357"/>
      <c r="E343" s="411"/>
      <c r="F343" s="411"/>
      <c r="G343" s="411"/>
      <c r="H343" s="411"/>
      <c r="I343" s="411"/>
      <c r="Y343" s="358"/>
      <c r="Z343" s="415"/>
      <c r="AA343" s="408"/>
      <c r="AB343" s="411"/>
      <c r="AD343" s="382"/>
      <c r="AE343" s="382"/>
      <c r="AF343" s="382"/>
      <c r="AG343" s="382"/>
      <c r="AH343" s="382"/>
      <c r="AI343" s="382"/>
      <c r="AJ343" s="382"/>
      <c r="AK343" s="382"/>
      <c r="AL343" s="382"/>
      <c r="AM343" s="382"/>
      <c r="AN343" s="382"/>
      <c r="AO343" s="382"/>
      <c r="AT343" s="356"/>
      <c r="AW343" s="408"/>
      <c r="AX343" s="411"/>
      <c r="BA343" s="357">
        <f t="shared" si="80"/>
        <v>0</v>
      </c>
      <c r="BB343" s="357">
        <f t="shared" si="81"/>
        <v>0</v>
      </c>
      <c r="BC343" s="82" t="s">
        <v>41</v>
      </c>
      <c r="BE343" s="82"/>
    </row>
    <row r="344" spans="2:57" outlineLevel="1" x14ac:dyDescent="0.25">
      <c r="B344" s="349" t="s">
        <v>102</v>
      </c>
      <c r="C344" s="406"/>
      <c r="D344" s="357"/>
      <c r="E344" s="408"/>
      <c r="F344" s="408"/>
      <c r="G344" s="408"/>
      <c r="H344" s="408"/>
      <c r="I344" s="408"/>
      <c r="J344" s="358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1887"/>
      <c r="AA344" s="408"/>
      <c r="AB344" s="408"/>
      <c r="AC344" s="358"/>
      <c r="AD344" s="358"/>
      <c r="AE344" s="358"/>
      <c r="AF344" s="358"/>
      <c r="AG344" s="358"/>
      <c r="AH344" s="358"/>
      <c r="AI344" s="358"/>
      <c r="AJ344" s="358"/>
      <c r="AK344" s="358"/>
      <c r="AL344" s="358"/>
      <c r="AM344" s="358"/>
      <c r="AN344" s="358"/>
      <c r="AO344" s="358"/>
      <c r="AP344" s="358"/>
      <c r="AQ344" s="358"/>
      <c r="AR344" s="358"/>
      <c r="AS344" s="358"/>
      <c r="AT344" s="358"/>
      <c r="AU344" s="358"/>
      <c r="AV344" s="358"/>
      <c r="AW344" s="408"/>
      <c r="AX344" s="408"/>
      <c r="AY344" s="358"/>
      <c r="AZ344" s="358"/>
      <c r="BA344" s="357">
        <f t="shared" si="80"/>
        <v>0</v>
      </c>
      <c r="BB344" s="357">
        <f t="shared" si="81"/>
        <v>0</v>
      </c>
      <c r="BC344" s="82" t="s">
        <v>41</v>
      </c>
      <c r="BE344" s="82"/>
    </row>
    <row r="345" spans="2:57" outlineLevel="1" x14ac:dyDescent="0.25">
      <c r="B345" s="369" t="s">
        <v>103</v>
      </c>
      <c r="C345" s="406"/>
      <c r="D345" s="357"/>
      <c r="E345" s="408"/>
      <c r="F345" s="408"/>
      <c r="G345" s="408"/>
      <c r="H345" s="408"/>
      <c r="I345" s="40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1887"/>
      <c r="AA345" s="408"/>
      <c r="AB345" s="408"/>
      <c r="AC345" s="358"/>
      <c r="AD345" s="358"/>
      <c r="AE345" s="358"/>
      <c r="AF345" s="358"/>
      <c r="AG345" s="358"/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408"/>
      <c r="AX345" s="408"/>
      <c r="AY345" s="358"/>
      <c r="AZ345" s="358"/>
      <c r="BA345" s="357">
        <f t="shared" si="80"/>
        <v>0</v>
      </c>
      <c r="BB345" s="357">
        <f t="shared" si="81"/>
        <v>0</v>
      </c>
      <c r="BC345" s="82" t="s">
        <v>41</v>
      </c>
      <c r="BE345" s="82"/>
    </row>
    <row r="346" spans="2:57" outlineLevel="1" x14ac:dyDescent="0.25">
      <c r="B346" s="349" t="s">
        <v>104</v>
      </c>
      <c r="C346" s="406"/>
      <c r="D346" s="357"/>
      <c r="E346" s="408"/>
      <c r="F346" s="408"/>
      <c r="G346" s="408"/>
      <c r="H346" s="408"/>
      <c r="I346" s="408"/>
      <c r="J346" s="358"/>
      <c r="K346" s="358"/>
      <c r="L346" s="358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  <c r="Y346" s="358"/>
      <c r="Z346" s="415"/>
      <c r="AA346" s="408"/>
      <c r="AB346" s="408"/>
      <c r="AC346" s="358"/>
      <c r="AD346" s="358"/>
      <c r="AE346" s="358"/>
      <c r="AF346" s="358"/>
      <c r="AG346" s="358"/>
      <c r="AH346" s="358"/>
      <c r="AI346" s="358"/>
      <c r="AJ346" s="358"/>
      <c r="AK346" s="358"/>
      <c r="AL346" s="358"/>
      <c r="AM346" s="358"/>
      <c r="AN346" s="358"/>
      <c r="AO346" s="358"/>
      <c r="AP346" s="358"/>
      <c r="AQ346" s="358"/>
      <c r="AR346" s="358"/>
      <c r="AS346" s="358"/>
      <c r="AT346" s="358"/>
      <c r="AU346" s="358"/>
      <c r="AV346" s="370"/>
      <c r="AW346" s="408"/>
      <c r="AX346" s="408"/>
      <c r="AY346" s="358"/>
      <c r="AZ346" s="358"/>
      <c r="BA346" s="357">
        <f t="shared" si="80"/>
        <v>0</v>
      </c>
      <c r="BB346" s="357">
        <f t="shared" si="81"/>
        <v>0</v>
      </c>
      <c r="BC346" s="82" t="s">
        <v>41</v>
      </c>
      <c r="BE346" s="82"/>
    </row>
    <row r="347" spans="2:57" outlineLevel="1" x14ac:dyDescent="0.25">
      <c r="B347" s="349" t="s">
        <v>105</v>
      </c>
      <c r="C347" s="406"/>
      <c r="D347" s="357"/>
      <c r="E347" s="408">
        <f>'SEF-36 pg 1-33, 37'!$O$66</f>
        <v>0</v>
      </c>
      <c r="F347" s="408"/>
      <c r="G347" s="408"/>
      <c r="H347" s="408"/>
      <c r="I347" s="408"/>
      <c r="J347" s="358"/>
      <c r="K347" s="358"/>
      <c r="L347" s="358"/>
      <c r="M347" s="358"/>
      <c r="N347" s="358"/>
      <c r="O347" s="358"/>
      <c r="P347" s="358"/>
      <c r="Q347" s="358"/>
      <c r="R347" s="358"/>
      <c r="S347" s="358"/>
      <c r="T347" s="358"/>
      <c r="U347" s="358"/>
      <c r="V347" s="358"/>
      <c r="W347" s="358"/>
      <c r="X347" s="358"/>
      <c r="Y347" s="358"/>
      <c r="Z347" s="1887"/>
      <c r="AA347" s="408"/>
      <c r="AB347" s="408"/>
      <c r="AC347" s="358"/>
      <c r="AD347" s="358"/>
      <c r="AE347" s="358"/>
      <c r="AF347" s="358"/>
      <c r="AG347" s="358"/>
      <c r="AH347" s="358"/>
      <c r="AI347" s="358"/>
      <c r="AJ347" s="358"/>
      <c r="AK347" s="358"/>
      <c r="AL347" s="358"/>
      <c r="AM347" s="358"/>
      <c r="AN347" s="358"/>
      <c r="AO347" s="358"/>
      <c r="AP347" s="358"/>
      <c r="AQ347" s="358"/>
      <c r="AR347" s="358"/>
      <c r="AS347" s="358"/>
      <c r="AT347" s="358"/>
      <c r="AU347" s="358"/>
      <c r="AV347" s="358"/>
      <c r="AW347" s="408"/>
      <c r="AX347" s="408"/>
      <c r="AY347" s="358"/>
      <c r="AZ347" s="358"/>
      <c r="BA347" s="357">
        <f t="shared" si="80"/>
        <v>0</v>
      </c>
      <c r="BB347" s="357">
        <f t="shared" si="81"/>
        <v>0</v>
      </c>
      <c r="BC347" s="82" t="s">
        <v>41</v>
      </c>
      <c r="BE347" s="82"/>
    </row>
    <row r="348" spans="2:57" outlineLevel="1" x14ac:dyDescent="0.25">
      <c r="B348" s="349" t="s">
        <v>106</v>
      </c>
      <c r="C348" s="406"/>
      <c r="D348" s="357"/>
      <c r="E348" s="408">
        <f>'SEF-36 pg 1-33, 37'!$O$70</f>
        <v>0</v>
      </c>
      <c r="F348" s="408"/>
      <c r="G348" s="408"/>
      <c r="H348" s="408"/>
      <c r="I348" s="408">
        <f>'SEF-36 pg 1-33, 37'!CI23</f>
        <v>0</v>
      </c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1887"/>
      <c r="AA348" s="408"/>
      <c r="AB348" s="408"/>
      <c r="AC348" s="358"/>
      <c r="AD348" s="358"/>
      <c r="AE348" s="358"/>
      <c r="AF348" s="358"/>
      <c r="AG348" s="358"/>
      <c r="AH348" s="358"/>
      <c r="AI348" s="370"/>
      <c r="AJ348" s="370"/>
      <c r="AK348" s="370"/>
      <c r="AL348" s="370"/>
      <c r="AM348" s="370"/>
      <c r="AN348" s="370"/>
      <c r="AO348" s="370"/>
      <c r="AP348" s="358"/>
      <c r="AQ348" s="358"/>
      <c r="AR348" s="358"/>
      <c r="AS348" s="358"/>
      <c r="AT348" s="385"/>
      <c r="AU348" s="358"/>
      <c r="AV348" s="370"/>
      <c r="AW348" s="408"/>
      <c r="AX348" s="408"/>
      <c r="AY348" s="358"/>
      <c r="AZ348" s="358"/>
      <c r="BA348" s="357">
        <f t="shared" si="80"/>
        <v>0</v>
      </c>
      <c r="BB348" s="357">
        <f t="shared" si="81"/>
        <v>0</v>
      </c>
      <c r="BC348" s="82" t="s">
        <v>41</v>
      </c>
      <c r="BE348" s="82"/>
    </row>
    <row r="349" spans="2:57" outlineLevel="1" x14ac:dyDescent="0.25">
      <c r="B349" s="365" t="s">
        <v>107</v>
      </c>
      <c r="C349" s="406"/>
      <c r="D349" s="357"/>
      <c r="E349" s="408"/>
      <c r="F349" s="408"/>
      <c r="G349" s="408"/>
      <c r="H349" s="408"/>
      <c r="I349" s="408"/>
      <c r="J349" s="358"/>
      <c r="K349" s="358"/>
      <c r="L349" s="358"/>
      <c r="M349" s="358"/>
      <c r="N349" s="358"/>
      <c r="O349" s="358"/>
      <c r="P349" s="358"/>
      <c r="Q349" s="358"/>
      <c r="R349" s="358"/>
      <c r="S349" s="358"/>
      <c r="T349" s="358"/>
      <c r="U349" s="358"/>
      <c r="V349" s="358"/>
      <c r="W349" s="358"/>
      <c r="X349" s="358"/>
      <c r="Y349" s="358"/>
      <c r="Z349" s="408"/>
      <c r="AA349" s="408"/>
      <c r="AB349" s="408"/>
      <c r="AC349" s="358"/>
      <c r="AD349" s="358"/>
      <c r="AE349" s="358"/>
      <c r="AF349" s="358"/>
      <c r="AG349" s="358"/>
      <c r="AH349" s="358"/>
      <c r="AI349" s="358"/>
      <c r="AJ349" s="358"/>
      <c r="AK349" s="358"/>
      <c r="AL349" s="358"/>
      <c r="AM349" s="358"/>
      <c r="AN349" s="358"/>
      <c r="AO349" s="358"/>
      <c r="AP349" s="358"/>
      <c r="AQ349" s="358"/>
      <c r="AR349" s="358"/>
      <c r="AS349" s="358"/>
      <c r="AT349" s="358"/>
      <c r="AU349" s="358"/>
      <c r="AV349" s="358"/>
      <c r="AW349" s="408"/>
      <c r="AX349" s="408"/>
      <c r="AY349" s="358"/>
      <c r="AZ349" s="358"/>
      <c r="BA349" s="357">
        <f t="shared" si="80"/>
        <v>0</v>
      </c>
      <c r="BB349" s="357">
        <f t="shared" si="81"/>
        <v>0</v>
      </c>
      <c r="BC349" s="82" t="s">
        <v>41</v>
      </c>
      <c r="BE349" s="82"/>
    </row>
    <row r="350" spans="2:57" outlineLevel="1" x14ac:dyDescent="0.25">
      <c r="B350" s="349" t="s">
        <v>109</v>
      </c>
      <c r="C350" s="406"/>
      <c r="D350" s="367">
        <f t="shared" ref="D350:AI350" si="82">SUM(D334:D349)</f>
        <v>0</v>
      </c>
      <c r="E350" s="368">
        <f t="shared" si="82"/>
        <v>0</v>
      </c>
      <c r="F350" s="368">
        <f t="shared" si="82"/>
        <v>0</v>
      </c>
      <c r="G350" s="368">
        <f t="shared" si="82"/>
        <v>0</v>
      </c>
      <c r="H350" s="368">
        <f t="shared" si="82"/>
        <v>0</v>
      </c>
      <c r="I350" s="368">
        <f t="shared" si="82"/>
        <v>0</v>
      </c>
      <c r="J350" s="368">
        <f t="shared" si="82"/>
        <v>0</v>
      </c>
      <c r="K350" s="368">
        <f t="shared" si="82"/>
        <v>0</v>
      </c>
      <c r="L350" s="368">
        <f t="shared" si="82"/>
        <v>0</v>
      </c>
      <c r="M350" s="368">
        <f t="shared" si="82"/>
        <v>0</v>
      </c>
      <c r="N350" s="368">
        <f t="shared" si="82"/>
        <v>0</v>
      </c>
      <c r="O350" s="368">
        <f t="shared" si="82"/>
        <v>0</v>
      </c>
      <c r="P350" s="368">
        <f t="shared" si="82"/>
        <v>0</v>
      </c>
      <c r="Q350" s="368">
        <f t="shared" si="82"/>
        <v>0</v>
      </c>
      <c r="R350" s="368">
        <f t="shared" si="82"/>
        <v>0</v>
      </c>
      <c r="S350" s="368">
        <f t="shared" si="82"/>
        <v>0</v>
      </c>
      <c r="T350" s="368">
        <f t="shared" si="82"/>
        <v>0</v>
      </c>
      <c r="U350" s="368">
        <f t="shared" si="82"/>
        <v>0</v>
      </c>
      <c r="V350" s="368">
        <f t="shared" si="82"/>
        <v>0</v>
      </c>
      <c r="W350" s="368">
        <f t="shared" si="82"/>
        <v>0</v>
      </c>
      <c r="X350" s="368">
        <f t="shared" si="82"/>
        <v>0</v>
      </c>
      <c r="Y350" s="368">
        <f t="shared" si="82"/>
        <v>0</v>
      </c>
      <c r="Z350" s="372">
        <f t="shared" si="82"/>
        <v>0</v>
      </c>
      <c r="AA350" s="409">
        <f t="shared" si="82"/>
        <v>0</v>
      </c>
      <c r="AB350" s="409">
        <f t="shared" si="82"/>
        <v>0</v>
      </c>
      <c r="AC350" s="368">
        <f t="shared" si="82"/>
        <v>0</v>
      </c>
      <c r="AD350" s="368">
        <f t="shared" si="82"/>
        <v>0</v>
      </c>
      <c r="AE350" s="368">
        <f t="shared" si="82"/>
        <v>0</v>
      </c>
      <c r="AF350" s="368">
        <f t="shared" si="82"/>
        <v>0</v>
      </c>
      <c r="AG350" s="368">
        <f t="shared" si="82"/>
        <v>0</v>
      </c>
      <c r="AH350" s="368">
        <f t="shared" si="82"/>
        <v>0</v>
      </c>
      <c r="AI350" s="372">
        <f t="shared" si="82"/>
        <v>0</v>
      </c>
      <c r="AJ350" s="372"/>
      <c r="AK350" s="372"/>
      <c r="AL350" s="372"/>
      <c r="AM350" s="372"/>
      <c r="AN350" s="372"/>
      <c r="AO350" s="372"/>
      <c r="AP350" s="368">
        <f>SUM(AP334:AP349)</f>
        <v>0</v>
      </c>
      <c r="AQ350" s="368">
        <f>SUM(AQ334:AQ349)</f>
        <v>0</v>
      </c>
      <c r="AR350" s="368">
        <f>SUM(AR334:AR349)</f>
        <v>0</v>
      </c>
      <c r="AS350" s="368"/>
      <c r="AT350" s="368"/>
      <c r="AU350" s="368"/>
      <c r="AV350" s="368"/>
      <c r="AW350" s="409"/>
      <c r="AX350" s="409"/>
      <c r="AY350" s="368"/>
      <c r="AZ350" s="368"/>
      <c r="BA350" s="367">
        <f>SUM(BA334:BA349)</f>
        <v>0</v>
      </c>
      <c r="BB350" s="367">
        <f>SUM(BB334:BB349)</f>
        <v>0</v>
      </c>
      <c r="BC350" s="82" t="s">
        <v>41</v>
      </c>
      <c r="BE350" s="82"/>
    </row>
    <row r="351" spans="2:57" outlineLevel="1" x14ac:dyDescent="0.25">
      <c r="B351" s="365"/>
      <c r="C351" s="406"/>
      <c r="D351" s="374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  <c r="Y351" s="375"/>
      <c r="Z351" s="417"/>
      <c r="AA351" s="417"/>
      <c r="AB351" s="417"/>
      <c r="AC351" s="375"/>
      <c r="AD351" s="375"/>
      <c r="AE351" s="375"/>
      <c r="AF351" s="375"/>
      <c r="AG351" s="375"/>
      <c r="AH351" s="375"/>
      <c r="AI351" s="375"/>
      <c r="AJ351" s="375"/>
      <c r="AK351" s="375"/>
      <c r="AL351" s="375"/>
      <c r="AM351" s="375"/>
      <c r="AN351" s="375"/>
      <c r="AO351" s="375"/>
      <c r="AP351" s="375"/>
      <c r="AQ351" s="375"/>
      <c r="AR351" s="375"/>
      <c r="AS351" s="375"/>
      <c r="AT351" s="375"/>
      <c r="AU351" s="375"/>
      <c r="AV351" s="375"/>
      <c r="AW351" s="417"/>
      <c r="AX351" s="417"/>
      <c r="AY351" s="375"/>
      <c r="AZ351" s="375"/>
      <c r="BA351" s="374"/>
      <c r="BB351" s="374"/>
      <c r="BC351" s="82" t="s">
        <v>41</v>
      </c>
      <c r="BE351" s="82"/>
    </row>
    <row r="352" spans="2:57" ht="15.75" outlineLevel="1" thickBot="1" x14ac:dyDescent="0.3">
      <c r="B352" s="365" t="s">
        <v>110</v>
      </c>
      <c r="C352" s="406"/>
      <c r="D352" s="376">
        <f t="shared" ref="D352:AI352" si="83">+D325-D350</f>
        <v>0</v>
      </c>
      <c r="E352" s="378">
        <f t="shared" si="83"/>
        <v>0</v>
      </c>
      <c r="F352" s="378">
        <f t="shared" si="83"/>
        <v>0</v>
      </c>
      <c r="G352" s="378">
        <f t="shared" si="83"/>
        <v>0</v>
      </c>
      <c r="H352" s="378">
        <f t="shared" si="83"/>
        <v>0</v>
      </c>
      <c r="I352" s="378">
        <f t="shared" si="83"/>
        <v>0</v>
      </c>
      <c r="J352" s="378">
        <f t="shared" si="83"/>
        <v>0</v>
      </c>
      <c r="K352" s="378">
        <f t="shared" si="83"/>
        <v>0</v>
      </c>
      <c r="L352" s="378">
        <f t="shared" si="83"/>
        <v>0</v>
      </c>
      <c r="M352" s="378">
        <f t="shared" si="83"/>
        <v>0</v>
      </c>
      <c r="N352" s="378">
        <f t="shared" si="83"/>
        <v>0</v>
      </c>
      <c r="O352" s="378">
        <f t="shared" si="83"/>
        <v>0</v>
      </c>
      <c r="P352" s="378">
        <f t="shared" si="83"/>
        <v>0</v>
      </c>
      <c r="Q352" s="378">
        <f t="shared" si="83"/>
        <v>0</v>
      </c>
      <c r="R352" s="378">
        <f t="shared" si="83"/>
        <v>0</v>
      </c>
      <c r="S352" s="378">
        <f t="shared" si="83"/>
        <v>0</v>
      </c>
      <c r="T352" s="378">
        <f t="shared" si="83"/>
        <v>0</v>
      </c>
      <c r="U352" s="378">
        <f t="shared" si="83"/>
        <v>0</v>
      </c>
      <c r="V352" s="378">
        <f t="shared" si="83"/>
        <v>0</v>
      </c>
      <c r="W352" s="378">
        <f t="shared" si="83"/>
        <v>0</v>
      </c>
      <c r="X352" s="378">
        <f t="shared" si="83"/>
        <v>0</v>
      </c>
      <c r="Y352" s="378">
        <f t="shared" si="83"/>
        <v>0</v>
      </c>
      <c r="Z352" s="377">
        <f t="shared" si="83"/>
        <v>0</v>
      </c>
      <c r="AA352" s="419">
        <f t="shared" si="83"/>
        <v>0</v>
      </c>
      <c r="AB352" s="419">
        <f t="shared" si="83"/>
        <v>0</v>
      </c>
      <c r="AC352" s="378">
        <f t="shared" si="83"/>
        <v>0</v>
      </c>
      <c r="AD352" s="378">
        <f t="shared" si="83"/>
        <v>0</v>
      </c>
      <c r="AE352" s="378">
        <f t="shared" si="83"/>
        <v>0</v>
      </c>
      <c r="AF352" s="378">
        <f t="shared" si="83"/>
        <v>0</v>
      </c>
      <c r="AG352" s="378">
        <f t="shared" si="83"/>
        <v>0</v>
      </c>
      <c r="AH352" s="378">
        <f t="shared" si="83"/>
        <v>0</v>
      </c>
      <c r="AI352" s="377">
        <f t="shared" si="83"/>
        <v>0</v>
      </c>
      <c r="AJ352" s="377"/>
      <c r="AK352" s="377"/>
      <c r="AL352" s="377"/>
      <c r="AM352" s="377"/>
      <c r="AN352" s="377"/>
      <c r="AO352" s="377"/>
      <c r="AP352" s="378">
        <f>+AP325-AP350</f>
        <v>0</v>
      </c>
      <c r="AQ352" s="378">
        <f>+AQ325-AQ350</f>
        <v>0</v>
      </c>
      <c r="AR352" s="378">
        <f>+AR325-AR350</f>
        <v>0</v>
      </c>
      <c r="AS352" s="378"/>
      <c r="AT352" s="378"/>
      <c r="AU352" s="378"/>
      <c r="AV352" s="378"/>
      <c r="AW352" s="419"/>
      <c r="AX352" s="419"/>
      <c r="AY352" s="378"/>
      <c r="AZ352" s="378"/>
      <c r="BA352" s="376">
        <f>+BA325-BA350</f>
        <v>0</v>
      </c>
      <c r="BB352" s="376">
        <f>+BB325-BB350</f>
        <v>0</v>
      </c>
      <c r="BC352" s="82" t="s">
        <v>41</v>
      </c>
      <c r="BE352" s="82"/>
    </row>
    <row r="353" spans="2:57" ht="12" customHeight="1" outlineLevel="1" thickTop="1" x14ac:dyDescent="0.25">
      <c r="B353" s="18"/>
      <c r="C353" s="406"/>
      <c r="D353" s="380"/>
      <c r="E353" s="381"/>
      <c r="F353" s="381"/>
      <c r="G353" s="381"/>
      <c r="H353" s="381"/>
      <c r="I353" s="381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  <c r="Y353" s="381"/>
      <c r="Z353" s="420"/>
      <c r="AA353" s="420"/>
      <c r="AB353" s="420"/>
      <c r="AC353" s="381"/>
      <c r="AD353" s="381"/>
      <c r="AE353" s="381"/>
      <c r="AF353" s="381"/>
      <c r="AG353" s="381"/>
      <c r="AH353" s="381"/>
      <c r="AI353" s="381"/>
      <c r="AJ353" s="381"/>
      <c r="AK353" s="381"/>
      <c r="AL353" s="381"/>
      <c r="AM353" s="381"/>
      <c r="AN353" s="381"/>
      <c r="AO353" s="381"/>
      <c r="AP353" s="381"/>
      <c r="AQ353" s="381"/>
      <c r="AR353" s="381"/>
      <c r="AS353" s="381"/>
      <c r="AT353" s="381"/>
      <c r="AU353" s="381"/>
      <c r="AV353" s="381"/>
      <c r="AW353" s="420"/>
      <c r="AX353" s="420"/>
      <c r="AY353" s="381"/>
      <c r="AZ353" s="381"/>
      <c r="BA353" s="380"/>
      <c r="BB353" s="380"/>
      <c r="BC353" s="82" t="s">
        <v>41</v>
      </c>
      <c r="BE353" s="82"/>
    </row>
    <row r="354" spans="2:57" outlineLevel="1" x14ac:dyDescent="0.25">
      <c r="B354" s="349" t="s">
        <v>145</v>
      </c>
      <c r="C354" s="406"/>
      <c r="D354" s="366">
        <f>D365</f>
        <v>0</v>
      </c>
      <c r="E354" s="356"/>
      <c r="F354" s="356"/>
      <c r="G354" s="356"/>
      <c r="H354" s="356"/>
      <c r="I354" s="356"/>
      <c r="J354" s="356"/>
      <c r="K354" s="356"/>
      <c r="L354" s="356"/>
      <c r="M354" s="356"/>
      <c r="N354" s="356"/>
      <c r="O354" s="356"/>
      <c r="P354" s="356"/>
      <c r="Q354" s="356"/>
      <c r="R354" s="356"/>
      <c r="S354" s="356"/>
      <c r="T354" s="356"/>
      <c r="U354" s="356"/>
      <c r="V354" s="356"/>
      <c r="W354" s="356"/>
      <c r="X354" s="356"/>
      <c r="Y354" s="356"/>
      <c r="Z354" s="412"/>
      <c r="AA354" s="412"/>
      <c r="AB354" s="412"/>
      <c r="AC354" s="356"/>
      <c r="AD354" s="356"/>
      <c r="AE354" s="356"/>
      <c r="AF354" s="356"/>
      <c r="AG354" s="356"/>
      <c r="AH354" s="356"/>
      <c r="AI354" s="356"/>
      <c r="AJ354" s="356"/>
      <c r="AK354" s="356"/>
      <c r="AL354" s="356"/>
      <c r="AM354" s="356"/>
      <c r="AN354" s="356"/>
      <c r="AO354" s="356"/>
      <c r="AP354" s="356"/>
      <c r="AQ354" s="356">
        <f>AQ365</f>
        <v>0</v>
      </c>
      <c r="AR354" s="356"/>
      <c r="AS354" s="356"/>
      <c r="AT354" s="356"/>
      <c r="AU354" s="356"/>
      <c r="AV354" s="356"/>
      <c r="AW354" s="412"/>
      <c r="AX354" s="412"/>
      <c r="AY354" s="356"/>
      <c r="AZ354" s="356"/>
      <c r="BA354" s="366">
        <f>BA365</f>
        <v>0</v>
      </c>
      <c r="BB354" s="366">
        <f>BB365</f>
        <v>0</v>
      </c>
      <c r="BC354" s="82" t="s">
        <v>41</v>
      </c>
      <c r="BE354" s="82"/>
    </row>
    <row r="355" spans="2:57" outlineLevel="1" x14ac:dyDescent="0.25">
      <c r="B355" s="365"/>
      <c r="C355" s="406"/>
      <c r="D355" s="351"/>
      <c r="Z355" s="411"/>
      <c r="AA355" s="411"/>
      <c r="AB355" s="411"/>
      <c r="AW355" s="411"/>
      <c r="AX355" s="411"/>
      <c r="BA355" s="351"/>
      <c r="BB355" s="351"/>
      <c r="BC355" s="82" t="s">
        <v>41</v>
      </c>
      <c r="BE355" s="82"/>
    </row>
    <row r="356" spans="2:57" outlineLevel="1" x14ac:dyDescent="0.25">
      <c r="B356" s="349" t="s">
        <v>18</v>
      </c>
      <c r="C356" s="406"/>
      <c r="D356" s="383" t="e">
        <f>+D352/D354</f>
        <v>#DIV/0!</v>
      </c>
      <c r="E356" s="358"/>
      <c r="F356" s="358"/>
      <c r="G356" s="358"/>
      <c r="H356" s="358"/>
      <c r="I356" s="358"/>
      <c r="J356" s="358"/>
      <c r="K356" s="358"/>
      <c r="L356" s="358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  <c r="Y356" s="358"/>
      <c r="Z356" s="408"/>
      <c r="AA356" s="408"/>
      <c r="AB356" s="408"/>
      <c r="AC356" s="358"/>
      <c r="AD356" s="358"/>
      <c r="AE356" s="358"/>
      <c r="AF356" s="358"/>
      <c r="AG356" s="358"/>
      <c r="AH356" s="358"/>
      <c r="AI356" s="358"/>
      <c r="AJ356" s="358"/>
      <c r="AK356" s="358"/>
      <c r="AL356" s="358"/>
      <c r="AM356" s="358"/>
      <c r="AN356" s="358"/>
      <c r="AO356" s="358"/>
      <c r="AP356" s="358"/>
      <c r="AQ356" s="358"/>
      <c r="AR356" s="358"/>
      <c r="AS356" s="358"/>
      <c r="AT356" s="358"/>
      <c r="AU356" s="358"/>
      <c r="AV356" s="358"/>
      <c r="AW356" s="408"/>
      <c r="AX356" s="408"/>
      <c r="AY356" s="358"/>
      <c r="AZ356" s="358"/>
      <c r="BA356" s="383"/>
      <c r="BB356" s="383"/>
      <c r="BC356" s="82" t="s">
        <v>41</v>
      </c>
      <c r="BE356" s="82"/>
    </row>
    <row r="357" spans="2:57" outlineLevel="1" x14ac:dyDescent="0.25">
      <c r="B357" s="365"/>
      <c r="C357" s="406"/>
      <c r="D357" s="357"/>
      <c r="E357" s="358"/>
      <c r="F357" s="358"/>
      <c r="G357" s="358"/>
      <c r="H357" s="358"/>
      <c r="I357" s="358"/>
      <c r="J357" s="358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408"/>
      <c r="AA357" s="408"/>
      <c r="AB357" s="408"/>
      <c r="AC357" s="358"/>
      <c r="AD357" s="358"/>
      <c r="AE357" s="358"/>
      <c r="AF357" s="358"/>
      <c r="AG357" s="358"/>
      <c r="AH357" s="358"/>
      <c r="AI357" s="358"/>
      <c r="AJ357" s="358"/>
      <c r="AK357" s="358"/>
      <c r="AL357" s="358"/>
      <c r="AM357" s="358"/>
      <c r="AN357" s="358"/>
      <c r="AO357" s="358"/>
      <c r="AP357" s="358"/>
      <c r="AQ357" s="358"/>
      <c r="AR357" s="358"/>
      <c r="AS357" s="358"/>
      <c r="AT357" s="358"/>
      <c r="AU357" s="358"/>
      <c r="AV357" s="358"/>
      <c r="AW357" s="408"/>
      <c r="AX357" s="408"/>
      <c r="AY357" s="358"/>
      <c r="AZ357" s="358"/>
      <c r="BA357" s="357"/>
      <c r="BB357" s="357"/>
      <c r="BC357" s="82" t="s">
        <v>41</v>
      </c>
      <c r="BE357" s="82"/>
    </row>
    <row r="358" spans="2:57" outlineLevel="1" x14ac:dyDescent="0.25">
      <c r="B358" s="365" t="s">
        <v>146</v>
      </c>
      <c r="C358" s="406"/>
      <c r="D358" s="357"/>
      <c r="E358" s="358"/>
      <c r="F358" s="358"/>
      <c r="G358" s="358"/>
      <c r="H358" s="358"/>
      <c r="I358" s="358"/>
      <c r="J358" s="358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408"/>
      <c r="AA358" s="408"/>
      <c r="AB358" s="408"/>
      <c r="AC358" s="358"/>
      <c r="AD358" s="358"/>
      <c r="AE358" s="358"/>
      <c r="AF358" s="358"/>
      <c r="AG358" s="358"/>
      <c r="AH358" s="358"/>
      <c r="AI358" s="358"/>
      <c r="AJ358" s="358"/>
      <c r="AK358" s="358"/>
      <c r="AL358" s="358"/>
      <c r="AM358" s="358"/>
      <c r="AN358" s="358"/>
      <c r="AO358" s="358"/>
      <c r="AP358" s="358"/>
      <c r="AQ358" s="358"/>
      <c r="AR358" s="358"/>
      <c r="AS358" s="358"/>
      <c r="AT358" s="358"/>
      <c r="AU358" s="358"/>
      <c r="AV358" s="358"/>
      <c r="AW358" s="408"/>
      <c r="AX358" s="408"/>
      <c r="AY358" s="358"/>
      <c r="AZ358" s="358"/>
      <c r="BA358" s="357"/>
      <c r="BB358" s="357"/>
      <c r="BC358" s="82" t="s">
        <v>41</v>
      </c>
      <c r="BE358" s="82"/>
    </row>
    <row r="359" spans="2:57" outlineLevel="1" x14ac:dyDescent="0.25">
      <c r="B359" s="384" t="s">
        <v>112</v>
      </c>
      <c r="C359" s="406"/>
      <c r="D359" s="366"/>
      <c r="E359" s="356"/>
      <c r="F359" s="356"/>
      <c r="G359" s="356"/>
      <c r="H359" s="356"/>
      <c r="I359" s="356"/>
      <c r="J359" s="356"/>
      <c r="K359" s="356"/>
      <c r="L359" s="356"/>
      <c r="M359" s="356"/>
      <c r="N359" s="356"/>
      <c r="O359" s="356"/>
      <c r="P359" s="356"/>
      <c r="Q359" s="356"/>
      <c r="R359" s="356"/>
      <c r="S359" s="356"/>
      <c r="T359" s="356"/>
      <c r="U359" s="356"/>
      <c r="V359" s="356"/>
      <c r="W359" s="356"/>
      <c r="X359" s="356"/>
      <c r="Y359" s="356"/>
      <c r="Z359" s="412"/>
      <c r="AA359" s="412"/>
      <c r="AB359" s="412"/>
      <c r="AC359" s="356"/>
      <c r="AD359" s="356"/>
      <c r="AE359" s="356"/>
      <c r="AF359" s="356"/>
      <c r="AG359" s="356"/>
      <c r="AH359" s="356"/>
      <c r="AI359" s="356"/>
      <c r="AJ359" s="356"/>
      <c r="AK359" s="356"/>
      <c r="AL359" s="356"/>
      <c r="AM359" s="356"/>
      <c r="AN359" s="356"/>
      <c r="AO359" s="356"/>
      <c r="AP359" s="356"/>
      <c r="AQ359" s="356"/>
      <c r="AR359" s="356"/>
      <c r="AS359" s="356"/>
      <c r="AT359" s="356"/>
      <c r="AU359" s="356"/>
      <c r="AV359" s="356"/>
      <c r="AW359" s="412"/>
      <c r="AX359" s="412"/>
      <c r="AY359" s="356"/>
      <c r="AZ359" s="356"/>
      <c r="BA359" s="366">
        <f t="shared" ref="BA359:BA364" si="84">SUM(E359:AZ359)</f>
        <v>0</v>
      </c>
      <c r="BB359" s="366">
        <f t="shared" ref="BB359:BB364" si="85">+BA359+D359</f>
        <v>0</v>
      </c>
      <c r="BC359" s="82" t="s">
        <v>41</v>
      </c>
      <c r="BE359" s="82"/>
    </row>
    <row r="360" spans="2:57" outlineLevel="1" x14ac:dyDescent="0.25">
      <c r="B360" s="384" t="s">
        <v>113</v>
      </c>
      <c r="C360" s="406"/>
      <c r="D360" s="357"/>
      <c r="E360" s="358"/>
      <c r="F360" s="358"/>
      <c r="G360" s="358"/>
      <c r="H360" s="358"/>
      <c r="I360" s="358"/>
      <c r="J360" s="358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408"/>
      <c r="AA360" s="408"/>
      <c r="AB360" s="408"/>
      <c r="AC360" s="358"/>
      <c r="AD360" s="358"/>
      <c r="AE360" s="358"/>
      <c r="AF360" s="358"/>
      <c r="AG360" s="358"/>
      <c r="AH360" s="358"/>
      <c r="AI360" s="358"/>
      <c r="AJ360" s="358"/>
      <c r="AK360" s="358"/>
      <c r="AL360" s="358"/>
      <c r="AM360" s="358"/>
      <c r="AN360" s="358"/>
      <c r="AO360" s="358"/>
      <c r="AP360" s="358"/>
      <c r="AQ360" s="358"/>
      <c r="AR360" s="358"/>
      <c r="AS360" s="358"/>
      <c r="AT360" s="385"/>
      <c r="AU360" s="358"/>
      <c r="AV360" s="358"/>
      <c r="AW360" s="408"/>
      <c r="AX360" s="408"/>
      <c r="AY360" s="358"/>
      <c r="AZ360" s="358"/>
      <c r="BA360" s="357">
        <f t="shared" si="84"/>
        <v>0</v>
      </c>
      <c r="BB360" s="357">
        <f t="shared" si="85"/>
        <v>0</v>
      </c>
      <c r="BC360" s="82" t="s">
        <v>41</v>
      </c>
      <c r="BE360" s="82"/>
    </row>
    <row r="361" spans="2:57" outlineLevel="1" x14ac:dyDescent="0.25">
      <c r="B361" s="365" t="s">
        <v>147</v>
      </c>
      <c r="C361" s="406"/>
      <c r="D361" s="357"/>
      <c r="E361" s="358"/>
      <c r="F361" s="358"/>
      <c r="G361" s="358"/>
      <c r="H361" s="358"/>
      <c r="I361" s="358"/>
      <c r="J361" s="358"/>
      <c r="K361" s="358"/>
      <c r="L361" s="358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  <c r="Y361" s="358"/>
      <c r="Z361" s="408"/>
      <c r="AA361" s="408"/>
      <c r="AB361" s="408"/>
      <c r="AC361" s="358"/>
      <c r="AD361" s="358"/>
      <c r="AE361" s="358"/>
      <c r="AF361" s="358"/>
      <c r="AG361" s="358"/>
      <c r="AH361" s="358"/>
      <c r="AI361" s="358"/>
      <c r="AJ361" s="358"/>
      <c r="AK361" s="358"/>
      <c r="AL361" s="358"/>
      <c r="AM361" s="358"/>
      <c r="AN361" s="358"/>
      <c r="AO361" s="358"/>
      <c r="AP361" s="358"/>
      <c r="AQ361" s="358"/>
      <c r="AR361" s="358"/>
      <c r="AS361" s="358"/>
      <c r="AT361" s="385"/>
      <c r="AU361" s="358"/>
      <c r="AV361" s="358"/>
      <c r="AW361" s="408"/>
      <c r="AX361" s="408"/>
      <c r="AY361" s="358"/>
      <c r="AZ361" s="358"/>
      <c r="BA361" s="357">
        <f t="shared" si="84"/>
        <v>0</v>
      </c>
      <c r="BB361" s="357">
        <f t="shared" si="85"/>
        <v>0</v>
      </c>
      <c r="BC361" s="82" t="s">
        <v>41</v>
      </c>
      <c r="BE361" s="82"/>
    </row>
    <row r="362" spans="2:57" outlineLevel="1" x14ac:dyDescent="0.25">
      <c r="B362" s="365" t="s">
        <v>148</v>
      </c>
      <c r="C362" s="406"/>
      <c r="D362" s="357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Z362" s="408"/>
      <c r="AA362" s="408"/>
      <c r="AB362" s="408"/>
      <c r="AC362" s="358"/>
      <c r="AD362" s="358"/>
      <c r="AE362" s="358"/>
      <c r="AF362" s="358"/>
      <c r="AG362" s="358"/>
      <c r="AH362" s="358"/>
      <c r="AI362" s="358"/>
      <c r="AJ362" s="358"/>
      <c r="AK362" s="358"/>
      <c r="AL362" s="358"/>
      <c r="AM362" s="358"/>
      <c r="AN362" s="358"/>
      <c r="AO362" s="358"/>
      <c r="AP362" s="358"/>
      <c r="AQ362" s="358"/>
      <c r="AR362" s="358"/>
      <c r="AS362" s="358"/>
      <c r="AT362" s="382"/>
      <c r="AU362" s="358"/>
      <c r="AV362" s="358"/>
      <c r="AW362" s="408"/>
      <c r="AX362" s="408"/>
      <c r="AY362" s="358"/>
      <c r="AZ362" s="358"/>
      <c r="BA362" s="357">
        <f t="shared" si="84"/>
        <v>0</v>
      </c>
      <c r="BB362" s="357">
        <f t="shared" si="85"/>
        <v>0</v>
      </c>
      <c r="BC362" s="82" t="s">
        <v>41</v>
      </c>
      <c r="BE362" s="82"/>
    </row>
    <row r="363" spans="2:57" outlineLevel="1" x14ac:dyDescent="0.25">
      <c r="B363" s="365" t="s">
        <v>149</v>
      </c>
      <c r="C363" s="406"/>
      <c r="D363" s="386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  <c r="Z363" s="408"/>
      <c r="AA363" s="408"/>
      <c r="AB363" s="408"/>
      <c r="AC363" s="358"/>
      <c r="AD363" s="358"/>
      <c r="AE363" s="358"/>
      <c r="AF363" s="358"/>
      <c r="AG363" s="358"/>
      <c r="AH363" s="358"/>
      <c r="AI363" s="358"/>
      <c r="AJ363" s="358"/>
      <c r="AK363" s="358"/>
      <c r="AL363" s="358"/>
      <c r="AM363" s="358"/>
      <c r="AN363" s="358"/>
      <c r="AO363" s="358"/>
      <c r="AP363" s="358"/>
      <c r="AQ363" s="358"/>
      <c r="AR363" s="358"/>
      <c r="AS363" s="358"/>
      <c r="AT363" s="358"/>
      <c r="AU363" s="358"/>
      <c r="AV363" s="358"/>
      <c r="AW363" s="408"/>
      <c r="AX363" s="408"/>
      <c r="AY363" s="358"/>
      <c r="AZ363" s="358"/>
      <c r="BA363" s="357">
        <f t="shared" si="84"/>
        <v>0</v>
      </c>
      <c r="BB363" s="357">
        <f t="shared" si="85"/>
        <v>0</v>
      </c>
      <c r="BC363" s="82" t="s">
        <v>41</v>
      </c>
      <c r="BE363" s="82"/>
    </row>
    <row r="364" spans="2:57" outlineLevel="1" x14ac:dyDescent="0.25">
      <c r="B364" s="365" t="s">
        <v>150</v>
      </c>
      <c r="C364" s="406"/>
      <c r="D364" s="357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  <c r="AA364" s="358"/>
      <c r="AB364" s="358"/>
      <c r="AC364" s="358"/>
      <c r="AD364" s="358"/>
      <c r="AE364" s="358"/>
      <c r="AF364" s="358"/>
      <c r="AG364" s="358"/>
      <c r="AH364" s="358"/>
      <c r="AI364" s="358"/>
      <c r="AJ364" s="358"/>
      <c r="AK364" s="358"/>
      <c r="AL364" s="358"/>
      <c r="AM364" s="358"/>
      <c r="AN364" s="358"/>
      <c r="AO364" s="358"/>
      <c r="AP364" s="358"/>
      <c r="AQ364" s="358"/>
      <c r="AR364" s="358"/>
      <c r="AS364" s="358"/>
      <c r="AT364" s="358"/>
      <c r="AU364" s="358"/>
      <c r="AV364" s="358"/>
      <c r="AW364" s="408"/>
      <c r="AX364" s="408"/>
      <c r="AY364" s="358"/>
      <c r="AZ364" s="358"/>
      <c r="BA364" s="357">
        <f t="shared" si="84"/>
        <v>0</v>
      </c>
      <c r="BB364" s="357">
        <f t="shared" si="85"/>
        <v>0</v>
      </c>
      <c r="BC364" s="82" t="s">
        <v>41</v>
      </c>
      <c r="BE364" s="82"/>
    </row>
    <row r="365" spans="2:57" ht="15.75" outlineLevel="1" thickBot="1" x14ac:dyDescent="0.3">
      <c r="B365" s="365" t="s">
        <v>118</v>
      </c>
      <c r="C365" s="406"/>
      <c r="D365" s="388">
        <f t="shared" ref="D365:AI365" si="86">SUM(D359:D364)</f>
        <v>0</v>
      </c>
      <c r="E365" s="389">
        <f t="shared" si="86"/>
        <v>0</v>
      </c>
      <c r="F365" s="389">
        <f t="shared" si="86"/>
        <v>0</v>
      </c>
      <c r="G365" s="389">
        <f t="shared" si="86"/>
        <v>0</v>
      </c>
      <c r="H365" s="389">
        <f t="shared" si="86"/>
        <v>0</v>
      </c>
      <c r="I365" s="389">
        <f t="shared" si="86"/>
        <v>0</v>
      </c>
      <c r="J365" s="389">
        <f t="shared" si="86"/>
        <v>0</v>
      </c>
      <c r="K365" s="389">
        <f t="shared" si="86"/>
        <v>0</v>
      </c>
      <c r="L365" s="389">
        <f t="shared" si="86"/>
        <v>0</v>
      </c>
      <c r="M365" s="389">
        <f t="shared" si="86"/>
        <v>0</v>
      </c>
      <c r="N365" s="389">
        <f t="shared" si="86"/>
        <v>0</v>
      </c>
      <c r="O365" s="389">
        <f t="shared" si="86"/>
        <v>0</v>
      </c>
      <c r="P365" s="389">
        <f t="shared" si="86"/>
        <v>0</v>
      </c>
      <c r="Q365" s="389">
        <f t="shared" si="86"/>
        <v>0</v>
      </c>
      <c r="R365" s="389">
        <f t="shared" si="86"/>
        <v>0</v>
      </c>
      <c r="S365" s="389">
        <f t="shared" si="86"/>
        <v>0</v>
      </c>
      <c r="T365" s="389">
        <f t="shared" si="86"/>
        <v>0</v>
      </c>
      <c r="U365" s="389">
        <f t="shared" si="86"/>
        <v>0</v>
      </c>
      <c r="V365" s="389">
        <f t="shared" si="86"/>
        <v>0</v>
      </c>
      <c r="W365" s="389">
        <f t="shared" si="86"/>
        <v>0</v>
      </c>
      <c r="X365" s="389">
        <f t="shared" si="86"/>
        <v>0</v>
      </c>
      <c r="Y365" s="389">
        <f t="shared" si="86"/>
        <v>0</v>
      </c>
      <c r="Z365" s="389">
        <f t="shared" si="86"/>
        <v>0</v>
      </c>
      <c r="AA365" s="389">
        <f t="shared" si="86"/>
        <v>0</v>
      </c>
      <c r="AB365" s="389">
        <f t="shared" si="86"/>
        <v>0</v>
      </c>
      <c r="AC365" s="389">
        <f t="shared" si="86"/>
        <v>0</v>
      </c>
      <c r="AD365" s="389">
        <f t="shared" si="86"/>
        <v>0</v>
      </c>
      <c r="AE365" s="389">
        <f t="shared" si="86"/>
        <v>0</v>
      </c>
      <c r="AF365" s="389">
        <f t="shared" si="86"/>
        <v>0</v>
      </c>
      <c r="AG365" s="389">
        <f t="shared" si="86"/>
        <v>0</v>
      </c>
      <c r="AH365" s="389">
        <f t="shared" si="86"/>
        <v>0</v>
      </c>
      <c r="AI365" s="389">
        <f t="shared" si="86"/>
        <v>0</v>
      </c>
      <c r="AJ365" s="389"/>
      <c r="AK365" s="389"/>
      <c r="AL365" s="389"/>
      <c r="AM365" s="389"/>
      <c r="AN365" s="389"/>
      <c r="AO365" s="389"/>
      <c r="AP365" s="389">
        <f>SUM(AP359:AP364)</f>
        <v>0</v>
      </c>
      <c r="AQ365" s="389">
        <f>SUM(AQ359:AQ364)</f>
        <v>0</v>
      </c>
      <c r="AR365" s="389">
        <f>SUM(AR359:AR364)</f>
        <v>0</v>
      </c>
      <c r="AS365" s="389"/>
      <c r="AT365" s="389"/>
      <c r="AU365" s="389"/>
      <c r="AV365" s="389"/>
      <c r="AW365" s="421"/>
      <c r="AX365" s="421"/>
      <c r="AY365" s="389"/>
      <c r="AZ365" s="389"/>
      <c r="BA365" s="388">
        <f>SUM(BA359:BA364)</f>
        <v>0</v>
      </c>
      <c r="BB365" s="388">
        <f>SUM(BB359:BB364)</f>
        <v>0</v>
      </c>
      <c r="BC365" s="82" t="s">
        <v>41</v>
      </c>
      <c r="BE365" s="82"/>
    </row>
    <row r="366" spans="2:57" ht="15.75" outlineLevel="1" thickTop="1" x14ac:dyDescent="0.25">
      <c r="C366" s="406"/>
      <c r="D366" s="351"/>
      <c r="BA366" s="351"/>
      <c r="BB366" s="351"/>
      <c r="BC366" s="82" t="s">
        <v>41</v>
      </c>
      <c r="BE366" s="82"/>
    </row>
    <row r="367" spans="2:57" outlineLevel="1" x14ac:dyDescent="0.25">
      <c r="B367" s="365" t="s">
        <v>119</v>
      </c>
      <c r="C367" s="406"/>
      <c r="D367" s="81">
        <f>+'SEF-33 pg 1-2'!C13</f>
        <v>7.6499999999999999E-2</v>
      </c>
      <c r="E367" s="80">
        <f>+'SEF-33 pg 1-2'!D13</f>
        <v>7.9899999999999999E-2</v>
      </c>
      <c r="F367" s="80">
        <f>+'SEF-33 pg 1-2'!D13</f>
        <v>7.9899999999999999E-2</v>
      </c>
      <c r="G367" s="80">
        <f>+'SEF-33 pg 1-2'!D13</f>
        <v>7.9899999999999999E-2</v>
      </c>
      <c r="H367" s="80">
        <f>+'SEF-33 pg 1-2'!D13</f>
        <v>7.9899999999999999E-2</v>
      </c>
      <c r="I367" s="80">
        <f>+'SEF-33 pg 1-2'!D13</f>
        <v>7.9899999999999999E-2</v>
      </c>
      <c r="J367" s="80">
        <f>+'SEF-33 pg 1-2'!D13</f>
        <v>7.9899999999999999E-2</v>
      </c>
      <c r="K367" s="80">
        <f>+'SEF-33 pg 1-2'!D13</f>
        <v>7.9899999999999999E-2</v>
      </c>
      <c r="L367" s="80">
        <f>+'SEF-33 pg 1-2'!D13</f>
        <v>7.9899999999999999E-2</v>
      </c>
      <c r="M367" s="80">
        <f>+'SEF-33 pg 1-2'!D13</f>
        <v>7.9899999999999999E-2</v>
      </c>
      <c r="N367" s="80">
        <f>+'SEF-33 pg 1-2'!D13</f>
        <v>7.9899999999999999E-2</v>
      </c>
      <c r="O367" s="80">
        <f>+'SEF-33 pg 1-2'!D13</f>
        <v>7.9899999999999999E-2</v>
      </c>
      <c r="P367" s="80">
        <f>+'SEF-33 pg 1-2'!D13</f>
        <v>7.9899999999999999E-2</v>
      </c>
      <c r="Q367" s="80">
        <f>+'SEF-33 pg 1-2'!D13</f>
        <v>7.9899999999999999E-2</v>
      </c>
      <c r="R367" s="80">
        <f>+'SEF-33 pg 1-2'!D13</f>
        <v>7.9899999999999999E-2</v>
      </c>
      <c r="S367" s="80">
        <f>+'SEF-33 pg 1-2'!D13</f>
        <v>7.9899999999999999E-2</v>
      </c>
      <c r="T367" s="80">
        <f>+'SEF-33 pg 1-2'!D13</f>
        <v>7.9899999999999999E-2</v>
      </c>
      <c r="U367" s="80">
        <f>+'SEF-33 pg 1-2'!D13</f>
        <v>7.9899999999999999E-2</v>
      </c>
      <c r="V367" s="80">
        <f>+'SEF-33 pg 1-2'!D13</f>
        <v>7.9899999999999999E-2</v>
      </c>
      <c r="W367" s="80">
        <f>+'SEF-33 pg 1-2'!D13</f>
        <v>7.9899999999999999E-2</v>
      </c>
      <c r="X367" s="80">
        <f>+'SEF-33 pg 1-2'!D13</f>
        <v>7.9899999999999999E-2</v>
      </c>
      <c r="Y367" s="80">
        <f>+'SEF-33 pg 1-2'!D13</f>
        <v>7.9899999999999999E-2</v>
      </c>
      <c r="Z367" s="80">
        <f>+'SEF-33 pg 1-2'!D13</f>
        <v>7.9899999999999999E-2</v>
      </c>
      <c r="AA367" s="80">
        <f>+'SEF-33 pg 1-2'!D13</f>
        <v>7.9899999999999999E-2</v>
      </c>
      <c r="AB367" s="80">
        <f>+'SEF-33 pg 1-2'!D13</f>
        <v>7.9899999999999999E-2</v>
      </c>
      <c r="AC367" s="80">
        <f>+'SEF-33 pg 1-2'!D13</f>
        <v>7.9899999999999999E-2</v>
      </c>
      <c r="AD367" s="80">
        <f>+'SEF-33 pg 1-2'!D13</f>
        <v>7.9899999999999999E-2</v>
      </c>
      <c r="AE367" s="80">
        <f>+'SEF-33 pg 1-2'!D13</f>
        <v>7.9899999999999999E-2</v>
      </c>
      <c r="AF367" s="80">
        <f>+'SEF-33 pg 1-2'!D13</f>
        <v>7.9899999999999999E-2</v>
      </c>
      <c r="AG367" s="80">
        <f>+'SEF-33 pg 1-2'!D13</f>
        <v>7.9899999999999999E-2</v>
      </c>
      <c r="AH367" s="80">
        <f>+'SEF-33 pg 1-2'!D13</f>
        <v>7.9899999999999999E-2</v>
      </c>
      <c r="AI367" s="80">
        <f>+'SEF-33 pg 1-2'!D13</f>
        <v>7.9899999999999999E-2</v>
      </c>
      <c r="AJ367" s="80"/>
      <c r="AK367" s="80"/>
      <c r="AL367" s="80"/>
      <c r="AM367" s="80"/>
      <c r="AN367" s="80"/>
      <c r="AO367" s="80"/>
      <c r="AP367" s="80">
        <f>+'SEF-33 pg 1-2'!D13</f>
        <v>7.9899999999999999E-2</v>
      </c>
      <c r="AQ367" s="80">
        <f>+'SEF-33 pg 1-2'!D13</f>
        <v>7.9899999999999999E-2</v>
      </c>
      <c r="AR367" s="80">
        <f>+'SEF-33 pg 1-2'!D13</f>
        <v>7.9899999999999999E-2</v>
      </c>
      <c r="AS367" s="80"/>
      <c r="AT367" s="80"/>
      <c r="AU367" s="80"/>
      <c r="AV367" s="80"/>
      <c r="AW367" s="80"/>
      <c r="AX367" s="80"/>
      <c r="AY367" s="80"/>
      <c r="AZ367" s="80"/>
      <c r="BA367" s="81">
        <f>+'SEF-33 pg 1-2'!C13</f>
        <v>7.6499999999999999E-2</v>
      </c>
      <c r="BB367" s="81">
        <f>+'SEF-33 pg 1-2'!C13</f>
        <v>7.6499999999999999E-2</v>
      </c>
      <c r="BC367" s="82" t="s">
        <v>41</v>
      </c>
      <c r="BE367" s="82"/>
    </row>
    <row r="368" spans="2:57" outlineLevel="1" x14ac:dyDescent="0.25">
      <c r="B368" s="365" t="s">
        <v>3</v>
      </c>
      <c r="C368" s="406"/>
      <c r="D368" s="351">
        <f>+'SEF-35'!E20</f>
        <v>0.75342299999999995</v>
      </c>
      <c r="E368" s="317">
        <f>+'SEF-35'!E20</f>
        <v>0.75342299999999995</v>
      </c>
      <c r="F368" s="317">
        <f>+'SEF-35'!E20</f>
        <v>0.75342299999999995</v>
      </c>
      <c r="G368" s="317">
        <f>+'SEF-35'!E20</f>
        <v>0.75342299999999995</v>
      </c>
      <c r="H368" s="317">
        <f>+'SEF-35'!E20</f>
        <v>0.75342299999999995</v>
      </c>
      <c r="I368" s="317">
        <f>+'SEF-35'!E20</f>
        <v>0.75342299999999995</v>
      </c>
      <c r="J368" s="317">
        <f>+'SEF-35'!E20</f>
        <v>0.75342299999999995</v>
      </c>
      <c r="K368" s="317">
        <f>+'SEF-35'!E20</f>
        <v>0.75342299999999995</v>
      </c>
      <c r="L368" s="317">
        <f>+'SEF-35'!E20</f>
        <v>0.75342299999999995</v>
      </c>
      <c r="M368" s="317">
        <f>+'SEF-35'!E20</f>
        <v>0.75342299999999995</v>
      </c>
      <c r="N368" s="317">
        <f>+'SEF-35'!E20</f>
        <v>0.75342299999999995</v>
      </c>
      <c r="O368" s="317">
        <f>+'SEF-35'!E20</f>
        <v>0.75342299999999995</v>
      </c>
      <c r="P368" s="317">
        <f>+'SEF-35'!E20</f>
        <v>0.75342299999999995</v>
      </c>
      <c r="Q368" s="317">
        <f>+'SEF-35'!E20</f>
        <v>0.75342299999999995</v>
      </c>
      <c r="R368" s="317">
        <f>+'SEF-35'!E20</f>
        <v>0.75342299999999995</v>
      </c>
      <c r="S368" s="317">
        <f>+'SEF-35'!E20</f>
        <v>0.75342299999999995</v>
      </c>
      <c r="T368" s="317">
        <f>+'SEF-35'!E20</f>
        <v>0.75342299999999995</v>
      </c>
      <c r="U368" s="317">
        <f>+'SEF-35'!E20</f>
        <v>0.75342299999999995</v>
      </c>
      <c r="V368" s="317">
        <f>+'SEF-35'!E20</f>
        <v>0.75342299999999995</v>
      </c>
      <c r="W368" s="317">
        <f>+'SEF-35'!E20</f>
        <v>0.75342299999999995</v>
      </c>
      <c r="X368" s="317">
        <f>+'SEF-35'!E20</f>
        <v>0.75342299999999995</v>
      </c>
      <c r="Y368" s="317">
        <f>+'SEF-35'!E20</f>
        <v>0.75342299999999995</v>
      </c>
      <c r="Z368" s="317">
        <f>+'SEF-35'!E20</f>
        <v>0.75342299999999995</v>
      </c>
      <c r="AA368" s="317">
        <f>+'SEF-35'!E20</f>
        <v>0.75342299999999995</v>
      </c>
      <c r="AB368" s="317">
        <f>+'SEF-35'!E20</f>
        <v>0.75342299999999995</v>
      </c>
      <c r="AC368" s="317">
        <f>+'SEF-35'!E20</f>
        <v>0.75342299999999995</v>
      </c>
      <c r="AD368" s="317">
        <f>+'SEF-35'!E20</f>
        <v>0.75342299999999995</v>
      </c>
      <c r="AE368" s="317">
        <f>+'SEF-35'!E20</f>
        <v>0.75342299999999995</v>
      </c>
      <c r="AF368" s="317">
        <f>+'SEF-35'!E20</f>
        <v>0.75342299999999995</v>
      </c>
      <c r="AG368" s="317">
        <f>+'SEF-35'!E20</f>
        <v>0.75342299999999995</v>
      </c>
      <c r="AH368" s="317">
        <f>+'SEF-35'!E20</f>
        <v>0.75342299999999995</v>
      </c>
      <c r="AI368" s="317">
        <f>+'SEF-35'!E20</f>
        <v>0.75342299999999995</v>
      </c>
      <c r="AP368" s="317">
        <f>+'SEF-35'!E20</f>
        <v>0.75342299999999995</v>
      </c>
      <c r="AQ368" s="317">
        <f>+'SEF-35'!E20</f>
        <v>0.75342299999999995</v>
      </c>
      <c r="AR368" s="317">
        <f>+'SEF-35'!E20</f>
        <v>0.75342299999999995</v>
      </c>
      <c r="BA368" s="351">
        <f>+'SEF-35'!E20</f>
        <v>0.75342299999999995</v>
      </c>
      <c r="BB368" s="351">
        <f>+'SEF-35'!E20</f>
        <v>0.75342299999999995</v>
      </c>
      <c r="BC368" s="82" t="s">
        <v>41</v>
      </c>
      <c r="BE368" s="82"/>
    </row>
    <row r="369" spans="1:57" outlineLevel="1" x14ac:dyDescent="0.25">
      <c r="B369" s="365" t="s">
        <v>152</v>
      </c>
      <c r="C369" s="406"/>
      <c r="D369" s="357">
        <f t="shared" ref="D369:AI369" si="87">+D352-(D365*D367)</f>
        <v>0</v>
      </c>
      <c r="E369" s="382">
        <f t="shared" si="87"/>
        <v>0</v>
      </c>
      <c r="F369" s="382">
        <f t="shared" si="87"/>
        <v>0</v>
      </c>
      <c r="G369" s="382">
        <f t="shared" si="87"/>
        <v>0</v>
      </c>
      <c r="H369" s="382">
        <f t="shared" si="87"/>
        <v>0</v>
      </c>
      <c r="I369" s="382">
        <f t="shared" si="87"/>
        <v>0</v>
      </c>
      <c r="J369" s="382">
        <f t="shared" si="87"/>
        <v>0</v>
      </c>
      <c r="K369" s="382">
        <f t="shared" si="87"/>
        <v>0</v>
      </c>
      <c r="L369" s="382">
        <f t="shared" si="87"/>
        <v>0</v>
      </c>
      <c r="M369" s="382">
        <f t="shared" si="87"/>
        <v>0</v>
      </c>
      <c r="N369" s="382">
        <f t="shared" si="87"/>
        <v>0</v>
      </c>
      <c r="O369" s="382">
        <f t="shared" si="87"/>
        <v>0</v>
      </c>
      <c r="P369" s="382">
        <f t="shared" si="87"/>
        <v>0</v>
      </c>
      <c r="Q369" s="382">
        <f t="shared" si="87"/>
        <v>0</v>
      </c>
      <c r="R369" s="382">
        <f t="shared" si="87"/>
        <v>0</v>
      </c>
      <c r="S369" s="382">
        <f t="shared" si="87"/>
        <v>0</v>
      </c>
      <c r="T369" s="382">
        <f t="shared" si="87"/>
        <v>0</v>
      </c>
      <c r="U369" s="382">
        <f t="shared" si="87"/>
        <v>0</v>
      </c>
      <c r="V369" s="382">
        <f t="shared" si="87"/>
        <v>0</v>
      </c>
      <c r="W369" s="382">
        <f t="shared" si="87"/>
        <v>0</v>
      </c>
      <c r="X369" s="382">
        <f t="shared" si="87"/>
        <v>0</v>
      </c>
      <c r="Y369" s="382">
        <f t="shared" si="87"/>
        <v>0</v>
      </c>
      <c r="Z369" s="392">
        <f t="shared" si="87"/>
        <v>0</v>
      </c>
      <c r="AA369" s="382">
        <f t="shared" si="87"/>
        <v>0</v>
      </c>
      <c r="AB369" s="382">
        <f t="shared" si="87"/>
        <v>0</v>
      </c>
      <c r="AC369" s="382">
        <f t="shared" si="87"/>
        <v>0</v>
      </c>
      <c r="AD369" s="382">
        <f t="shared" si="87"/>
        <v>0</v>
      </c>
      <c r="AE369" s="382">
        <f t="shared" si="87"/>
        <v>0</v>
      </c>
      <c r="AF369" s="382">
        <f t="shared" si="87"/>
        <v>0</v>
      </c>
      <c r="AG369" s="382">
        <f t="shared" si="87"/>
        <v>0</v>
      </c>
      <c r="AH369" s="382">
        <f t="shared" si="87"/>
        <v>0</v>
      </c>
      <c r="AI369" s="392">
        <f t="shared" si="87"/>
        <v>0</v>
      </c>
      <c r="AJ369" s="392"/>
      <c r="AK369" s="392"/>
      <c r="AL369" s="392"/>
      <c r="AM369" s="392"/>
      <c r="AN369" s="392"/>
      <c r="AO369" s="392"/>
      <c r="AP369" s="382">
        <f>+AP352-(AP365*AP367)</f>
        <v>0</v>
      </c>
      <c r="AQ369" s="382">
        <f>+AQ352-(AQ365*AQ367)</f>
        <v>0</v>
      </c>
      <c r="AR369" s="382">
        <f>+AR352-(AR365*AR367)</f>
        <v>0</v>
      </c>
      <c r="AS369" s="382"/>
      <c r="AT369" s="382"/>
      <c r="AU369" s="382"/>
      <c r="AV369" s="382"/>
      <c r="AW369" s="382"/>
      <c r="AX369" s="382"/>
      <c r="AY369" s="382"/>
      <c r="AZ369" s="382"/>
      <c r="BA369" s="357">
        <f>SUM(E369:AZ369)</f>
        <v>0</v>
      </c>
      <c r="BB369" s="357">
        <f>+BB352-(BB365*BB367)</f>
        <v>0</v>
      </c>
      <c r="BC369" s="82" t="s">
        <v>41</v>
      </c>
      <c r="BE369" s="82"/>
    </row>
    <row r="370" spans="1:57" outlineLevel="1" x14ac:dyDescent="0.25">
      <c r="B370" s="365" t="s">
        <v>153</v>
      </c>
      <c r="C370" s="406"/>
      <c r="D370" s="357">
        <f t="shared" ref="D370:AI370" si="88">-D369/D368</f>
        <v>0</v>
      </c>
      <c r="E370" s="382">
        <f t="shared" si="88"/>
        <v>0</v>
      </c>
      <c r="F370" s="382">
        <f t="shared" si="88"/>
        <v>0</v>
      </c>
      <c r="G370" s="382">
        <f t="shared" si="88"/>
        <v>0</v>
      </c>
      <c r="H370" s="382">
        <f t="shared" si="88"/>
        <v>0</v>
      </c>
      <c r="I370" s="382">
        <f t="shared" si="88"/>
        <v>0</v>
      </c>
      <c r="J370" s="382">
        <f t="shared" si="88"/>
        <v>0</v>
      </c>
      <c r="K370" s="382">
        <f t="shared" si="88"/>
        <v>0</v>
      </c>
      <c r="L370" s="382">
        <f t="shared" si="88"/>
        <v>0</v>
      </c>
      <c r="M370" s="382">
        <f t="shared" si="88"/>
        <v>0</v>
      </c>
      <c r="N370" s="382">
        <f t="shared" si="88"/>
        <v>0</v>
      </c>
      <c r="O370" s="382">
        <f t="shared" si="88"/>
        <v>0</v>
      </c>
      <c r="P370" s="382">
        <f t="shared" si="88"/>
        <v>0</v>
      </c>
      <c r="Q370" s="382">
        <f t="shared" si="88"/>
        <v>0</v>
      </c>
      <c r="R370" s="382">
        <f t="shared" si="88"/>
        <v>0</v>
      </c>
      <c r="S370" s="382">
        <f t="shared" si="88"/>
        <v>0</v>
      </c>
      <c r="T370" s="382">
        <f t="shared" si="88"/>
        <v>0</v>
      </c>
      <c r="U370" s="382">
        <f t="shared" si="88"/>
        <v>0</v>
      </c>
      <c r="V370" s="382">
        <f t="shared" si="88"/>
        <v>0</v>
      </c>
      <c r="W370" s="382">
        <f t="shared" si="88"/>
        <v>0</v>
      </c>
      <c r="X370" s="382">
        <f t="shared" si="88"/>
        <v>0</v>
      </c>
      <c r="Y370" s="382">
        <f t="shared" si="88"/>
        <v>0</v>
      </c>
      <c r="Z370" s="392">
        <f t="shared" si="88"/>
        <v>0</v>
      </c>
      <c r="AA370" s="382">
        <f t="shared" si="88"/>
        <v>0</v>
      </c>
      <c r="AB370" s="382">
        <f t="shared" si="88"/>
        <v>0</v>
      </c>
      <c r="AC370" s="382">
        <f t="shared" si="88"/>
        <v>0</v>
      </c>
      <c r="AD370" s="382">
        <f t="shared" si="88"/>
        <v>0</v>
      </c>
      <c r="AE370" s="382">
        <f t="shared" si="88"/>
        <v>0</v>
      </c>
      <c r="AF370" s="382">
        <f t="shared" si="88"/>
        <v>0</v>
      </c>
      <c r="AG370" s="382">
        <f t="shared" si="88"/>
        <v>0</v>
      </c>
      <c r="AH370" s="382">
        <f t="shared" si="88"/>
        <v>0</v>
      </c>
      <c r="AI370" s="392">
        <f t="shared" si="88"/>
        <v>0</v>
      </c>
      <c r="AJ370" s="392"/>
      <c r="AK370" s="392"/>
      <c r="AL370" s="392"/>
      <c r="AM370" s="392"/>
      <c r="AN370" s="392"/>
      <c r="AO370" s="392"/>
      <c r="AP370" s="382">
        <f>-AP369/AP368</f>
        <v>0</v>
      </c>
      <c r="AQ370" s="382">
        <f>-AQ369/AQ368</f>
        <v>0</v>
      </c>
      <c r="AR370" s="382">
        <f>-AR369/AR368</f>
        <v>0</v>
      </c>
      <c r="AS370" s="382"/>
      <c r="AT370" s="382"/>
      <c r="AU370" s="382"/>
      <c r="AV370" s="382"/>
      <c r="AW370" s="382"/>
      <c r="AX370" s="382"/>
      <c r="AY370" s="382"/>
      <c r="AZ370" s="382"/>
      <c r="BA370" s="357">
        <f>-BA369/BA368</f>
        <v>0</v>
      </c>
      <c r="BB370" s="357">
        <f>-BB369/BB368</f>
        <v>0</v>
      </c>
      <c r="BC370" s="82" t="s">
        <v>41</v>
      </c>
      <c r="BE370" s="82"/>
    </row>
    <row r="371" spans="1:57" outlineLevel="1" x14ac:dyDescent="0.25">
      <c r="B371" s="365" t="s">
        <v>128</v>
      </c>
      <c r="C371" s="406"/>
      <c r="D371" s="357"/>
      <c r="E371" s="382"/>
      <c r="F371" s="382"/>
      <c r="G371" s="382"/>
      <c r="H371" s="382"/>
      <c r="I371" s="382"/>
      <c r="J371" s="382"/>
      <c r="K371" s="382"/>
      <c r="L371" s="382"/>
      <c r="M371" s="382"/>
      <c r="N371" s="382"/>
      <c r="O371" s="382"/>
      <c r="P371" s="382"/>
      <c r="Q371" s="382"/>
      <c r="R371" s="382"/>
      <c r="S371" s="382"/>
      <c r="T371" s="382"/>
      <c r="U371" s="382"/>
      <c r="V371" s="382"/>
      <c r="W371" s="382"/>
      <c r="X371" s="382"/>
      <c r="Y371" s="382"/>
      <c r="Z371" s="382"/>
      <c r="AA371" s="382"/>
      <c r="AB371" s="382"/>
      <c r="AC371" s="382"/>
      <c r="AD371" s="382"/>
      <c r="AE371" s="382"/>
      <c r="AF371" s="382"/>
      <c r="AG371" s="382"/>
      <c r="AH371" s="382"/>
      <c r="AI371" s="392"/>
      <c r="AJ371" s="392"/>
      <c r="AK371" s="392"/>
      <c r="AL371" s="392"/>
      <c r="AM371" s="392"/>
      <c r="AN371" s="392"/>
      <c r="AO371" s="392"/>
      <c r="AP371" s="382"/>
      <c r="AQ371" s="382"/>
      <c r="AR371" s="382"/>
      <c r="AS371" s="382"/>
      <c r="AT371" s="382"/>
      <c r="AU371" s="382"/>
      <c r="AV371" s="382"/>
      <c r="AW371" s="382"/>
      <c r="AX371" s="382"/>
      <c r="AY371" s="382"/>
      <c r="AZ371" s="382"/>
      <c r="BA371" s="357"/>
      <c r="BB371" s="357">
        <f>+BB310</f>
        <v>1033773304.3797647</v>
      </c>
      <c r="BC371" s="82" t="s">
        <v>41</v>
      </c>
      <c r="BE371" s="82"/>
    </row>
    <row r="372" spans="1:57" outlineLevel="1" x14ac:dyDescent="0.25">
      <c r="B372" s="365" t="s">
        <v>129</v>
      </c>
      <c r="C372" s="406"/>
      <c r="D372" s="357"/>
      <c r="E372" s="382"/>
      <c r="F372" s="382"/>
      <c r="G372" s="382"/>
      <c r="H372" s="382"/>
      <c r="I372" s="382"/>
      <c r="J372" s="382"/>
      <c r="K372" s="382"/>
      <c r="L372" s="382"/>
      <c r="M372" s="382"/>
      <c r="N372" s="382"/>
      <c r="O372" s="382"/>
      <c r="P372" s="382"/>
      <c r="Q372" s="382"/>
      <c r="R372" s="382"/>
      <c r="S372" s="382"/>
      <c r="T372" s="382"/>
      <c r="U372" s="382"/>
      <c r="V372" s="382"/>
      <c r="W372" s="382"/>
      <c r="X372" s="382"/>
      <c r="Y372" s="382"/>
      <c r="Z372" s="382"/>
      <c r="AA372" s="382"/>
      <c r="AB372" s="382"/>
      <c r="AC372" s="382"/>
      <c r="AD372" s="382"/>
      <c r="AE372" s="382"/>
      <c r="AF372" s="382"/>
      <c r="AG372" s="382"/>
      <c r="AH372" s="382"/>
      <c r="AI372" s="382"/>
      <c r="AJ372" s="382"/>
      <c r="AK372" s="382"/>
      <c r="AL372" s="382"/>
      <c r="AM372" s="382"/>
      <c r="AN372" s="382"/>
      <c r="AO372" s="382"/>
      <c r="AP372" s="382"/>
      <c r="AQ372" s="382"/>
      <c r="AR372" s="382"/>
      <c r="AS372" s="382"/>
      <c r="AT372" s="382"/>
      <c r="AU372" s="382"/>
      <c r="AV372" s="382"/>
      <c r="AW372" s="382"/>
      <c r="AX372" s="382"/>
      <c r="AY372" s="382"/>
      <c r="AZ372" s="382"/>
      <c r="BA372" s="357"/>
      <c r="BB372" s="425">
        <f>SUM(BB370:BB371)</f>
        <v>1033773304.3797647</v>
      </c>
      <c r="BC372" s="82" t="s">
        <v>41</v>
      </c>
      <c r="BE372" s="82"/>
    </row>
    <row r="373" spans="1:57" outlineLevel="1" x14ac:dyDescent="0.25">
      <c r="B373" s="365"/>
      <c r="C373" s="406"/>
      <c r="D373" s="393"/>
      <c r="E373" s="382"/>
      <c r="F373" s="382"/>
      <c r="G373" s="382"/>
      <c r="H373" s="382"/>
      <c r="I373" s="382"/>
      <c r="J373" s="382"/>
      <c r="K373" s="382"/>
      <c r="L373" s="382"/>
      <c r="M373" s="382"/>
      <c r="N373" s="382"/>
      <c r="O373" s="382"/>
      <c r="P373" s="382"/>
      <c r="Q373" s="382"/>
      <c r="R373" s="382"/>
      <c r="S373" s="382"/>
      <c r="T373" s="382"/>
      <c r="U373" s="382"/>
      <c r="V373" s="382"/>
      <c r="W373" s="382"/>
      <c r="X373" s="382"/>
      <c r="Y373" s="382"/>
      <c r="Z373" s="382"/>
      <c r="AA373" s="382"/>
      <c r="AB373" s="382"/>
      <c r="AC373" s="382"/>
      <c r="AD373" s="382"/>
      <c r="AE373" s="382"/>
      <c r="AF373" s="382"/>
      <c r="AG373" s="382"/>
      <c r="AH373" s="382"/>
      <c r="AI373" s="382"/>
      <c r="AJ373" s="382"/>
      <c r="AK373" s="382"/>
      <c r="AL373" s="382"/>
      <c r="AM373" s="382"/>
      <c r="AN373" s="382"/>
      <c r="AO373" s="382"/>
      <c r="AP373" s="382"/>
      <c r="AQ373" s="382"/>
      <c r="AR373" s="382"/>
      <c r="AS373" s="382"/>
      <c r="AT373" s="382"/>
      <c r="AU373" s="382"/>
      <c r="AV373" s="382"/>
      <c r="AW373" s="382"/>
      <c r="AX373" s="382"/>
      <c r="AY373" s="382"/>
      <c r="AZ373" s="382"/>
      <c r="BA373" s="393"/>
      <c r="BB373" s="393"/>
      <c r="BC373" s="82" t="s">
        <v>41</v>
      </c>
      <c r="BE373" s="82"/>
    </row>
    <row r="374" spans="1:57" outlineLevel="1" x14ac:dyDescent="0.25">
      <c r="B374" s="365"/>
      <c r="C374" s="406"/>
      <c r="BA374" s="80">
        <f>+'SEF-33 pg 1-2'!K24</f>
        <v>7.6499999999999999E-2</v>
      </c>
      <c r="BB374" s="80">
        <f>+'SEF-33 pg 1-2'!K24</f>
        <v>7.6499999999999999E-2</v>
      </c>
      <c r="BC374" s="82" t="s">
        <v>41</v>
      </c>
      <c r="BE374" s="82"/>
    </row>
    <row r="375" spans="1:57" outlineLevel="1" x14ac:dyDescent="0.25">
      <c r="B375" s="395" t="s">
        <v>154</v>
      </c>
      <c r="C375" s="406"/>
      <c r="D375" s="426"/>
      <c r="E375" s="429">
        <f>ROUND('SEF-36 pg 1-33, 37'!O$71-E352,0)+E354</f>
        <v>0</v>
      </c>
      <c r="F375" s="429">
        <f>ROUND('SEF-36 pg 1-33, 37'!AG$65-F352,0)+F354</f>
        <v>0</v>
      </c>
      <c r="G375" s="429">
        <f>ROUND('SEF-36 pg 1-33, 37'!AY$30-G352,0)+G354</f>
        <v>0</v>
      </c>
      <c r="H375" s="429">
        <f>ROUND('SEF-36 pg 1-33, 37'!BQ$22-H352,0)+ROUND('SEF-36 pg 1-33, 37'!BQ$24-H354,0)</f>
        <v>0</v>
      </c>
      <c r="I375" s="429">
        <f>ROUND('SEF-36 pg 1-33, 37'!CI$24-I352,0)+I354</f>
        <v>0</v>
      </c>
      <c r="J375" s="429">
        <f>ROUND('SEF-36 pg 1-33, 37'!DA$20-J352,0)+J354</f>
        <v>0</v>
      </c>
      <c r="K375" s="429">
        <f>ROUND('SEF-36 pg 1-33, 37'!DS$22-K352,0)+K354</f>
        <v>0</v>
      </c>
      <c r="L375" s="429">
        <f>ROUND('SEF-36 pg 1-33, 37'!EK$21-L352,0)+L354</f>
        <v>0</v>
      </c>
      <c r="M375" s="429">
        <f>ROUND('SEF-36 pg 1-33, 37'!FC$27-M352,0)+M354</f>
        <v>0</v>
      </c>
      <c r="N375" s="429">
        <f>ROUND('SEF-36 pg 1-33, 37'!FU$23-N352,0)+N354</f>
        <v>0</v>
      </c>
      <c r="O375" s="429">
        <f>ROUND('SEF-36 pg 1-33, 37'!GM$32-O352,0)+O354</f>
        <v>0</v>
      </c>
      <c r="P375" s="429">
        <f>ROUND('SEF-36 pg 1-33, 37'!HE$36-P352,0)+P354</f>
        <v>0</v>
      </c>
      <c r="Q375" s="429">
        <f>ROUND('SEF-36 pg 1-33, 37'!HW$18-Q352,0)+Q354</f>
        <v>0</v>
      </c>
      <c r="R375" s="429">
        <f>ROUND('SEF-36 pg 1-33, 37'!IO$21-R352,0)+R354</f>
        <v>0</v>
      </c>
      <c r="S375" s="429">
        <f>ROUND('SEF-36 pg 1-33, 37'!JG$22-S352,0)+S354</f>
        <v>0</v>
      </c>
      <c r="T375" s="429">
        <f>ROUND('SEF-36 pg 1-33, 37'!JY$23-T352,0)+T354</f>
        <v>0</v>
      </c>
      <c r="U375" s="429">
        <f>ROUND('SEF-36 pg 1-33, 37'!KQ$20-U352,0)+U354</f>
        <v>0</v>
      </c>
      <c r="V375" s="429">
        <f>ROUND('SEF-36 pg 1-33, 37'!LI$33-V352,0)+V354</f>
        <v>0</v>
      </c>
      <c r="W375" s="429">
        <f>ROUND('SEF-36 pg 1-33, 37'!MA$22-W354,0)+W352</f>
        <v>0</v>
      </c>
      <c r="X375" s="429">
        <f>ROUND('SEF-36 pg 1-33, 37'!MS$31-X352,0)+ROUND('SEF-36 pg 1-33, 37'!MS$36-X354,0)</f>
        <v>0</v>
      </c>
      <c r="Y375" s="429">
        <f>ROUND('SEF-36 pg 1-33, 37'!NK$22-Y352,0)+Y354</f>
        <v>0</v>
      </c>
      <c r="Z375" s="429">
        <f>ROUND('SEF-36 pg 1-33, 37'!OC$31-Z352,0)+Z354</f>
        <v>0</v>
      </c>
      <c r="AA375" s="429">
        <f>ROUND('SEF-36 pg 1-33, 37'!OU$40-AA352,0)+ROUND('SEF-36 pg 1-33, 37'!OU$29-AA354,0)</f>
        <v>0</v>
      </c>
      <c r="AB375" s="429">
        <f>ROUND('SEF-36 pg 1-33, 37'!PM$46-AB352,0)+ROUND('SEF-36 pg 1-33, 37'!PM$35-AB354,0)</f>
        <v>0</v>
      </c>
      <c r="AC375" s="429" t="e">
        <f>ROUND('SEF-36 pg 1-33, 37'!#REF!-AC352,0)+AC354</f>
        <v>#REF!</v>
      </c>
      <c r="AD375" s="429">
        <f>ROUND('SEF-36 pg 1-33, 37'!QX19-AD354,0)</f>
        <v>0</v>
      </c>
      <c r="AE375" s="429">
        <f>ROUND('SEF-36 pg 1-33, 37'!SZ$26-AE352,0)+ROUND('SEF-36 pg 1-33, 37'!SZ$31-AE354,0)</f>
        <v>0</v>
      </c>
      <c r="AF375" s="429">
        <f>ROUND('SEF-36 pg 1-33, 37'!SZ$44-AF352,0)+ROUND('SEF-36 pg 1-33, 37'!SZ$49-AF354,0)</f>
        <v>0</v>
      </c>
      <c r="AG375" s="429">
        <f>ROUND('SEF-36 pg 1-33, 37'!SZ$62-AG352,0)+ROUND('SEF-36 pg 1-33, 37'!SZ$67-AG354,0)</f>
        <v>0</v>
      </c>
      <c r="AH375" s="429">
        <f>ROUND('SEF-36 pg 1-33, 37'!SZ$80-AH352,0)+ROUND('SEF-36 pg 1-33, 37'!SZ$85-AH354,0)</f>
        <v>0</v>
      </c>
      <c r="AI375" s="429">
        <f>ROUND('SEF-36 pg 1-33, 37'!SZ$98-AI352,0)+ROUND('SEF-36 pg 1-33, 37'!SZ$103-AI354,0)</f>
        <v>0</v>
      </c>
      <c r="AJ375" s="429"/>
      <c r="AK375" s="429"/>
      <c r="AL375" s="429"/>
      <c r="AM375" s="429"/>
      <c r="AN375" s="429"/>
      <c r="AO375" s="429"/>
      <c r="AP375" s="429">
        <f>ROUND('SEF-36 pg 34-36'!BQ$44-AP354,0)+ROUND('SEF-36 pg 34-36'!BQ$33-AP352,0)</f>
        <v>0</v>
      </c>
      <c r="AQ375" s="429">
        <f>ROUND('SEF-36 pg 34-36'!CI$47-AQ352,0)+ROUND('SEF-36 pg 34-36'!CI$27-AQ354,0)</f>
        <v>0</v>
      </c>
      <c r="AR375" s="429">
        <f>ROUND('SEF-36 pg 34-36'!BQ274-AR352,0)+AR354</f>
        <v>0</v>
      </c>
      <c r="AS375" s="429">
        <f>ROUND('SEF-36 pg 34-36'!BR274-AS352,0)+AS354</f>
        <v>0</v>
      </c>
      <c r="AT375" s="429">
        <f>ROUND('SEF-36 pg 34-36'!BS274-AT352,0)+AT354</f>
        <v>0</v>
      </c>
      <c r="AU375" s="429">
        <f>ROUND('SEF-36 pg 34-36'!BT274-AU352,0)+AU354</f>
        <v>0</v>
      </c>
      <c r="AV375" s="429">
        <f>ROUND('SEF-36 pg 34-36'!BU274-AV352,0)+AV354</f>
        <v>0</v>
      </c>
      <c r="AW375" s="429">
        <f>ROUND('SEF-36 pg 34-36'!BV274-AW352,0)+AW354</f>
        <v>0</v>
      </c>
      <c r="AX375" s="429">
        <f>ROUND('SEF-36 pg 34-36'!BW274-AX352,0)+AX354</f>
        <v>0</v>
      </c>
      <c r="AY375" s="429">
        <f>ROUND('SEF-36 pg 34-36'!BX274-AY352,0)+AY354</f>
        <v>0</v>
      </c>
      <c r="AZ375" s="429">
        <f>ROUND('SEF-36 pg 34-36'!BY274-AZ352,0)+AZ354</f>
        <v>0</v>
      </c>
      <c r="BA375" s="428"/>
      <c r="BB375" s="428"/>
      <c r="BC375" s="82" t="s">
        <v>41</v>
      </c>
      <c r="BE375" s="82"/>
    </row>
    <row r="376" spans="1:57" outlineLevel="1" x14ac:dyDescent="0.25">
      <c r="B376" s="395" t="s">
        <v>155</v>
      </c>
      <c r="C376" s="406"/>
      <c r="D376" s="429"/>
      <c r="BB376" s="429">
        <f>'SEF-34 pg 1'!O47-BB352</f>
        <v>0</v>
      </c>
      <c r="BC376" s="82" t="s">
        <v>41</v>
      </c>
      <c r="BE376" s="82"/>
    </row>
    <row r="377" spans="1:57" outlineLevel="1" x14ac:dyDescent="0.25">
      <c r="B377" s="395" t="s">
        <v>156</v>
      </c>
      <c r="C377" s="406"/>
      <c r="D377" s="429"/>
      <c r="BB377" s="429">
        <f>'SEF-34 pg 1'!O58-BB365</f>
        <v>0</v>
      </c>
      <c r="BC377" s="82" t="s">
        <v>41</v>
      </c>
      <c r="BE377" s="82"/>
    </row>
    <row r="378" spans="1:57" outlineLevel="1" x14ac:dyDescent="0.25">
      <c r="A378" s="342"/>
      <c r="B378" s="400"/>
      <c r="C378" s="401"/>
      <c r="D378" s="347"/>
      <c r="E378" s="342"/>
      <c r="F378" s="342"/>
      <c r="G378" s="342"/>
      <c r="H378" s="342"/>
      <c r="I378" s="342"/>
      <c r="J378" s="342"/>
      <c r="K378" s="342"/>
      <c r="L378" s="342"/>
      <c r="M378" s="342"/>
      <c r="N378" s="342"/>
      <c r="O378" s="342"/>
      <c r="P378" s="342"/>
      <c r="Q378" s="342"/>
      <c r="R378" s="342"/>
      <c r="S378" s="342"/>
      <c r="T378" s="342"/>
      <c r="U378" s="342"/>
      <c r="V378" s="342"/>
      <c r="W378" s="342"/>
      <c r="X378" s="342"/>
      <c r="Y378" s="342"/>
      <c r="Z378" s="342"/>
      <c r="AA378" s="342"/>
      <c r="AB378" s="342"/>
      <c r="AC378" s="342"/>
      <c r="AD378" s="342"/>
      <c r="AE378" s="342"/>
      <c r="AF378" s="342"/>
      <c r="AG378" s="342"/>
      <c r="AH378" s="342"/>
      <c r="AI378" s="342"/>
      <c r="AJ378" s="342"/>
      <c r="AK378" s="342"/>
      <c r="AL378" s="342"/>
      <c r="AM378" s="342"/>
      <c r="AN378" s="342"/>
      <c r="AO378" s="342"/>
      <c r="AP378" s="342"/>
      <c r="AQ378" s="342"/>
      <c r="AR378" s="342"/>
      <c r="AS378" s="342"/>
      <c r="AT378" s="342"/>
      <c r="AU378" s="342"/>
      <c r="AV378" s="342"/>
      <c r="AW378" s="342"/>
      <c r="AX378" s="342"/>
      <c r="AY378" s="342"/>
      <c r="AZ378" s="342"/>
      <c r="BA378" s="342"/>
      <c r="BB378" s="347"/>
      <c r="BC378" s="82" t="s">
        <v>41</v>
      </c>
      <c r="BE378" s="82"/>
    </row>
    <row r="379" spans="1:57" outlineLevel="1" x14ac:dyDescent="0.25">
      <c r="A379" s="342"/>
      <c r="B379" s="343"/>
      <c r="C379" s="344"/>
      <c r="D379" s="345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  <c r="BB379" s="346"/>
      <c r="BC379" s="82"/>
      <c r="BE379" s="82"/>
    </row>
    <row r="380" spans="1:57" outlineLevel="1" x14ac:dyDescent="0.25">
      <c r="A380" s="342"/>
      <c r="B380" s="343"/>
      <c r="C380" s="344"/>
      <c r="D380" s="347"/>
      <c r="E380" s="348"/>
      <c r="F380" s="348"/>
      <c r="G380" s="348"/>
      <c r="H380" s="348"/>
      <c r="I380" s="348"/>
      <c r="J380" s="348"/>
      <c r="K380" s="348"/>
      <c r="L380" s="348"/>
      <c r="M380" s="348"/>
      <c r="N380" s="348"/>
      <c r="O380" s="348"/>
      <c r="P380" s="348"/>
      <c r="Q380" s="348"/>
      <c r="R380" s="348"/>
      <c r="S380" s="348"/>
      <c r="T380" s="348"/>
      <c r="U380" s="348"/>
      <c r="V380" s="348"/>
      <c r="W380" s="348"/>
      <c r="X380" s="348"/>
      <c r="Y380" s="348"/>
      <c r="Z380" s="348"/>
      <c r="AA380" s="348"/>
      <c r="AB380" s="348"/>
      <c r="AC380" s="348"/>
      <c r="AD380" s="348"/>
      <c r="AE380" s="348"/>
      <c r="AF380" s="348"/>
      <c r="AG380" s="348"/>
      <c r="AH380" s="348"/>
      <c r="AI380" s="348"/>
      <c r="AJ380" s="348"/>
      <c r="AK380" s="348"/>
      <c r="AL380" s="348"/>
      <c r="AM380" s="348"/>
      <c r="AN380" s="348"/>
      <c r="AO380" s="348"/>
      <c r="AP380" s="348"/>
      <c r="AQ380" s="348"/>
      <c r="AR380" s="348"/>
      <c r="AS380" s="348"/>
      <c r="AT380" s="348"/>
      <c r="AU380" s="348"/>
      <c r="AV380" s="348"/>
      <c r="AW380" s="348"/>
      <c r="AX380" s="348"/>
      <c r="AY380" s="348"/>
      <c r="AZ380" s="348"/>
      <c r="BA380" s="342"/>
      <c r="BB380" s="347"/>
      <c r="BC380" s="82"/>
      <c r="BE380" s="82"/>
    </row>
    <row r="381" spans="1:57" outlineLevel="1" x14ac:dyDescent="0.25">
      <c r="B381" s="349" t="s">
        <v>81</v>
      </c>
      <c r="C381" s="350"/>
      <c r="D381" s="366"/>
      <c r="BA381" s="352"/>
      <c r="BB381" s="352"/>
      <c r="BC381" s="82" t="s">
        <v>41</v>
      </c>
      <c r="BE381" s="82"/>
    </row>
    <row r="382" spans="1:57" outlineLevel="1" x14ac:dyDescent="0.25">
      <c r="B382" s="349" t="s">
        <v>82</v>
      </c>
      <c r="C382" s="350"/>
      <c r="D382" s="352">
        <f>+BB321</f>
        <v>0</v>
      </c>
      <c r="E382" s="407">
        <f>'SEF-36 pg 1-33, 37'!$Q$37</f>
        <v>0</v>
      </c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353"/>
      <c r="R382" s="353"/>
      <c r="S382" s="353"/>
      <c r="T382" s="353"/>
      <c r="U382" s="353"/>
      <c r="V382" s="353"/>
      <c r="W382" s="353"/>
      <c r="X382" s="353"/>
      <c r="Y382" s="353"/>
      <c r="Z382" s="353"/>
      <c r="AA382" s="353"/>
      <c r="AB382" s="353"/>
      <c r="AC382" s="353"/>
      <c r="AD382" s="353"/>
      <c r="AE382" s="353"/>
      <c r="AF382" s="353"/>
      <c r="AG382" s="353"/>
      <c r="AH382" s="353"/>
      <c r="AI382" s="353"/>
      <c r="AJ382" s="353"/>
      <c r="AK382" s="353"/>
      <c r="AL382" s="353"/>
      <c r="AM382" s="353"/>
      <c r="AN382" s="353"/>
      <c r="AO382" s="353"/>
      <c r="AP382" s="353"/>
      <c r="AQ382" s="353"/>
      <c r="AR382" s="353"/>
      <c r="AS382" s="353"/>
      <c r="AT382" s="353"/>
      <c r="AU382" s="353"/>
      <c r="AV382" s="353"/>
      <c r="AW382" s="407"/>
      <c r="AX382" s="407"/>
      <c r="AY382" s="353"/>
      <c r="AZ382" s="353"/>
      <c r="BA382" s="352">
        <f>SUM(E382:AZ382)</f>
        <v>0</v>
      </c>
      <c r="BB382" s="352">
        <f>+BA382+D382</f>
        <v>0</v>
      </c>
      <c r="BC382" s="82" t="s">
        <v>41</v>
      </c>
      <c r="BE382" s="82"/>
    </row>
    <row r="383" spans="1:57" outlineLevel="1" x14ac:dyDescent="0.25">
      <c r="B383" s="349" t="s">
        <v>83</v>
      </c>
      <c r="C383" s="350"/>
      <c r="D383" s="357">
        <f>+BB322</f>
        <v>0</v>
      </c>
      <c r="E383" s="408"/>
      <c r="F383" s="358"/>
      <c r="G383" s="358"/>
      <c r="H383" s="358"/>
      <c r="I383" s="358"/>
      <c r="J383" s="358"/>
      <c r="K383" s="358"/>
      <c r="L383" s="358"/>
      <c r="M383" s="358"/>
      <c r="N383" s="358"/>
      <c r="O383" s="358"/>
      <c r="P383" s="358"/>
      <c r="Q383" s="358"/>
      <c r="R383" s="358"/>
      <c r="S383" s="358"/>
      <c r="T383" s="358"/>
      <c r="U383" s="358"/>
      <c r="V383" s="358"/>
      <c r="W383" s="358"/>
      <c r="X383" s="358"/>
      <c r="Y383" s="358"/>
      <c r="Z383" s="358"/>
      <c r="AA383" s="358"/>
      <c r="AB383" s="358"/>
      <c r="AC383" s="358"/>
      <c r="AD383" s="358"/>
      <c r="AE383" s="358"/>
      <c r="AF383" s="358"/>
      <c r="AG383" s="358"/>
      <c r="AH383" s="358"/>
      <c r="AI383" s="358"/>
      <c r="AJ383" s="358"/>
      <c r="AK383" s="358"/>
      <c r="AL383" s="358"/>
      <c r="AM383" s="358"/>
      <c r="AN383" s="358"/>
      <c r="AO383" s="358"/>
      <c r="AP383" s="358"/>
      <c r="AQ383" s="358"/>
      <c r="AR383" s="358"/>
      <c r="AS383" s="358"/>
      <c r="AT383" s="358"/>
      <c r="AU383" s="358"/>
      <c r="AV383" s="358"/>
      <c r="AW383" s="408"/>
      <c r="AX383" s="408"/>
      <c r="AY383" s="358"/>
      <c r="AZ383" s="358"/>
      <c r="BA383" s="357">
        <f>SUM(E383:AZ383)</f>
        <v>0</v>
      </c>
      <c r="BB383" s="357">
        <f>+BA383+D383</f>
        <v>0</v>
      </c>
      <c r="BC383" s="82" t="s">
        <v>41</v>
      </c>
      <c r="BE383" s="82"/>
    </row>
    <row r="384" spans="1:57" outlineLevel="1" x14ac:dyDescent="0.25">
      <c r="B384" s="349" t="s">
        <v>84</v>
      </c>
      <c r="C384" s="350"/>
      <c r="D384" s="357">
        <f>+BB323</f>
        <v>0</v>
      </c>
      <c r="E384" s="408"/>
      <c r="F384" s="358"/>
      <c r="G384" s="358"/>
      <c r="H384" s="358"/>
      <c r="I384" s="358"/>
      <c r="J384" s="358"/>
      <c r="K384" s="358"/>
      <c r="L384" s="358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  <c r="Y384" s="358"/>
      <c r="Z384" s="358"/>
      <c r="AA384" s="358"/>
      <c r="AB384" s="358"/>
      <c r="AC384" s="358"/>
      <c r="AD384" s="358"/>
      <c r="AE384" s="358"/>
      <c r="AF384" s="358"/>
      <c r="AG384" s="358"/>
      <c r="AH384" s="358"/>
      <c r="AI384" s="370"/>
      <c r="AJ384" s="370"/>
      <c r="AK384" s="370"/>
      <c r="AL384" s="370"/>
      <c r="AM384" s="370"/>
      <c r="AN384" s="370"/>
      <c r="AO384" s="370"/>
      <c r="AP384" s="358"/>
      <c r="AQ384" s="358"/>
      <c r="AR384" s="358"/>
      <c r="AS384" s="358"/>
      <c r="AT384" s="358"/>
      <c r="AU384" s="358"/>
      <c r="AV384" s="358"/>
      <c r="AW384" s="408"/>
      <c r="AX384" s="408"/>
      <c r="AY384" s="358"/>
      <c r="AZ384" s="358"/>
      <c r="BA384" s="357">
        <f>SUM(E384:AZ384)</f>
        <v>0</v>
      </c>
      <c r="BB384" s="357">
        <f>+BA384+D384</f>
        <v>0</v>
      </c>
      <c r="BC384" s="82" t="s">
        <v>41</v>
      </c>
      <c r="BE384" s="82"/>
    </row>
    <row r="385" spans="2:57" outlineLevel="1" x14ac:dyDescent="0.25">
      <c r="B385" s="349" t="s">
        <v>85</v>
      </c>
      <c r="C385" s="350"/>
      <c r="D385" s="357">
        <f>+BB324</f>
        <v>0</v>
      </c>
      <c r="E385" s="408"/>
      <c r="F385" s="358"/>
      <c r="G385" s="358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  <c r="W385" s="358"/>
      <c r="X385" s="358"/>
      <c r="Y385" s="358"/>
      <c r="Z385" s="408"/>
      <c r="AA385" s="408"/>
      <c r="AB385" s="408"/>
      <c r="AC385" s="358"/>
      <c r="AD385" s="358"/>
      <c r="AE385" s="358"/>
      <c r="AF385" s="358"/>
      <c r="AG385" s="358"/>
      <c r="AH385" s="358"/>
      <c r="AI385" s="370"/>
      <c r="AJ385" s="370"/>
      <c r="AK385" s="370"/>
      <c r="AL385" s="370"/>
      <c r="AM385" s="370"/>
      <c r="AN385" s="370"/>
      <c r="AO385" s="370"/>
      <c r="AP385" s="358"/>
      <c r="AQ385" s="358"/>
      <c r="AR385" s="358"/>
      <c r="AS385" s="358"/>
      <c r="AT385" s="358"/>
      <c r="AU385" s="358"/>
      <c r="AV385" s="358"/>
      <c r="AW385" s="408"/>
      <c r="AX385" s="408"/>
      <c r="AY385" s="358"/>
      <c r="AZ385" s="358"/>
      <c r="BA385" s="357">
        <f>SUM(E385:AZ385)</f>
        <v>0</v>
      </c>
      <c r="BB385" s="357">
        <f>+BA385+D385</f>
        <v>0</v>
      </c>
      <c r="BC385" s="82" t="s">
        <v>41</v>
      </c>
      <c r="BE385" s="82"/>
    </row>
    <row r="386" spans="2:57" outlineLevel="1" x14ac:dyDescent="0.25">
      <c r="B386" s="349" t="s">
        <v>86</v>
      </c>
      <c r="C386" s="350"/>
      <c r="D386" s="359">
        <f t="shared" ref="D386:AI386" si="89">SUM(D382:D385)</f>
        <v>0</v>
      </c>
      <c r="E386" s="410">
        <f t="shared" si="89"/>
        <v>0</v>
      </c>
      <c r="F386" s="360">
        <f t="shared" si="89"/>
        <v>0</v>
      </c>
      <c r="G386" s="360">
        <f t="shared" si="89"/>
        <v>0</v>
      </c>
      <c r="H386" s="360">
        <f t="shared" si="89"/>
        <v>0</v>
      </c>
      <c r="I386" s="360">
        <f t="shared" si="89"/>
        <v>0</v>
      </c>
      <c r="J386" s="360">
        <f t="shared" si="89"/>
        <v>0</v>
      </c>
      <c r="K386" s="360">
        <f t="shared" si="89"/>
        <v>0</v>
      </c>
      <c r="L386" s="360">
        <f t="shared" si="89"/>
        <v>0</v>
      </c>
      <c r="M386" s="360">
        <f t="shared" si="89"/>
        <v>0</v>
      </c>
      <c r="N386" s="360">
        <f t="shared" si="89"/>
        <v>0</v>
      </c>
      <c r="O386" s="360">
        <f t="shared" si="89"/>
        <v>0</v>
      </c>
      <c r="P386" s="360">
        <f t="shared" si="89"/>
        <v>0</v>
      </c>
      <c r="Q386" s="360">
        <f t="shared" si="89"/>
        <v>0</v>
      </c>
      <c r="R386" s="360">
        <f t="shared" si="89"/>
        <v>0</v>
      </c>
      <c r="S386" s="360">
        <f t="shared" si="89"/>
        <v>0</v>
      </c>
      <c r="T386" s="360">
        <f t="shared" si="89"/>
        <v>0</v>
      </c>
      <c r="U386" s="360">
        <f t="shared" si="89"/>
        <v>0</v>
      </c>
      <c r="V386" s="360">
        <f t="shared" si="89"/>
        <v>0</v>
      </c>
      <c r="W386" s="360">
        <f t="shared" si="89"/>
        <v>0</v>
      </c>
      <c r="X386" s="360">
        <f t="shared" si="89"/>
        <v>0</v>
      </c>
      <c r="Y386" s="360">
        <f t="shared" si="89"/>
        <v>0</v>
      </c>
      <c r="Z386" s="410">
        <f t="shared" si="89"/>
        <v>0</v>
      </c>
      <c r="AA386" s="410">
        <f t="shared" si="89"/>
        <v>0</v>
      </c>
      <c r="AB386" s="410">
        <f t="shared" si="89"/>
        <v>0</v>
      </c>
      <c r="AC386" s="360">
        <f t="shared" si="89"/>
        <v>0</v>
      </c>
      <c r="AD386" s="360">
        <f t="shared" si="89"/>
        <v>0</v>
      </c>
      <c r="AE386" s="360">
        <f t="shared" si="89"/>
        <v>0</v>
      </c>
      <c r="AF386" s="360">
        <f t="shared" si="89"/>
        <v>0</v>
      </c>
      <c r="AG386" s="360">
        <f t="shared" si="89"/>
        <v>0</v>
      </c>
      <c r="AH386" s="360">
        <f t="shared" si="89"/>
        <v>0</v>
      </c>
      <c r="AI386" s="361">
        <f t="shared" si="89"/>
        <v>0</v>
      </c>
      <c r="AJ386" s="361"/>
      <c r="AK386" s="361"/>
      <c r="AL386" s="361"/>
      <c r="AM386" s="361"/>
      <c r="AN386" s="361"/>
      <c r="AO386" s="361"/>
      <c r="AP386" s="360">
        <f>SUM(AP382:AP385)</f>
        <v>0</v>
      </c>
      <c r="AQ386" s="360">
        <f>SUM(AQ382:AQ385)</f>
        <v>0</v>
      </c>
      <c r="AR386" s="360">
        <f>SUM(AR382:AR385)</f>
        <v>0</v>
      </c>
      <c r="AS386" s="360"/>
      <c r="AT386" s="360"/>
      <c r="AU386" s="360"/>
      <c r="AV386" s="360"/>
      <c r="AW386" s="410"/>
      <c r="AX386" s="410"/>
      <c r="AY386" s="360"/>
      <c r="AZ386" s="360"/>
      <c r="BA386" s="359">
        <f>SUM(BA382:BA385)</f>
        <v>0</v>
      </c>
      <c r="BB386" s="359">
        <f>SUM(BB382:BB385)</f>
        <v>0</v>
      </c>
      <c r="BC386" s="82" t="s">
        <v>41</v>
      </c>
      <c r="BE386" s="82"/>
    </row>
    <row r="387" spans="2:57" outlineLevel="1" x14ac:dyDescent="0.25">
      <c r="B387" s="363"/>
      <c r="C387" s="350"/>
      <c r="D387" s="357"/>
      <c r="E387" s="408"/>
      <c r="F387" s="358"/>
      <c r="G387" s="358"/>
      <c r="H387" s="358"/>
      <c r="I387" s="358"/>
      <c r="J387" s="358"/>
      <c r="K387" s="358"/>
      <c r="L387" s="358"/>
      <c r="M387" s="358"/>
      <c r="N387" s="358"/>
      <c r="O387" s="358"/>
      <c r="P387" s="358"/>
      <c r="Q387" s="358"/>
      <c r="R387" s="358"/>
      <c r="S387" s="358"/>
      <c r="T387" s="358"/>
      <c r="U387" s="358"/>
      <c r="V387" s="358"/>
      <c r="W387" s="358"/>
      <c r="X387" s="358"/>
      <c r="Y387" s="358"/>
      <c r="Z387" s="408"/>
      <c r="AA387" s="408"/>
      <c r="AB387" s="408"/>
      <c r="AC387" s="358"/>
      <c r="AD387" s="358"/>
      <c r="AE387" s="358"/>
      <c r="AF387" s="358"/>
      <c r="AG387" s="358"/>
      <c r="AH387" s="358"/>
      <c r="AI387" s="358"/>
      <c r="AJ387" s="358"/>
      <c r="AK387" s="358"/>
      <c r="AL387" s="358"/>
      <c r="AM387" s="358"/>
      <c r="AN387" s="358"/>
      <c r="AO387" s="358"/>
      <c r="AP387" s="358"/>
      <c r="AQ387" s="358"/>
      <c r="AR387" s="358"/>
      <c r="AS387" s="358"/>
      <c r="AT387" s="358"/>
      <c r="AU387" s="358"/>
      <c r="AV387" s="358"/>
      <c r="AW387" s="408"/>
      <c r="AX387" s="408"/>
      <c r="AY387" s="358"/>
      <c r="AZ387" s="358"/>
      <c r="BA387" s="357"/>
      <c r="BB387" s="357"/>
      <c r="BC387" s="82" t="s">
        <v>41</v>
      </c>
      <c r="BE387" s="82"/>
    </row>
    <row r="388" spans="2:57" outlineLevel="1" x14ac:dyDescent="0.25">
      <c r="B388" s="349" t="s">
        <v>87</v>
      </c>
      <c r="C388" s="350"/>
      <c r="D388" s="351"/>
      <c r="E388" s="411"/>
      <c r="Z388" s="411"/>
      <c r="AA388" s="411"/>
      <c r="AB388" s="411"/>
      <c r="AW388" s="411"/>
      <c r="AX388" s="411"/>
      <c r="BA388" s="351"/>
      <c r="BB388" s="351"/>
      <c r="BC388" s="82" t="s">
        <v>41</v>
      </c>
      <c r="BE388" s="82"/>
    </row>
    <row r="389" spans="2:57" outlineLevel="1" x14ac:dyDescent="0.25">
      <c r="B389" s="365"/>
      <c r="C389" s="350"/>
      <c r="D389" s="351"/>
      <c r="E389" s="411"/>
      <c r="Z389" s="411"/>
      <c r="AA389" s="411"/>
      <c r="AB389" s="411"/>
      <c r="AW389" s="411"/>
      <c r="AX389" s="411"/>
      <c r="BA389" s="351"/>
      <c r="BB389" s="351"/>
      <c r="BC389" s="82" t="s">
        <v>41</v>
      </c>
      <c r="BE389" s="82"/>
    </row>
    <row r="390" spans="2:57" outlineLevel="1" x14ac:dyDescent="0.25">
      <c r="B390" s="349" t="s">
        <v>88</v>
      </c>
      <c r="C390" s="350"/>
      <c r="D390" s="351"/>
      <c r="E390" s="411"/>
      <c r="Z390" s="411"/>
      <c r="AA390" s="411"/>
      <c r="AB390" s="411"/>
      <c r="AW390" s="411"/>
      <c r="AX390" s="411"/>
      <c r="BA390" s="351"/>
      <c r="BB390" s="351"/>
      <c r="BC390" s="82" t="s">
        <v>41</v>
      </c>
      <c r="BE390" s="82"/>
    </row>
    <row r="391" spans="2:57" outlineLevel="1" x14ac:dyDescent="0.25">
      <c r="B391" s="349" t="s">
        <v>89</v>
      </c>
      <c r="C391" s="350"/>
      <c r="D391" s="366">
        <f>+BB330</f>
        <v>0</v>
      </c>
      <c r="E391" s="412"/>
      <c r="F391" s="356"/>
      <c r="G391" s="356"/>
      <c r="H391" s="356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356"/>
      <c r="V391" s="356"/>
      <c r="W391" s="356"/>
      <c r="X391" s="356"/>
      <c r="Y391" s="356"/>
      <c r="Z391" s="412"/>
      <c r="AA391" s="412"/>
      <c r="AB391" s="412"/>
      <c r="AC391" s="356"/>
      <c r="AD391" s="356"/>
      <c r="AE391" s="356"/>
      <c r="AF391" s="356"/>
      <c r="AG391" s="356"/>
      <c r="AH391" s="356"/>
      <c r="AI391" s="423"/>
      <c r="AJ391" s="423"/>
      <c r="AK391" s="423"/>
      <c r="AL391" s="423"/>
      <c r="AM391" s="423"/>
      <c r="AN391" s="423"/>
      <c r="AO391" s="423"/>
      <c r="AP391" s="356"/>
      <c r="AQ391" s="356"/>
      <c r="AR391" s="356"/>
      <c r="AS391" s="356"/>
      <c r="AT391" s="356"/>
      <c r="AU391" s="356"/>
      <c r="AV391" s="356"/>
      <c r="AW391" s="412"/>
      <c r="AX391" s="412"/>
      <c r="AY391" s="356"/>
      <c r="AZ391" s="356"/>
      <c r="BA391" s="366">
        <f>SUM(E391:AZ391)</f>
        <v>0</v>
      </c>
      <c r="BB391" s="366">
        <f>+BA391+D391</f>
        <v>0</v>
      </c>
      <c r="BC391" s="82" t="s">
        <v>41</v>
      </c>
      <c r="BE391" s="82"/>
    </row>
    <row r="392" spans="2:57" outlineLevel="1" x14ac:dyDescent="0.25">
      <c r="B392" s="349" t="s">
        <v>90</v>
      </c>
      <c r="C392" s="350"/>
      <c r="D392" s="357">
        <f>+BB331</f>
        <v>0</v>
      </c>
      <c r="E392" s="408"/>
      <c r="F392" s="358"/>
      <c r="G392" s="358"/>
      <c r="H392" s="358"/>
      <c r="I392" s="358"/>
      <c r="J392" s="358"/>
      <c r="K392" s="358"/>
      <c r="L392" s="358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  <c r="Y392" s="358"/>
      <c r="Z392" s="408"/>
      <c r="AA392" s="408"/>
      <c r="AB392" s="408"/>
      <c r="AC392" s="358"/>
      <c r="AD392" s="358"/>
      <c r="AE392" s="358"/>
      <c r="AF392" s="358"/>
      <c r="AG392" s="358"/>
      <c r="AH392" s="358"/>
      <c r="AI392" s="370"/>
      <c r="AJ392" s="370"/>
      <c r="AK392" s="370"/>
      <c r="AL392" s="370"/>
      <c r="AM392" s="370"/>
      <c r="AN392" s="370"/>
      <c r="AO392" s="370"/>
      <c r="AP392" s="358"/>
      <c r="AQ392" s="358"/>
      <c r="AR392" s="358"/>
      <c r="AS392" s="358"/>
      <c r="AT392" s="358"/>
      <c r="AU392" s="358"/>
      <c r="AV392" s="358"/>
      <c r="AW392" s="408"/>
      <c r="AX392" s="408"/>
      <c r="AY392" s="358"/>
      <c r="AZ392" s="358"/>
      <c r="BA392" s="357">
        <f>SUM(E392:AZ392)</f>
        <v>0</v>
      </c>
      <c r="BB392" s="357">
        <f>+BA392+D392</f>
        <v>0</v>
      </c>
      <c r="BC392" s="82" t="s">
        <v>41</v>
      </c>
      <c r="BE392" s="82"/>
    </row>
    <row r="393" spans="2:57" outlineLevel="1" x14ac:dyDescent="0.25">
      <c r="B393" s="349" t="s">
        <v>91</v>
      </c>
      <c r="C393" s="350"/>
      <c r="D393" s="357">
        <f>+BB332</f>
        <v>0</v>
      </c>
      <c r="E393" s="408"/>
      <c r="F393" s="358"/>
      <c r="G393" s="358"/>
      <c r="H393" s="358"/>
      <c r="I393" s="358"/>
      <c r="J393" s="358"/>
      <c r="K393" s="358"/>
      <c r="L393" s="358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  <c r="Y393" s="358"/>
      <c r="Z393" s="408"/>
      <c r="AA393" s="408"/>
      <c r="AB393" s="408"/>
      <c r="AC393" s="358"/>
      <c r="AD393" s="358"/>
      <c r="AE393" s="358"/>
      <c r="AF393" s="358"/>
      <c r="AG393" s="358"/>
      <c r="AH393" s="358"/>
      <c r="AI393" s="370"/>
      <c r="AJ393" s="370"/>
      <c r="AK393" s="370"/>
      <c r="AL393" s="370"/>
      <c r="AM393" s="370"/>
      <c r="AN393" s="370"/>
      <c r="AO393" s="370"/>
      <c r="AP393" s="358"/>
      <c r="AQ393" s="358"/>
      <c r="AR393" s="358"/>
      <c r="AS393" s="358"/>
      <c r="AT393" s="358"/>
      <c r="AU393" s="358"/>
      <c r="AV393" s="358"/>
      <c r="AW393" s="408"/>
      <c r="AX393" s="408"/>
      <c r="AY393" s="358"/>
      <c r="AZ393" s="358"/>
      <c r="BA393" s="357">
        <f>SUM(E393:AZ393)</f>
        <v>0</v>
      </c>
      <c r="BB393" s="357">
        <f>+BA393+D393</f>
        <v>0</v>
      </c>
      <c r="BC393" s="82" t="s">
        <v>41</v>
      </c>
      <c r="BE393" s="82"/>
    </row>
    <row r="394" spans="2:57" outlineLevel="1" x14ac:dyDescent="0.25">
      <c r="B394" s="365" t="s">
        <v>92</v>
      </c>
      <c r="C394" s="350"/>
      <c r="D394" s="357">
        <f>+BB333</f>
        <v>0</v>
      </c>
      <c r="E394" s="408"/>
      <c r="F394" s="358"/>
      <c r="G394" s="358"/>
      <c r="H394" s="358"/>
      <c r="I394" s="358"/>
      <c r="J394" s="358"/>
      <c r="K394" s="358"/>
      <c r="L394" s="358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  <c r="Y394" s="358"/>
      <c r="Z394" s="408"/>
      <c r="AA394" s="408"/>
      <c r="AB394" s="408"/>
      <c r="AC394" s="358"/>
      <c r="AD394" s="358"/>
      <c r="AE394" s="358"/>
      <c r="AF394" s="358"/>
      <c r="AG394" s="358"/>
      <c r="AH394" s="358"/>
      <c r="AI394" s="358"/>
      <c r="AJ394" s="358"/>
      <c r="AK394" s="358"/>
      <c r="AL394" s="358"/>
      <c r="AM394" s="358"/>
      <c r="AN394" s="358"/>
      <c r="AO394" s="358"/>
      <c r="AP394" s="358"/>
      <c r="AQ394" s="358"/>
      <c r="AR394" s="358"/>
      <c r="AS394" s="358"/>
      <c r="AT394" s="358"/>
      <c r="AU394" s="358"/>
      <c r="AV394" s="358"/>
      <c r="AW394" s="408"/>
      <c r="AX394" s="408"/>
      <c r="AY394" s="358"/>
      <c r="AZ394" s="358"/>
      <c r="BA394" s="357">
        <f>SUM(E394:AZ394)</f>
        <v>0</v>
      </c>
      <c r="BB394" s="357">
        <f>+BA394+D394</f>
        <v>0</v>
      </c>
      <c r="BC394" s="82" t="s">
        <v>41</v>
      </c>
      <c r="BE394" s="82"/>
    </row>
    <row r="395" spans="2:57" outlineLevel="1" x14ac:dyDescent="0.25">
      <c r="B395" s="349" t="s">
        <v>93</v>
      </c>
      <c r="C395" s="350"/>
      <c r="D395" s="367">
        <f t="shared" ref="D395:AI395" si="90">SUM(D390:D394)</f>
        <v>0</v>
      </c>
      <c r="E395" s="409">
        <f t="shared" si="90"/>
        <v>0</v>
      </c>
      <c r="F395" s="368">
        <f t="shared" si="90"/>
        <v>0</v>
      </c>
      <c r="G395" s="368">
        <f t="shared" si="90"/>
        <v>0</v>
      </c>
      <c r="H395" s="368">
        <f t="shared" si="90"/>
        <v>0</v>
      </c>
      <c r="I395" s="368">
        <f t="shared" si="90"/>
        <v>0</v>
      </c>
      <c r="J395" s="368">
        <f t="shared" si="90"/>
        <v>0</v>
      </c>
      <c r="K395" s="368">
        <f t="shared" si="90"/>
        <v>0</v>
      </c>
      <c r="L395" s="368">
        <f t="shared" si="90"/>
        <v>0</v>
      </c>
      <c r="M395" s="368">
        <f t="shared" si="90"/>
        <v>0</v>
      </c>
      <c r="N395" s="368">
        <f t="shared" si="90"/>
        <v>0</v>
      </c>
      <c r="O395" s="368">
        <f t="shared" si="90"/>
        <v>0</v>
      </c>
      <c r="P395" s="368">
        <f t="shared" si="90"/>
        <v>0</v>
      </c>
      <c r="Q395" s="368">
        <f t="shared" si="90"/>
        <v>0</v>
      </c>
      <c r="R395" s="368">
        <f t="shared" si="90"/>
        <v>0</v>
      </c>
      <c r="S395" s="368">
        <f t="shared" si="90"/>
        <v>0</v>
      </c>
      <c r="T395" s="368">
        <f t="shared" si="90"/>
        <v>0</v>
      </c>
      <c r="U395" s="368">
        <f t="shared" si="90"/>
        <v>0</v>
      </c>
      <c r="V395" s="368">
        <f t="shared" si="90"/>
        <v>0</v>
      </c>
      <c r="W395" s="368">
        <f t="shared" si="90"/>
        <v>0</v>
      </c>
      <c r="X395" s="368">
        <f t="shared" si="90"/>
        <v>0</v>
      </c>
      <c r="Y395" s="368">
        <f t="shared" si="90"/>
        <v>0</v>
      </c>
      <c r="Z395" s="409">
        <f t="shared" si="90"/>
        <v>0</v>
      </c>
      <c r="AA395" s="409">
        <f t="shared" si="90"/>
        <v>0</v>
      </c>
      <c r="AB395" s="409">
        <f t="shared" si="90"/>
        <v>0</v>
      </c>
      <c r="AC395" s="368">
        <f t="shared" si="90"/>
        <v>0</v>
      </c>
      <c r="AD395" s="368">
        <f t="shared" si="90"/>
        <v>0</v>
      </c>
      <c r="AE395" s="368">
        <f t="shared" si="90"/>
        <v>0</v>
      </c>
      <c r="AF395" s="368">
        <f t="shared" si="90"/>
        <v>0</v>
      </c>
      <c r="AG395" s="368">
        <f t="shared" si="90"/>
        <v>0</v>
      </c>
      <c r="AH395" s="368">
        <f t="shared" si="90"/>
        <v>0</v>
      </c>
      <c r="AI395" s="372">
        <f t="shared" si="90"/>
        <v>0</v>
      </c>
      <c r="AJ395" s="372"/>
      <c r="AK395" s="372"/>
      <c r="AL395" s="372"/>
      <c r="AM395" s="372"/>
      <c r="AN395" s="372"/>
      <c r="AO395" s="372"/>
      <c r="AP395" s="368">
        <f>SUM(AP390:AP394)</f>
        <v>0</v>
      </c>
      <c r="AQ395" s="368">
        <f>SUM(AQ390:AQ394)</f>
        <v>0</v>
      </c>
      <c r="AR395" s="368">
        <f>SUM(AR390:AR394)</f>
        <v>0</v>
      </c>
      <c r="AS395" s="368"/>
      <c r="AT395" s="368"/>
      <c r="AU395" s="368"/>
      <c r="AV395" s="368"/>
      <c r="AW395" s="409"/>
      <c r="AX395" s="409"/>
      <c r="AY395" s="368"/>
      <c r="AZ395" s="368"/>
      <c r="BA395" s="367">
        <f>SUM(BA390:BA394)</f>
        <v>0</v>
      </c>
      <c r="BB395" s="367">
        <f>SUM(BB390:BB394)</f>
        <v>0</v>
      </c>
      <c r="BC395" s="82" t="s">
        <v>41</v>
      </c>
      <c r="BE395" s="82"/>
    </row>
    <row r="396" spans="2:57" outlineLevel="1" x14ac:dyDescent="0.25">
      <c r="B396" s="349"/>
      <c r="C396" s="350"/>
      <c r="D396" s="366"/>
      <c r="E396" s="412"/>
      <c r="F396" s="356"/>
      <c r="G396" s="356"/>
      <c r="H396" s="356"/>
      <c r="I396" s="356"/>
      <c r="J396" s="356"/>
      <c r="K396" s="356"/>
      <c r="L396" s="356"/>
      <c r="M396" s="356"/>
      <c r="N396" s="356"/>
      <c r="O396" s="356"/>
      <c r="P396" s="356"/>
      <c r="Q396" s="356"/>
      <c r="R396" s="356"/>
      <c r="S396" s="356"/>
      <c r="T396" s="356"/>
      <c r="U396" s="356"/>
      <c r="V396" s="356"/>
      <c r="W396" s="356"/>
      <c r="X396" s="356"/>
      <c r="Y396" s="356"/>
      <c r="Z396" s="412"/>
      <c r="AA396" s="412"/>
      <c r="AB396" s="412"/>
      <c r="AC396" s="356"/>
      <c r="AD396" s="356"/>
      <c r="AE396" s="356"/>
      <c r="AF396" s="356"/>
      <c r="AG396" s="356"/>
      <c r="AH396" s="356"/>
      <c r="AI396" s="356"/>
      <c r="AJ396" s="356"/>
      <c r="AK396" s="356"/>
      <c r="AL396" s="356"/>
      <c r="AM396" s="356"/>
      <c r="AN396" s="356"/>
      <c r="AO396" s="356"/>
      <c r="AP396" s="356"/>
      <c r="AQ396" s="356"/>
      <c r="AR396" s="356"/>
      <c r="AS396" s="356"/>
      <c r="AT396" s="356"/>
      <c r="AU396" s="356"/>
      <c r="AV396" s="356"/>
      <c r="AW396" s="412"/>
      <c r="AX396" s="412"/>
      <c r="AY396" s="356"/>
      <c r="AZ396" s="356"/>
      <c r="BA396" s="366"/>
      <c r="BB396" s="366"/>
      <c r="BC396" s="82" t="s">
        <v>41</v>
      </c>
      <c r="BE396" s="82"/>
    </row>
    <row r="397" spans="2:57" outlineLevel="1" x14ac:dyDescent="0.25">
      <c r="B397" s="369" t="s">
        <v>94</v>
      </c>
      <c r="C397" s="350"/>
      <c r="D397" s="357">
        <f t="shared" ref="D397:D410" si="91">+BB336</f>
        <v>0</v>
      </c>
      <c r="E397" s="412"/>
      <c r="F397" s="356"/>
      <c r="G397" s="356"/>
      <c r="H397" s="356"/>
      <c r="I397" s="356"/>
      <c r="J397" s="356"/>
      <c r="K397" s="356"/>
      <c r="L397" s="356"/>
      <c r="M397" s="356"/>
      <c r="N397" s="356"/>
      <c r="O397" s="356"/>
      <c r="P397" s="356"/>
      <c r="Q397" s="356"/>
      <c r="R397" s="356"/>
      <c r="S397" s="356"/>
      <c r="T397" s="356"/>
      <c r="U397" s="356"/>
      <c r="V397" s="356"/>
      <c r="W397" s="356"/>
      <c r="X397" s="356"/>
      <c r="Y397" s="356"/>
      <c r="Z397" s="415"/>
      <c r="AA397" s="412"/>
      <c r="AB397" s="412"/>
      <c r="AC397" s="356"/>
      <c r="AD397" s="356"/>
      <c r="AE397" s="356"/>
      <c r="AF397" s="356"/>
      <c r="AG397" s="356"/>
      <c r="AH397" s="356"/>
      <c r="AI397" s="356"/>
      <c r="AJ397" s="356"/>
      <c r="AK397" s="356"/>
      <c r="AL397" s="356"/>
      <c r="AM397" s="356"/>
      <c r="AN397" s="356"/>
      <c r="AO397" s="356"/>
      <c r="AP397" s="356"/>
      <c r="AQ397" s="356"/>
      <c r="AR397" s="356"/>
      <c r="AS397" s="356"/>
      <c r="AT397" s="356"/>
      <c r="AU397" s="356"/>
      <c r="AV397" s="356"/>
      <c r="AW397" s="412"/>
      <c r="AX397" s="412"/>
      <c r="AY397" s="356"/>
      <c r="AZ397" s="356"/>
      <c r="BA397" s="357">
        <f t="shared" ref="BA397:BA410" si="92">SUM(E397:AZ397)</f>
        <v>0</v>
      </c>
      <c r="BB397" s="366">
        <f t="shared" ref="BB397:BB410" si="93">+BA397+D397</f>
        <v>0</v>
      </c>
      <c r="BC397" s="82" t="s">
        <v>41</v>
      </c>
      <c r="BE397" s="82"/>
    </row>
    <row r="398" spans="2:57" outlineLevel="1" x14ac:dyDescent="0.25">
      <c r="B398" s="349" t="s">
        <v>95</v>
      </c>
      <c r="C398" s="350"/>
      <c r="D398" s="357">
        <f t="shared" si="91"/>
        <v>0</v>
      </c>
      <c r="E398" s="408"/>
      <c r="F398" s="358"/>
      <c r="G398" s="358"/>
      <c r="H398" s="358"/>
      <c r="I398" s="358"/>
      <c r="J398" s="358"/>
      <c r="K398" s="358"/>
      <c r="L398" s="358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  <c r="Y398" s="358"/>
      <c r="Z398" s="415"/>
      <c r="AA398" s="408"/>
      <c r="AB398" s="408"/>
      <c r="AC398" s="358"/>
      <c r="AD398" s="358"/>
      <c r="AE398" s="358"/>
      <c r="AF398" s="358"/>
      <c r="AG398" s="358"/>
      <c r="AH398" s="358"/>
      <c r="AI398" s="358"/>
      <c r="AJ398" s="358"/>
      <c r="AK398" s="358"/>
      <c r="AL398" s="358"/>
      <c r="AM398" s="358"/>
      <c r="AN398" s="358"/>
      <c r="AO398" s="358"/>
      <c r="AP398" s="358"/>
      <c r="AQ398" s="358"/>
      <c r="AR398" s="358"/>
      <c r="AS398" s="358"/>
      <c r="AT398" s="358"/>
      <c r="AU398" s="358"/>
      <c r="AV398" s="358"/>
      <c r="AW398" s="408"/>
      <c r="AX398" s="408"/>
      <c r="AY398" s="358"/>
      <c r="AZ398" s="358"/>
      <c r="BA398" s="357">
        <f t="shared" si="92"/>
        <v>0</v>
      </c>
      <c r="BB398" s="357">
        <f t="shared" si="93"/>
        <v>0</v>
      </c>
      <c r="BC398" s="82" t="s">
        <v>41</v>
      </c>
      <c r="BE398" s="82"/>
    </row>
    <row r="399" spans="2:57" outlineLevel="1" x14ac:dyDescent="0.25">
      <c r="B399" s="349" t="s">
        <v>96</v>
      </c>
      <c r="C399" s="350"/>
      <c r="D399" s="357">
        <f t="shared" si="91"/>
        <v>0</v>
      </c>
      <c r="E399" s="408"/>
      <c r="F399" s="358"/>
      <c r="G399" s="358"/>
      <c r="H399" s="358"/>
      <c r="I399" s="358"/>
      <c r="J399" s="358"/>
      <c r="K399" s="358"/>
      <c r="L399" s="358"/>
      <c r="M399" s="358"/>
      <c r="N399" s="358"/>
      <c r="O399" s="358"/>
      <c r="P399" s="358"/>
      <c r="Q399" s="358"/>
      <c r="R399" s="358"/>
      <c r="S399" s="358"/>
      <c r="T399" s="358"/>
      <c r="U399" s="358"/>
      <c r="V399" s="358"/>
      <c r="W399" s="358"/>
      <c r="X399" s="358"/>
      <c r="Y399" s="358"/>
      <c r="Z399" s="415"/>
      <c r="AA399" s="408"/>
      <c r="AB399" s="408"/>
      <c r="AC399" s="358"/>
      <c r="AD399" s="358"/>
      <c r="AE399" s="358"/>
      <c r="AF399" s="358"/>
      <c r="AG399" s="358"/>
      <c r="AH399" s="358"/>
      <c r="AI399" s="358"/>
      <c r="AJ399" s="358"/>
      <c r="AK399" s="358"/>
      <c r="AL399" s="358"/>
      <c r="AM399" s="358"/>
      <c r="AN399" s="358"/>
      <c r="AO399" s="358"/>
      <c r="AP399" s="358"/>
      <c r="AQ399" s="358"/>
      <c r="AR399" s="358"/>
      <c r="AS399" s="358"/>
      <c r="AT399" s="358"/>
      <c r="AU399" s="358"/>
      <c r="AV399" s="358"/>
      <c r="AW399" s="408"/>
      <c r="AX399" s="408"/>
      <c r="AY399" s="358"/>
      <c r="AZ399" s="358"/>
      <c r="BA399" s="357">
        <f t="shared" si="92"/>
        <v>0</v>
      </c>
      <c r="BB399" s="357">
        <f t="shared" si="93"/>
        <v>0</v>
      </c>
      <c r="BC399" s="82" t="s">
        <v>41</v>
      </c>
      <c r="BE399" s="82"/>
    </row>
    <row r="400" spans="2:57" outlineLevel="1" x14ac:dyDescent="0.25">
      <c r="B400" s="349" t="s">
        <v>97</v>
      </c>
      <c r="C400" s="350"/>
      <c r="D400" s="357">
        <f t="shared" si="91"/>
        <v>0</v>
      </c>
      <c r="E400" s="408">
        <f>'SEF-36 pg 1-33, 37'!$Q$64</f>
        <v>0</v>
      </c>
      <c r="F400" s="408"/>
      <c r="G400" s="408"/>
      <c r="H400" s="408"/>
      <c r="I400" s="408"/>
      <c r="J400" s="358"/>
      <c r="K400" s="358"/>
      <c r="L400" s="358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  <c r="Y400" s="358"/>
      <c r="Z400" s="415"/>
      <c r="AA400" s="408"/>
      <c r="AB400" s="408"/>
      <c r="AC400" s="358"/>
      <c r="AD400" s="358"/>
      <c r="AE400" s="358"/>
      <c r="AF400" s="358"/>
      <c r="AG400" s="358"/>
      <c r="AH400" s="358"/>
      <c r="AI400" s="358"/>
      <c r="AJ400" s="358"/>
      <c r="AK400" s="358"/>
      <c r="AL400" s="358"/>
      <c r="AM400" s="358"/>
      <c r="AN400" s="358"/>
      <c r="AO400" s="358"/>
      <c r="AP400" s="358"/>
      <c r="AQ400" s="358"/>
      <c r="AR400" s="358"/>
      <c r="AS400" s="358"/>
      <c r="AT400" s="358"/>
      <c r="AU400" s="358"/>
      <c r="AV400" s="358"/>
      <c r="AW400" s="408"/>
      <c r="AX400" s="408"/>
      <c r="AY400" s="358"/>
      <c r="AZ400" s="358"/>
      <c r="BA400" s="357">
        <f t="shared" si="92"/>
        <v>0</v>
      </c>
      <c r="BB400" s="357">
        <f t="shared" si="93"/>
        <v>0</v>
      </c>
      <c r="BC400" s="82" t="s">
        <v>41</v>
      </c>
      <c r="BE400" s="82"/>
    </row>
    <row r="401" spans="2:57" outlineLevel="1" x14ac:dyDescent="0.25">
      <c r="B401" s="349" t="s">
        <v>98</v>
      </c>
      <c r="C401" s="350"/>
      <c r="D401" s="357">
        <f t="shared" si="91"/>
        <v>0</v>
      </c>
      <c r="E401" s="408"/>
      <c r="F401" s="408"/>
      <c r="G401" s="408"/>
      <c r="H401" s="408"/>
      <c r="I401" s="408"/>
      <c r="J401" s="358"/>
      <c r="K401" s="358"/>
      <c r="L401" s="358"/>
      <c r="M401" s="358"/>
      <c r="N401" s="358"/>
      <c r="O401" s="358"/>
      <c r="P401" s="358"/>
      <c r="Q401" s="358"/>
      <c r="R401" s="358"/>
      <c r="S401" s="358"/>
      <c r="T401" s="358"/>
      <c r="U401" s="358"/>
      <c r="V401" s="358"/>
      <c r="W401" s="358"/>
      <c r="X401" s="358"/>
      <c r="Y401" s="358"/>
      <c r="Z401" s="415"/>
      <c r="AA401" s="408"/>
      <c r="AB401" s="408"/>
      <c r="AC401" s="358"/>
      <c r="AD401" s="358"/>
      <c r="AE401" s="358"/>
      <c r="AF401" s="358"/>
      <c r="AG401" s="358"/>
      <c r="AH401" s="358"/>
      <c r="AI401" s="358"/>
      <c r="AJ401" s="358"/>
      <c r="AK401" s="358"/>
      <c r="AL401" s="358"/>
      <c r="AM401" s="358"/>
      <c r="AN401" s="358"/>
      <c r="AO401" s="358"/>
      <c r="AP401" s="358"/>
      <c r="AQ401" s="358"/>
      <c r="AR401" s="358"/>
      <c r="AS401" s="358"/>
      <c r="AT401" s="358"/>
      <c r="AU401" s="358"/>
      <c r="AV401" s="358"/>
      <c r="AW401" s="408"/>
      <c r="AX401" s="408"/>
      <c r="AY401" s="358"/>
      <c r="AZ401" s="358"/>
      <c r="BA401" s="357">
        <f t="shared" si="92"/>
        <v>0</v>
      </c>
      <c r="BB401" s="357">
        <f t="shared" si="93"/>
        <v>0</v>
      </c>
      <c r="BC401" s="82" t="s">
        <v>41</v>
      </c>
      <c r="BE401" s="82"/>
    </row>
    <row r="402" spans="2:57" outlineLevel="1" x14ac:dyDescent="0.25">
      <c r="B402" s="349" t="s">
        <v>99</v>
      </c>
      <c r="C402" s="350"/>
      <c r="D402" s="357">
        <f t="shared" si="91"/>
        <v>0</v>
      </c>
      <c r="E402" s="408"/>
      <c r="F402" s="408"/>
      <c r="G402" s="408"/>
      <c r="H402" s="408"/>
      <c r="I402" s="408"/>
      <c r="J402" s="358"/>
      <c r="K402" s="358"/>
      <c r="L402" s="358"/>
      <c r="M402" s="358"/>
      <c r="N402" s="358"/>
      <c r="O402" s="358"/>
      <c r="P402" s="358"/>
      <c r="Q402" s="358"/>
      <c r="R402" s="358"/>
      <c r="S402" s="358"/>
      <c r="T402" s="358"/>
      <c r="U402" s="370"/>
      <c r="V402" s="358"/>
      <c r="W402" s="358"/>
      <c r="X402" s="358"/>
      <c r="Y402" s="358"/>
      <c r="Z402" s="415"/>
      <c r="AA402" s="408"/>
      <c r="AB402" s="408"/>
      <c r="AC402" s="358"/>
      <c r="AD402" s="358"/>
      <c r="AE402" s="358"/>
      <c r="AF402" s="358"/>
      <c r="AG402" s="358"/>
      <c r="AH402" s="358"/>
      <c r="AI402" s="358"/>
      <c r="AJ402" s="358"/>
      <c r="AK402" s="358"/>
      <c r="AL402" s="358"/>
      <c r="AM402" s="358"/>
      <c r="AN402" s="358"/>
      <c r="AO402" s="358"/>
      <c r="AP402" s="358"/>
      <c r="AQ402" s="358"/>
      <c r="AR402" s="358"/>
      <c r="AS402" s="358"/>
      <c r="AT402" s="358"/>
      <c r="AU402" s="358"/>
      <c r="AV402" s="358"/>
      <c r="AW402" s="408"/>
      <c r="AX402" s="408"/>
      <c r="AY402" s="358"/>
      <c r="AZ402" s="358"/>
      <c r="BA402" s="357">
        <f t="shared" si="92"/>
        <v>0</v>
      </c>
      <c r="BB402" s="357">
        <f t="shared" si="93"/>
        <v>0</v>
      </c>
      <c r="BC402" s="82" t="s">
        <v>41</v>
      </c>
      <c r="BE402" s="82"/>
    </row>
    <row r="403" spans="2:57" outlineLevel="1" x14ac:dyDescent="0.25">
      <c r="B403" s="349" t="s">
        <v>100</v>
      </c>
      <c r="C403" s="350"/>
      <c r="D403" s="357">
        <f t="shared" si="91"/>
        <v>0</v>
      </c>
      <c r="E403" s="408">
        <f>'SEF-36 pg 1-33, 37'!$Q$65</f>
        <v>0</v>
      </c>
      <c r="F403" s="408"/>
      <c r="G403" s="408"/>
      <c r="H403" s="408"/>
      <c r="I403" s="408"/>
      <c r="J403" s="358"/>
      <c r="K403" s="358"/>
      <c r="L403" s="358"/>
      <c r="M403" s="358"/>
      <c r="N403" s="358"/>
      <c r="O403" s="358"/>
      <c r="P403" s="358"/>
      <c r="Q403" s="358"/>
      <c r="R403" s="358"/>
      <c r="S403" s="358"/>
      <c r="T403" s="358"/>
      <c r="U403" s="358"/>
      <c r="V403" s="358"/>
      <c r="W403" s="358"/>
      <c r="X403" s="358"/>
      <c r="Y403" s="358"/>
      <c r="Z403" s="415"/>
      <c r="AA403" s="408"/>
      <c r="AB403" s="408"/>
      <c r="AC403" s="358"/>
      <c r="AD403" s="358"/>
      <c r="AE403" s="358"/>
      <c r="AF403" s="358"/>
      <c r="AG403" s="358"/>
      <c r="AH403" s="358"/>
      <c r="AI403" s="358"/>
      <c r="AJ403" s="358"/>
      <c r="AK403" s="358"/>
      <c r="AL403" s="358"/>
      <c r="AM403" s="358"/>
      <c r="AN403" s="358"/>
      <c r="AO403" s="358"/>
      <c r="AP403" s="358"/>
      <c r="AQ403" s="358"/>
      <c r="AR403" s="358"/>
      <c r="AS403" s="358"/>
      <c r="AT403" s="358"/>
      <c r="AU403" s="358"/>
      <c r="AV403" s="358"/>
      <c r="AW403" s="408"/>
      <c r="AX403" s="408"/>
      <c r="AY403" s="358"/>
      <c r="AZ403" s="358"/>
      <c r="BA403" s="357">
        <f t="shared" si="92"/>
        <v>0</v>
      </c>
      <c r="BB403" s="357">
        <f t="shared" si="93"/>
        <v>0</v>
      </c>
      <c r="BC403" s="82" t="s">
        <v>41</v>
      </c>
      <c r="BE403" s="82"/>
    </row>
    <row r="404" spans="2:57" outlineLevel="1" x14ac:dyDescent="0.25">
      <c r="B404" s="349" t="s">
        <v>101</v>
      </c>
      <c r="C404" s="350"/>
      <c r="D404" s="357">
        <f t="shared" si="91"/>
        <v>0</v>
      </c>
      <c r="E404" s="411"/>
      <c r="F404" s="411"/>
      <c r="G404" s="411"/>
      <c r="H404" s="411"/>
      <c r="I404" s="411"/>
      <c r="Y404" s="358"/>
      <c r="Z404" s="415"/>
      <c r="AA404" s="408"/>
      <c r="AB404" s="411"/>
      <c r="AD404" s="382"/>
      <c r="AE404" s="382"/>
      <c r="AF404" s="382"/>
      <c r="AG404" s="382"/>
      <c r="AH404" s="382"/>
      <c r="AI404" s="382"/>
      <c r="AJ404" s="382"/>
      <c r="AK404" s="382"/>
      <c r="AL404" s="382"/>
      <c r="AM404" s="382"/>
      <c r="AN404" s="382"/>
      <c r="AO404" s="382"/>
      <c r="AT404" s="356"/>
      <c r="AW404" s="408"/>
      <c r="AX404" s="411"/>
      <c r="BA404" s="357">
        <f t="shared" si="92"/>
        <v>0</v>
      </c>
      <c r="BB404" s="357">
        <f t="shared" si="93"/>
        <v>0</v>
      </c>
      <c r="BC404" s="82" t="s">
        <v>41</v>
      </c>
      <c r="BE404" s="82"/>
    </row>
    <row r="405" spans="2:57" outlineLevel="1" x14ac:dyDescent="0.25">
      <c r="B405" s="349" t="s">
        <v>102</v>
      </c>
      <c r="C405" s="350"/>
      <c r="D405" s="357">
        <f t="shared" si="91"/>
        <v>0</v>
      </c>
      <c r="E405" s="408"/>
      <c r="F405" s="408"/>
      <c r="G405" s="408"/>
      <c r="H405" s="408"/>
      <c r="I405" s="408"/>
      <c r="J405" s="358"/>
      <c r="K405" s="358"/>
      <c r="L405" s="358"/>
      <c r="M405" s="358"/>
      <c r="N405" s="358"/>
      <c r="O405" s="358"/>
      <c r="P405" s="358"/>
      <c r="Q405" s="358"/>
      <c r="R405" s="358"/>
      <c r="S405" s="358"/>
      <c r="T405" s="358"/>
      <c r="U405" s="358"/>
      <c r="V405" s="358"/>
      <c r="W405" s="358"/>
      <c r="X405" s="358"/>
      <c r="Y405" s="358"/>
      <c r="Z405" s="1887"/>
      <c r="AA405" s="408"/>
      <c r="AB405" s="408"/>
      <c r="AC405" s="358"/>
      <c r="AD405" s="358"/>
      <c r="AE405" s="358"/>
      <c r="AF405" s="358"/>
      <c r="AG405" s="358"/>
      <c r="AH405" s="358"/>
      <c r="AI405" s="358"/>
      <c r="AJ405" s="358"/>
      <c r="AK405" s="358"/>
      <c r="AL405" s="358"/>
      <c r="AM405" s="358"/>
      <c r="AN405" s="358"/>
      <c r="AO405" s="358"/>
      <c r="AP405" s="358"/>
      <c r="AQ405" s="358"/>
      <c r="AR405" s="358"/>
      <c r="AS405" s="358"/>
      <c r="AT405" s="358"/>
      <c r="AU405" s="358"/>
      <c r="AV405" s="358"/>
      <c r="AW405" s="408"/>
      <c r="AX405" s="408"/>
      <c r="AY405" s="358"/>
      <c r="AZ405" s="358"/>
      <c r="BA405" s="357">
        <f t="shared" si="92"/>
        <v>0</v>
      </c>
      <c r="BB405" s="357">
        <f t="shared" si="93"/>
        <v>0</v>
      </c>
      <c r="BC405" s="82" t="s">
        <v>41</v>
      </c>
      <c r="BE405" s="82"/>
    </row>
    <row r="406" spans="2:57" outlineLevel="1" x14ac:dyDescent="0.25">
      <c r="B406" s="369" t="s">
        <v>103</v>
      </c>
      <c r="C406" s="350"/>
      <c r="D406" s="357">
        <f t="shared" si="91"/>
        <v>0</v>
      </c>
      <c r="E406" s="408"/>
      <c r="F406" s="408"/>
      <c r="G406" s="408"/>
      <c r="H406" s="408"/>
      <c r="I406" s="408"/>
      <c r="J406" s="358"/>
      <c r="K406" s="358"/>
      <c r="L406" s="358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  <c r="Y406" s="358"/>
      <c r="Z406" s="1887"/>
      <c r="AA406" s="408"/>
      <c r="AB406" s="408"/>
      <c r="AC406" s="358"/>
      <c r="AD406" s="358"/>
      <c r="AE406" s="358"/>
      <c r="AF406" s="358"/>
      <c r="AG406" s="358"/>
      <c r="AH406" s="358"/>
      <c r="AI406" s="358"/>
      <c r="AJ406" s="358"/>
      <c r="AK406" s="358"/>
      <c r="AL406" s="358"/>
      <c r="AM406" s="358"/>
      <c r="AN406" s="358"/>
      <c r="AO406" s="358"/>
      <c r="AP406" s="358"/>
      <c r="AQ406" s="358"/>
      <c r="AR406" s="358"/>
      <c r="AS406" s="358"/>
      <c r="AT406" s="358"/>
      <c r="AU406" s="358"/>
      <c r="AV406" s="358"/>
      <c r="AW406" s="408"/>
      <c r="AX406" s="408"/>
      <c r="AY406" s="358"/>
      <c r="AZ406" s="358"/>
      <c r="BA406" s="357">
        <f t="shared" si="92"/>
        <v>0</v>
      </c>
      <c r="BB406" s="357">
        <f t="shared" si="93"/>
        <v>0</v>
      </c>
      <c r="BC406" s="82" t="s">
        <v>41</v>
      </c>
      <c r="BE406" s="82"/>
    </row>
    <row r="407" spans="2:57" outlineLevel="1" x14ac:dyDescent="0.25">
      <c r="B407" s="349" t="s">
        <v>104</v>
      </c>
      <c r="C407" s="350"/>
      <c r="D407" s="357">
        <f t="shared" si="91"/>
        <v>0</v>
      </c>
      <c r="E407" s="408"/>
      <c r="F407" s="408"/>
      <c r="G407" s="408"/>
      <c r="H407" s="408"/>
      <c r="I407" s="408"/>
      <c r="J407" s="358"/>
      <c r="K407" s="358"/>
      <c r="L407" s="358"/>
      <c r="M407" s="358"/>
      <c r="N407" s="358"/>
      <c r="O407" s="358"/>
      <c r="P407" s="358"/>
      <c r="Q407" s="358"/>
      <c r="R407" s="358"/>
      <c r="S407" s="358"/>
      <c r="T407" s="358"/>
      <c r="U407" s="358"/>
      <c r="V407" s="358"/>
      <c r="W407" s="358"/>
      <c r="X407" s="358"/>
      <c r="Y407" s="358"/>
      <c r="Z407" s="415"/>
      <c r="AA407" s="408"/>
      <c r="AB407" s="408"/>
      <c r="AC407" s="358"/>
      <c r="AD407" s="358"/>
      <c r="AE407" s="358"/>
      <c r="AF407" s="358"/>
      <c r="AG407" s="358"/>
      <c r="AH407" s="358"/>
      <c r="AI407" s="358"/>
      <c r="AJ407" s="358"/>
      <c r="AK407" s="358"/>
      <c r="AL407" s="358"/>
      <c r="AM407" s="358"/>
      <c r="AN407" s="358"/>
      <c r="AO407" s="358"/>
      <c r="AP407" s="358"/>
      <c r="AQ407" s="358"/>
      <c r="AR407" s="358"/>
      <c r="AS407" s="358"/>
      <c r="AT407" s="358"/>
      <c r="AU407" s="358"/>
      <c r="AV407" s="370"/>
      <c r="AW407" s="408"/>
      <c r="AX407" s="408"/>
      <c r="AY407" s="358"/>
      <c r="AZ407" s="358"/>
      <c r="BA407" s="357">
        <f t="shared" si="92"/>
        <v>0</v>
      </c>
      <c r="BB407" s="357">
        <f t="shared" si="93"/>
        <v>0</v>
      </c>
      <c r="BC407" s="82" t="s">
        <v>41</v>
      </c>
      <c r="BE407" s="82"/>
    </row>
    <row r="408" spans="2:57" outlineLevel="1" x14ac:dyDescent="0.25">
      <c r="B408" s="349" t="s">
        <v>105</v>
      </c>
      <c r="C408" s="350"/>
      <c r="D408" s="357">
        <f t="shared" si="91"/>
        <v>0</v>
      </c>
      <c r="E408" s="408">
        <f>'SEF-36 pg 1-33, 37'!$Q$66</f>
        <v>0</v>
      </c>
      <c r="F408" s="408"/>
      <c r="G408" s="408"/>
      <c r="H408" s="408"/>
      <c r="I408" s="408"/>
      <c r="J408" s="358"/>
      <c r="K408" s="358"/>
      <c r="L408" s="358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  <c r="Y408" s="358"/>
      <c r="Z408" s="1887"/>
      <c r="AA408" s="408"/>
      <c r="AB408" s="408"/>
      <c r="AC408" s="358"/>
      <c r="AD408" s="358"/>
      <c r="AE408" s="358"/>
      <c r="AF408" s="358"/>
      <c r="AG408" s="358"/>
      <c r="AH408" s="358"/>
      <c r="AI408" s="358"/>
      <c r="AJ408" s="358"/>
      <c r="AK408" s="358"/>
      <c r="AL408" s="358"/>
      <c r="AM408" s="358"/>
      <c r="AN408" s="358"/>
      <c r="AO408" s="358"/>
      <c r="AP408" s="358"/>
      <c r="AQ408" s="358"/>
      <c r="AR408" s="358"/>
      <c r="AS408" s="358"/>
      <c r="AT408" s="358"/>
      <c r="AU408" s="358"/>
      <c r="AV408" s="358"/>
      <c r="AW408" s="408"/>
      <c r="AX408" s="408"/>
      <c r="AY408" s="358"/>
      <c r="AZ408" s="358"/>
      <c r="BA408" s="357">
        <f t="shared" si="92"/>
        <v>0</v>
      </c>
      <c r="BB408" s="357">
        <f t="shared" si="93"/>
        <v>0</v>
      </c>
      <c r="BC408" s="82" t="s">
        <v>41</v>
      </c>
      <c r="BE408" s="82"/>
    </row>
    <row r="409" spans="2:57" outlineLevel="1" x14ac:dyDescent="0.25">
      <c r="B409" s="349" t="s">
        <v>106</v>
      </c>
      <c r="C409" s="350"/>
      <c r="D409" s="357">
        <f t="shared" si="91"/>
        <v>0</v>
      </c>
      <c r="E409" s="408">
        <f>'SEF-36 pg 1-33, 37'!$Q$70</f>
        <v>0</v>
      </c>
      <c r="F409" s="408"/>
      <c r="G409" s="408"/>
      <c r="H409" s="408"/>
      <c r="I409" s="408">
        <f>'SEF-36 pg 1-33, 37'!CK23</f>
        <v>0</v>
      </c>
      <c r="J409" s="358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1887"/>
      <c r="AA409" s="408"/>
      <c r="AB409" s="408"/>
      <c r="AC409" s="358"/>
      <c r="AD409" s="358"/>
      <c r="AE409" s="358"/>
      <c r="AF409" s="358"/>
      <c r="AG409" s="358"/>
      <c r="AH409" s="358"/>
      <c r="AI409" s="370"/>
      <c r="AJ409" s="370"/>
      <c r="AK409" s="370"/>
      <c r="AL409" s="370"/>
      <c r="AM409" s="370"/>
      <c r="AN409" s="370"/>
      <c r="AO409" s="370"/>
      <c r="AP409" s="358"/>
      <c r="AQ409" s="358"/>
      <c r="AR409" s="358"/>
      <c r="AS409" s="358"/>
      <c r="AT409" s="385"/>
      <c r="AU409" s="358"/>
      <c r="AV409" s="370"/>
      <c r="AW409" s="408"/>
      <c r="AX409" s="408"/>
      <c r="AY409" s="358"/>
      <c r="AZ409" s="358"/>
      <c r="BA409" s="357">
        <f t="shared" si="92"/>
        <v>0</v>
      </c>
      <c r="BB409" s="357">
        <f t="shared" si="93"/>
        <v>0</v>
      </c>
      <c r="BC409" s="82" t="s">
        <v>41</v>
      </c>
      <c r="BE409" s="82"/>
    </row>
    <row r="410" spans="2:57" outlineLevel="1" x14ac:dyDescent="0.25">
      <c r="B410" s="365" t="s">
        <v>107</v>
      </c>
      <c r="C410" s="350"/>
      <c r="D410" s="357">
        <f t="shared" si="91"/>
        <v>0</v>
      </c>
      <c r="E410" s="408"/>
      <c r="F410" s="408"/>
      <c r="G410" s="408"/>
      <c r="H410" s="408"/>
      <c r="I410" s="408"/>
      <c r="J410" s="358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408"/>
      <c r="AA410" s="408"/>
      <c r="AB410" s="408"/>
      <c r="AC410" s="358"/>
      <c r="AD410" s="358"/>
      <c r="AE410" s="358"/>
      <c r="AF410" s="358"/>
      <c r="AG410" s="358"/>
      <c r="AH410" s="358"/>
      <c r="AI410" s="358"/>
      <c r="AJ410" s="358"/>
      <c r="AK410" s="358"/>
      <c r="AL410" s="358"/>
      <c r="AM410" s="358"/>
      <c r="AN410" s="358"/>
      <c r="AO410" s="358"/>
      <c r="AP410" s="358"/>
      <c r="AQ410" s="358"/>
      <c r="AR410" s="358"/>
      <c r="AS410" s="358"/>
      <c r="AT410" s="358"/>
      <c r="AU410" s="358"/>
      <c r="AV410" s="358"/>
      <c r="AW410" s="408"/>
      <c r="AX410" s="408"/>
      <c r="AY410" s="358"/>
      <c r="AZ410" s="358"/>
      <c r="BA410" s="357">
        <f t="shared" si="92"/>
        <v>0</v>
      </c>
      <c r="BB410" s="357">
        <f t="shared" si="93"/>
        <v>0</v>
      </c>
      <c r="BC410" s="82" t="s">
        <v>41</v>
      </c>
      <c r="BE410" s="82"/>
    </row>
    <row r="411" spans="2:57" outlineLevel="1" x14ac:dyDescent="0.25">
      <c r="B411" s="349" t="s">
        <v>109</v>
      </c>
      <c r="C411" s="350"/>
      <c r="D411" s="367">
        <f t="shared" ref="D411:AI411" si="94">SUM(D395:D410)</f>
        <v>0</v>
      </c>
      <c r="E411" s="368">
        <f t="shared" si="94"/>
        <v>0</v>
      </c>
      <c r="F411" s="368">
        <f t="shared" si="94"/>
        <v>0</v>
      </c>
      <c r="G411" s="368">
        <f t="shared" si="94"/>
        <v>0</v>
      </c>
      <c r="H411" s="368">
        <f t="shared" si="94"/>
        <v>0</v>
      </c>
      <c r="I411" s="368">
        <f t="shared" si="94"/>
        <v>0</v>
      </c>
      <c r="J411" s="368">
        <f t="shared" si="94"/>
        <v>0</v>
      </c>
      <c r="K411" s="368">
        <f t="shared" si="94"/>
        <v>0</v>
      </c>
      <c r="L411" s="368">
        <f t="shared" si="94"/>
        <v>0</v>
      </c>
      <c r="M411" s="368">
        <f t="shared" si="94"/>
        <v>0</v>
      </c>
      <c r="N411" s="368">
        <f t="shared" si="94"/>
        <v>0</v>
      </c>
      <c r="O411" s="368">
        <f t="shared" si="94"/>
        <v>0</v>
      </c>
      <c r="P411" s="368">
        <f t="shared" si="94"/>
        <v>0</v>
      </c>
      <c r="Q411" s="368">
        <f t="shared" si="94"/>
        <v>0</v>
      </c>
      <c r="R411" s="368">
        <f t="shared" si="94"/>
        <v>0</v>
      </c>
      <c r="S411" s="368">
        <f t="shared" si="94"/>
        <v>0</v>
      </c>
      <c r="T411" s="368">
        <f t="shared" si="94"/>
        <v>0</v>
      </c>
      <c r="U411" s="368">
        <f t="shared" si="94"/>
        <v>0</v>
      </c>
      <c r="V411" s="368">
        <f t="shared" si="94"/>
        <v>0</v>
      </c>
      <c r="W411" s="368">
        <f t="shared" si="94"/>
        <v>0</v>
      </c>
      <c r="X411" s="368">
        <f t="shared" si="94"/>
        <v>0</v>
      </c>
      <c r="Y411" s="368">
        <f t="shared" si="94"/>
        <v>0</v>
      </c>
      <c r="Z411" s="368">
        <f t="shared" si="94"/>
        <v>0</v>
      </c>
      <c r="AA411" s="409">
        <f t="shared" si="94"/>
        <v>0</v>
      </c>
      <c r="AB411" s="409">
        <f t="shared" si="94"/>
        <v>0</v>
      </c>
      <c r="AC411" s="368">
        <f t="shared" si="94"/>
        <v>0</v>
      </c>
      <c r="AD411" s="368">
        <f t="shared" si="94"/>
        <v>0</v>
      </c>
      <c r="AE411" s="368">
        <f t="shared" si="94"/>
        <v>0</v>
      </c>
      <c r="AF411" s="368">
        <f t="shared" si="94"/>
        <v>0</v>
      </c>
      <c r="AG411" s="368">
        <f t="shared" si="94"/>
        <v>0</v>
      </c>
      <c r="AH411" s="368">
        <f t="shared" si="94"/>
        <v>0</v>
      </c>
      <c r="AI411" s="372">
        <f t="shared" si="94"/>
        <v>0</v>
      </c>
      <c r="AJ411" s="372"/>
      <c r="AK411" s="372"/>
      <c r="AL411" s="372"/>
      <c r="AM411" s="372"/>
      <c r="AN411" s="372"/>
      <c r="AO411" s="372"/>
      <c r="AP411" s="368">
        <f>SUM(AP395:AP410)</f>
        <v>0</v>
      </c>
      <c r="AQ411" s="368">
        <f>SUM(AQ395:AQ410)</f>
        <v>0</v>
      </c>
      <c r="AR411" s="368">
        <f>SUM(AR395:AR410)</f>
        <v>0</v>
      </c>
      <c r="AS411" s="368"/>
      <c r="AT411" s="368"/>
      <c r="AU411" s="368"/>
      <c r="AV411" s="368"/>
      <c r="AW411" s="409"/>
      <c r="AX411" s="409"/>
      <c r="AY411" s="368"/>
      <c r="AZ411" s="368"/>
      <c r="BA411" s="367">
        <f>SUM(BA395:BA410)</f>
        <v>0</v>
      </c>
      <c r="BB411" s="367">
        <f>SUM(BB395:BB410)</f>
        <v>0</v>
      </c>
      <c r="BC411" s="82" t="s">
        <v>41</v>
      </c>
      <c r="BE411" s="82"/>
    </row>
    <row r="412" spans="2:57" outlineLevel="1" x14ac:dyDescent="0.25">
      <c r="B412" s="365"/>
      <c r="C412" s="350"/>
      <c r="D412" s="374"/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417"/>
      <c r="AB412" s="417"/>
      <c r="AC412" s="375"/>
      <c r="AD412" s="375"/>
      <c r="AE412" s="375"/>
      <c r="AF412" s="375"/>
      <c r="AG412" s="375"/>
      <c r="AH412" s="375"/>
      <c r="AI412" s="375"/>
      <c r="AJ412" s="375"/>
      <c r="AK412" s="375"/>
      <c r="AL412" s="375"/>
      <c r="AM412" s="375"/>
      <c r="AN412" s="375"/>
      <c r="AO412" s="375"/>
      <c r="AP412" s="375"/>
      <c r="AQ412" s="375"/>
      <c r="AR412" s="375"/>
      <c r="AS412" s="375"/>
      <c r="AT412" s="375"/>
      <c r="AU412" s="375"/>
      <c r="AV412" s="375"/>
      <c r="AW412" s="417"/>
      <c r="AX412" s="417"/>
      <c r="AY412" s="375"/>
      <c r="AZ412" s="375"/>
      <c r="BA412" s="374"/>
      <c r="BB412" s="374"/>
      <c r="BC412" s="82" t="s">
        <v>41</v>
      </c>
      <c r="BE412" s="82"/>
    </row>
    <row r="413" spans="2:57" ht="15.75" outlineLevel="1" thickBot="1" x14ac:dyDescent="0.3">
      <c r="B413" s="365" t="s">
        <v>110</v>
      </c>
      <c r="C413" s="350"/>
      <c r="D413" s="376">
        <f t="shared" ref="D413:AI413" si="95">+D386-D411</f>
        <v>0</v>
      </c>
      <c r="E413" s="378">
        <f t="shared" si="95"/>
        <v>0</v>
      </c>
      <c r="F413" s="378">
        <f t="shared" si="95"/>
        <v>0</v>
      </c>
      <c r="G413" s="378">
        <f t="shared" si="95"/>
        <v>0</v>
      </c>
      <c r="H413" s="378">
        <f t="shared" si="95"/>
        <v>0</v>
      </c>
      <c r="I413" s="378">
        <f t="shared" si="95"/>
        <v>0</v>
      </c>
      <c r="J413" s="378">
        <f t="shared" si="95"/>
        <v>0</v>
      </c>
      <c r="K413" s="378">
        <f t="shared" si="95"/>
        <v>0</v>
      </c>
      <c r="L413" s="378">
        <f t="shared" si="95"/>
        <v>0</v>
      </c>
      <c r="M413" s="378">
        <f t="shared" si="95"/>
        <v>0</v>
      </c>
      <c r="N413" s="378">
        <f t="shared" si="95"/>
        <v>0</v>
      </c>
      <c r="O413" s="378">
        <f t="shared" si="95"/>
        <v>0</v>
      </c>
      <c r="P413" s="378">
        <f t="shared" si="95"/>
        <v>0</v>
      </c>
      <c r="Q413" s="378">
        <f t="shared" si="95"/>
        <v>0</v>
      </c>
      <c r="R413" s="378">
        <f t="shared" si="95"/>
        <v>0</v>
      </c>
      <c r="S413" s="378">
        <f t="shared" si="95"/>
        <v>0</v>
      </c>
      <c r="T413" s="378">
        <f t="shared" si="95"/>
        <v>0</v>
      </c>
      <c r="U413" s="378">
        <f t="shared" si="95"/>
        <v>0</v>
      </c>
      <c r="V413" s="378">
        <f t="shared" si="95"/>
        <v>0</v>
      </c>
      <c r="W413" s="378">
        <f t="shared" si="95"/>
        <v>0</v>
      </c>
      <c r="X413" s="378">
        <f t="shared" si="95"/>
        <v>0</v>
      </c>
      <c r="Y413" s="378">
        <f t="shared" si="95"/>
        <v>0</v>
      </c>
      <c r="Z413" s="378">
        <f t="shared" si="95"/>
        <v>0</v>
      </c>
      <c r="AA413" s="419">
        <f t="shared" si="95"/>
        <v>0</v>
      </c>
      <c r="AB413" s="419">
        <f t="shared" si="95"/>
        <v>0</v>
      </c>
      <c r="AC413" s="378">
        <f t="shared" si="95"/>
        <v>0</v>
      </c>
      <c r="AD413" s="378">
        <f t="shared" si="95"/>
        <v>0</v>
      </c>
      <c r="AE413" s="378">
        <f t="shared" si="95"/>
        <v>0</v>
      </c>
      <c r="AF413" s="378">
        <f t="shared" si="95"/>
        <v>0</v>
      </c>
      <c r="AG413" s="378">
        <f t="shared" si="95"/>
        <v>0</v>
      </c>
      <c r="AH413" s="378">
        <f t="shared" si="95"/>
        <v>0</v>
      </c>
      <c r="AI413" s="377">
        <f t="shared" si="95"/>
        <v>0</v>
      </c>
      <c r="AJ413" s="377"/>
      <c r="AK413" s="377"/>
      <c r="AL413" s="377"/>
      <c r="AM413" s="377"/>
      <c r="AN413" s="377"/>
      <c r="AO413" s="377"/>
      <c r="AP413" s="378">
        <f>+AP386-AP411</f>
        <v>0</v>
      </c>
      <c r="AQ413" s="378">
        <f>+AQ386-AQ411</f>
        <v>0</v>
      </c>
      <c r="AR413" s="378">
        <f>+AR386-AR411</f>
        <v>0</v>
      </c>
      <c r="AS413" s="378"/>
      <c r="AT413" s="378"/>
      <c r="AU413" s="378"/>
      <c r="AV413" s="378"/>
      <c r="AW413" s="419"/>
      <c r="AX413" s="419"/>
      <c r="AY413" s="378"/>
      <c r="AZ413" s="378"/>
      <c r="BA413" s="376">
        <f>+BA386-BA411</f>
        <v>0</v>
      </c>
      <c r="BB413" s="376">
        <f>+BB386-BB411</f>
        <v>0</v>
      </c>
      <c r="BC413" s="82" t="s">
        <v>41</v>
      </c>
      <c r="BE413" s="82"/>
    </row>
    <row r="414" spans="2:57" ht="15.75" outlineLevel="1" thickTop="1" x14ac:dyDescent="0.25">
      <c r="B414" s="18"/>
      <c r="C414" s="350"/>
      <c r="D414" s="380"/>
      <c r="E414" s="381"/>
      <c r="F414" s="381"/>
      <c r="G414" s="381"/>
      <c r="H414" s="381"/>
      <c r="I414" s="381"/>
      <c r="J414" s="381"/>
      <c r="K414" s="381"/>
      <c r="L414" s="381"/>
      <c r="M414" s="381"/>
      <c r="N414" s="381"/>
      <c r="O414" s="381"/>
      <c r="P414" s="381"/>
      <c r="Q414" s="381"/>
      <c r="R414" s="381"/>
      <c r="S414" s="381"/>
      <c r="T414" s="381"/>
      <c r="U414" s="381"/>
      <c r="V414" s="381"/>
      <c r="W414" s="381"/>
      <c r="X414" s="381"/>
      <c r="Y414" s="381"/>
      <c r="Z414" s="420"/>
      <c r="AA414" s="420"/>
      <c r="AB414" s="420"/>
      <c r="AC414" s="381"/>
      <c r="AD414" s="381"/>
      <c r="AE414" s="381"/>
      <c r="AF414" s="381"/>
      <c r="AG414" s="381"/>
      <c r="AH414" s="381"/>
      <c r="AI414" s="381"/>
      <c r="AJ414" s="381"/>
      <c r="AK414" s="381"/>
      <c r="AL414" s="381"/>
      <c r="AM414" s="381"/>
      <c r="AN414" s="381"/>
      <c r="AO414" s="381"/>
      <c r="AP414" s="381"/>
      <c r="AQ414" s="381"/>
      <c r="AR414" s="381"/>
      <c r="AS414" s="381"/>
      <c r="AT414" s="381"/>
      <c r="AU414" s="381"/>
      <c r="AV414" s="381"/>
      <c r="AW414" s="420"/>
      <c r="AX414" s="420"/>
      <c r="AY414" s="381"/>
      <c r="AZ414" s="381"/>
      <c r="BA414" s="380"/>
      <c r="BB414" s="380"/>
      <c r="BC414" s="82" t="s">
        <v>41</v>
      </c>
      <c r="BE414" s="82"/>
    </row>
    <row r="415" spans="2:57" outlineLevel="1" x14ac:dyDescent="0.25">
      <c r="B415" s="349" t="s">
        <v>145</v>
      </c>
      <c r="C415" s="350"/>
      <c r="D415" s="366">
        <f>D426</f>
        <v>0</v>
      </c>
      <c r="E415" s="356"/>
      <c r="F415" s="356"/>
      <c r="G415" s="356"/>
      <c r="H415" s="356"/>
      <c r="I415" s="356"/>
      <c r="J415" s="356"/>
      <c r="K415" s="356"/>
      <c r="L415" s="356"/>
      <c r="M415" s="356"/>
      <c r="N415" s="356"/>
      <c r="O415" s="356"/>
      <c r="P415" s="356"/>
      <c r="Q415" s="356"/>
      <c r="R415" s="356"/>
      <c r="S415" s="356"/>
      <c r="T415" s="356"/>
      <c r="U415" s="356"/>
      <c r="V415" s="356"/>
      <c r="W415" s="356"/>
      <c r="X415" s="356"/>
      <c r="Y415" s="356"/>
      <c r="Z415" s="412"/>
      <c r="AA415" s="412"/>
      <c r="AB415" s="412"/>
      <c r="AC415" s="356"/>
      <c r="AD415" s="356"/>
      <c r="AE415" s="356"/>
      <c r="AF415" s="356"/>
      <c r="AG415" s="356"/>
      <c r="AH415" s="356"/>
      <c r="AI415" s="356"/>
      <c r="AJ415" s="356"/>
      <c r="AK415" s="356"/>
      <c r="AL415" s="356"/>
      <c r="AM415" s="356"/>
      <c r="AN415" s="356"/>
      <c r="AO415" s="356"/>
      <c r="AP415" s="356"/>
      <c r="AQ415" s="356">
        <f>AQ426</f>
        <v>0</v>
      </c>
      <c r="AR415" s="356"/>
      <c r="AS415" s="356"/>
      <c r="AT415" s="356"/>
      <c r="AU415" s="356"/>
      <c r="AV415" s="356"/>
      <c r="AW415" s="412"/>
      <c r="AX415" s="412"/>
      <c r="AY415" s="356"/>
      <c r="AZ415" s="356"/>
      <c r="BA415" s="366">
        <f>BA426</f>
        <v>0</v>
      </c>
      <c r="BB415" s="366">
        <f>BB426</f>
        <v>0</v>
      </c>
      <c r="BC415" s="82" t="s">
        <v>41</v>
      </c>
      <c r="BE415" s="82"/>
    </row>
    <row r="416" spans="2:57" outlineLevel="1" x14ac:dyDescent="0.25">
      <c r="B416" s="365"/>
      <c r="C416" s="350"/>
      <c r="D416" s="351"/>
      <c r="Z416" s="411"/>
      <c r="AA416" s="411"/>
      <c r="AB416" s="411"/>
      <c r="AW416" s="411"/>
      <c r="AX416" s="411"/>
      <c r="BA416" s="351"/>
      <c r="BB416" s="351"/>
      <c r="BC416" s="82" t="s">
        <v>41</v>
      </c>
      <c r="BE416" s="82"/>
    </row>
    <row r="417" spans="2:57" outlineLevel="1" x14ac:dyDescent="0.25">
      <c r="B417" s="349" t="s">
        <v>18</v>
      </c>
      <c r="C417" s="350"/>
      <c r="D417" s="383" t="e">
        <f>+D413/D415</f>
        <v>#DIV/0!</v>
      </c>
      <c r="E417" s="358"/>
      <c r="F417" s="358"/>
      <c r="G417" s="358"/>
      <c r="H417" s="358"/>
      <c r="I417" s="358"/>
      <c r="J417" s="358"/>
      <c r="K417" s="358"/>
      <c r="L417" s="358"/>
      <c r="M417" s="358"/>
      <c r="N417" s="358"/>
      <c r="O417" s="358"/>
      <c r="P417" s="358"/>
      <c r="Q417" s="358"/>
      <c r="R417" s="358"/>
      <c r="S417" s="358"/>
      <c r="T417" s="358"/>
      <c r="U417" s="358"/>
      <c r="V417" s="358"/>
      <c r="W417" s="358"/>
      <c r="X417" s="358"/>
      <c r="Y417" s="358"/>
      <c r="Z417" s="408"/>
      <c r="AA417" s="408"/>
      <c r="AB417" s="408"/>
      <c r="AC417" s="358"/>
      <c r="AD417" s="358"/>
      <c r="AE417" s="358"/>
      <c r="AF417" s="358"/>
      <c r="AG417" s="358"/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408"/>
      <c r="AX417" s="408"/>
      <c r="AY417" s="358"/>
      <c r="AZ417" s="358"/>
      <c r="BA417" s="383"/>
      <c r="BB417" s="383"/>
      <c r="BC417" s="82" t="s">
        <v>41</v>
      </c>
      <c r="BE417" s="82"/>
    </row>
    <row r="418" spans="2:57" outlineLevel="1" x14ac:dyDescent="0.25">
      <c r="B418" s="365"/>
      <c r="C418" s="350"/>
      <c r="D418" s="357"/>
      <c r="E418" s="358"/>
      <c r="F418" s="358"/>
      <c r="G418" s="358"/>
      <c r="H418" s="358"/>
      <c r="I418" s="358"/>
      <c r="J418" s="358"/>
      <c r="K418" s="358"/>
      <c r="L418" s="358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  <c r="Y418" s="358"/>
      <c r="Z418" s="408"/>
      <c r="AA418" s="408"/>
      <c r="AB418" s="408"/>
      <c r="AC418" s="358"/>
      <c r="AD418" s="358"/>
      <c r="AE418" s="358"/>
      <c r="AF418" s="358"/>
      <c r="AG418" s="358"/>
      <c r="AH418" s="358"/>
      <c r="AI418" s="358"/>
      <c r="AJ418" s="358"/>
      <c r="AK418" s="358"/>
      <c r="AL418" s="358"/>
      <c r="AM418" s="358"/>
      <c r="AN418" s="358"/>
      <c r="AO418" s="358"/>
      <c r="AP418" s="358"/>
      <c r="AQ418" s="358"/>
      <c r="AR418" s="358"/>
      <c r="AS418" s="358"/>
      <c r="AT418" s="358"/>
      <c r="AU418" s="358"/>
      <c r="AV418" s="358"/>
      <c r="AW418" s="408"/>
      <c r="AX418" s="408"/>
      <c r="AY418" s="358"/>
      <c r="AZ418" s="358"/>
      <c r="BA418" s="357"/>
      <c r="BB418" s="357"/>
      <c r="BC418" s="82" t="s">
        <v>41</v>
      </c>
      <c r="BE418" s="82"/>
    </row>
    <row r="419" spans="2:57" outlineLevel="1" x14ac:dyDescent="0.25">
      <c r="B419" s="365" t="s">
        <v>146</v>
      </c>
      <c r="C419" s="350"/>
      <c r="D419" s="357"/>
      <c r="E419" s="358"/>
      <c r="F419" s="358"/>
      <c r="G419" s="358"/>
      <c r="H419" s="358"/>
      <c r="I419" s="358"/>
      <c r="J419" s="358"/>
      <c r="K419" s="358"/>
      <c r="L419" s="358"/>
      <c r="M419" s="358"/>
      <c r="N419" s="358"/>
      <c r="O419" s="358"/>
      <c r="P419" s="358"/>
      <c r="Q419" s="358"/>
      <c r="R419" s="358"/>
      <c r="S419" s="358"/>
      <c r="T419" s="358"/>
      <c r="U419" s="358"/>
      <c r="V419" s="358"/>
      <c r="W419" s="358"/>
      <c r="X419" s="358"/>
      <c r="Y419" s="358"/>
      <c r="Z419" s="408"/>
      <c r="AA419" s="408"/>
      <c r="AB419" s="408"/>
      <c r="AC419" s="358"/>
      <c r="AD419" s="358"/>
      <c r="AE419" s="358"/>
      <c r="AF419" s="358"/>
      <c r="AG419" s="358"/>
      <c r="AH419" s="358"/>
      <c r="AI419" s="358"/>
      <c r="AJ419" s="358"/>
      <c r="AK419" s="358"/>
      <c r="AL419" s="358"/>
      <c r="AM419" s="358"/>
      <c r="AN419" s="358"/>
      <c r="AO419" s="358"/>
      <c r="AP419" s="358"/>
      <c r="AQ419" s="358"/>
      <c r="AR419" s="358"/>
      <c r="AS419" s="358"/>
      <c r="AT419" s="358"/>
      <c r="AU419" s="358"/>
      <c r="AV419" s="358"/>
      <c r="AW419" s="408"/>
      <c r="AX419" s="408"/>
      <c r="AY419" s="358"/>
      <c r="AZ419" s="358"/>
      <c r="BA419" s="357"/>
      <c r="BB419" s="357"/>
      <c r="BC419" s="82" t="s">
        <v>41</v>
      </c>
      <c r="BE419" s="82"/>
    </row>
    <row r="420" spans="2:57" outlineLevel="1" x14ac:dyDescent="0.25">
      <c r="B420" s="384" t="s">
        <v>112</v>
      </c>
      <c r="C420" s="350"/>
      <c r="D420" s="366">
        <f t="shared" ref="D420:D425" si="96">+BB359</f>
        <v>0</v>
      </c>
      <c r="E420" s="356"/>
      <c r="F420" s="356"/>
      <c r="G420" s="356"/>
      <c r="H420" s="356"/>
      <c r="I420" s="356"/>
      <c r="J420" s="356"/>
      <c r="K420" s="356"/>
      <c r="L420" s="356"/>
      <c r="M420" s="356"/>
      <c r="N420" s="356"/>
      <c r="O420" s="356"/>
      <c r="P420" s="356"/>
      <c r="Q420" s="356"/>
      <c r="R420" s="356"/>
      <c r="S420" s="356"/>
      <c r="T420" s="356"/>
      <c r="U420" s="356"/>
      <c r="V420" s="356"/>
      <c r="W420" s="356"/>
      <c r="X420" s="356"/>
      <c r="Y420" s="356"/>
      <c r="Z420" s="412"/>
      <c r="AA420" s="412"/>
      <c r="AB420" s="412"/>
      <c r="AC420" s="356"/>
      <c r="AD420" s="356">
        <f>'SEF-36 pg 1-33, 37'!QZ17</f>
        <v>0</v>
      </c>
      <c r="AE420" s="356"/>
      <c r="AF420" s="356"/>
      <c r="AG420" s="356"/>
      <c r="AH420" s="356"/>
      <c r="AI420" s="356"/>
      <c r="AJ420" s="356"/>
      <c r="AK420" s="356"/>
      <c r="AL420" s="356"/>
      <c r="AM420" s="356"/>
      <c r="AN420" s="356"/>
      <c r="AO420" s="356"/>
      <c r="AP420" s="356"/>
      <c r="AQ420" s="356"/>
      <c r="AR420" s="356"/>
      <c r="AS420" s="356"/>
      <c r="AT420" s="356"/>
      <c r="AU420" s="356"/>
      <c r="AV420" s="356"/>
      <c r="AW420" s="412"/>
      <c r="AX420" s="412"/>
      <c r="AY420" s="356"/>
      <c r="AZ420" s="356"/>
      <c r="BA420" s="366">
        <f t="shared" ref="BA420:BA425" si="97">SUM(E420:AZ420)</f>
        <v>0</v>
      </c>
      <c r="BB420" s="366">
        <f t="shared" ref="BB420:BB425" si="98">+BA420+D420</f>
        <v>0</v>
      </c>
      <c r="BC420" s="82" t="s">
        <v>41</v>
      </c>
      <c r="BE420" s="82"/>
    </row>
    <row r="421" spans="2:57" outlineLevel="1" x14ac:dyDescent="0.25">
      <c r="B421" s="384" t="s">
        <v>113</v>
      </c>
      <c r="C421" s="350"/>
      <c r="D421" s="357">
        <f t="shared" si="96"/>
        <v>0</v>
      </c>
      <c r="E421" s="358"/>
      <c r="F421" s="358"/>
      <c r="G421" s="358"/>
      <c r="H421" s="358"/>
      <c r="I421" s="358"/>
      <c r="J421" s="358"/>
      <c r="K421" s="358"/>
      <c r="L421" s="358"/>
      <c r="M421" s="358"/>
      <c r="N421" s="358"/>
      <c r="O421" s="358"/>
      <c r="P421" s="358"/>
      <c r="Q421" s="358"/>
      <c r="R421" s="358"/>
      <c r="S421" s="358"/>
      <c r="T421" s="358"/>
      <c r="U421" s="358"/>
      <c r="V421" s="358"/>
      <c r="W421" s="358"/>
      <c r="X421" s="358"/>
      <c r="Y421" s="358"/>
      <c r="Z421" s="408"/>
      <c r="AA421" s="408"/>
      <c r="AB421" s="408"/>
      <c r="AC421" s="358"/>
      <c r="AD421" s="358">
        <f>'SEF-36 pg 1-33, 37'!QZ18</f>
        <v>0</v>
      </c>
      <c r="AE421" s="358"/>
      <c r="AF421" s="358"/>
      <c r="AG421" s="358"/>
      <c r="AH421" s="358"/>
      <c r="AI421" s="358"/>
      <c r="AJ421" s="358"/>
      <c r="AK421" s="358"/>
      <c r="AL421" s="358"/>
      <c r="AM421" s="358"/>
      <c r="AN421" s="358"/>
      <c r="AO421" s="358"/>
      <c r="AP421" s="358"/>
      <c r="AQ421" s="358"/>
      <c r="AR421" s="358"/>
      <c r="AS421" s="358"/>
      <c r="AT421" s="385"/>
      <c r="AU421" s="358"/>
      <c r="AV421" s="358"/>
      <c r="AW421" s="408"/>
      <c r="AX421" s="408"/>
      <c r="AY421" s="358"/>
      <c r="AZ421" s="358"/>
      <c r="BA421" s="357">
        <f t="shared" si="97"/>
        <v>0</v>
      </c>
      <c r="BB421" s="357">
        <f t="shared" si="98"/>
        <v>0</v>
      </c>
      <c r="BC421" s="82" t="s">
        <v>41</v>
      </c>
      <c r="BE421" s="82"/>
    </row>
    <row r="422" spans="2:57" outlineLevel="1" x14ac:dyDescent="0.25">
      <c r="B422" s="365" t="s">
        <v>147</v>
      </c>
      <c r="C422" s="350"/>
      <c r="D422" s="357">
        <f t="shared" si="96"/>
        <v>0</v>
      </c>
      <c r="E422" s="358"/>
      <c r="F422" s="358"/>
      <c r="G422" s="358"/>
      <c r="H422" s="358"/>
      <c r="I422" s="358"/>
      <c r="J422" s="358"/>
      <c r="K422" s="358"/>
      <c r="L422" s="358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  <c r="Y422" s="358"/>
      <c r="Z422" s="408"/>
      <c r="AA422" s="408"/>
      <c r="AB422" s="408"/>
      <c r="AC422" s="358"/>
      <c r="AD422" s="358"/>
      <c r="AE422" s="358"/>
      <c r="AF422" s="358"/>
      <c r="AG422" s="358"/>
      <c r="AH422" s="358"/>
      <c r="AI422" s="358"/>
      <c r="AJ422" s="358"/>
      <c r="AK422" s="358"/>
      <c r="AL422" s="358"/>
      <c r="AM422" s="358"/>
      <c r="AN422" s="358"/>
      <c r="AO422" s="358"/>
      <c r="AP422" s="358"/>
      <c r="AQ422" s="358"/>
      <c r="AR422" s="358"/>
      <c r="AS422" s="358"/>
      <c r="AT422" s="385"/>
      <c r="AU422" s="358"/>
      <c r="AV422" s="358"/>
      <c r="AW422" s="408"/>
      <c r="AX422" s="408"/>
      <c r="AY422" s="358"/>
      <c r="AZ422" s="358"/>
      <c r="BA422" s="357">
        <f t="shared" si="97"/>
        <v>0</v>
      </c>
      <c r="BB422" s="357">
        <f t="shared" si="98"/>
        <v>0</v>
      </c>
      <c r="BC422" s="82" t="s">
        <v>41</v>
      </c>
      <c r="BE422" s="82"/>
    </row>
    <row r="423" spans="2:57" outlineLevel="1" x14ac:dyDescent="0.25">
      <c r="B423" s="365" t="s">
        <v>148</v>
      </c>
      <c r="C423" s="350"/>
      <c r="D423" s="357">
        <f t="shared" si="96"/>
        <v>0</v>
      </c>
      <c r="E423" s="358"/>
      <c r="F423" s="358"/>
      <c r="G423" s="358"/>
      <c r="H423" s="358"/>
      <c r="I423" s="358"/>
      <c r="J423" s="358"/>
      <c r="K423" s="358"/>
      <c r="L423" s="358"/>
      <c r="M423" s="358"/>
      <c r="N423" s="358"/>
      <c r="O423" s="358"/>
      <c r="P423" s="358"/>
      <c r="Q423" s="358"/>
      <c r="R423" s="358"/>
      <c r="S423" s="358"/>
      <c r="T423" s="358"/>
      <c r="U423" s="358"/>
      <c r="V423" s="358"/>
      <c r="W423" s="358"/>
      <c r="X423" s="358"/>
      <c r="Z423" s="408"/>
      <c r="AA423" s="408"/>
      <c r="AB423" s="408"/>
      <c r="AC423" s="358"/>
      <c r="AD423" s="358"/>
      <c r="AE423" s="358"/>
      <c r="AF423" s="358"/>
      <c r="AG423" s="358"/>
      <c r="AH423" s="358"/>
      <c r="AI423" s="358"/>
      <c r="AJ423" s="358"/>
      <c r="AK423" s="358"/>
      <c r="AL423" s="358"/>
      <c r="AM423" s="358"/>
      <c r="AN423" s="358"/>
      <c r="AO423" s="358"/>
      <c r="AP423" s="358"/>
      <c r="AQ423" s="358"/>
      <c r="AR423" s="358"/>
      <c r="AS423" s="358"/>
      <c r="AT423" s="382"/>
      <c r="AU423" s="358"/>
      <c r="AV423" s="358"/>
      <c r="AW423" s="408"/>
      <c r="AX423" s="408"/>
      <c r="AY423" s="358"/>
      <c r="AZ423" s="358"/>
      <c r="BA423" s="357">
        <f t="shared" si="97"/>
        <v>0</v>
      </c>
      <c r="BB423" s="357">
        <f t="shared" si="98"/>
        <v>0</v>
      </c>
      <c r="BC423" s="82" t="s">
        <v>41</v>
      </c>
      <c r="BE423" s="82"/>
    </row>
    <row r="424" spans="2:57" outlineLevel="1" x14ac:dyDescent="0.25">
      <c r="B424" s="365" t="s">
        <v>149</v>
      </c>
      <c r="C424" s="350"/>
      <c r="D424" s="386">
        <f t="shared" si="96"/>
        <v>0</v>
      </c>
      <c r="E424" s="358"/>
      <c r="F424" s="358"/>
      <c r="G424" s="358"/>
      <c r="H424" s="358"/>
      <c r="I424" s="358"/>
      <c r="J424" s="358"/>
      <c r="K424" s="358"/>
      <c r="L424" s="358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  <c r="Z424" s="408"/>
      <c r="AA424" s="408"/>
      <c r="AB424" s="408"/>
      <c r="AC424" s="358"/>
      <c r="AD424" s="358"/>
      <c r="AE424" s="358"/>
      <c r="AF424" s="358"/>
      <c r="AG424" s="358"/>
      <c r="AH424" s="358"/>
      <c r="AI424" s="358"/>
      <c r="AJ424" s="358"/>
      <c r="AK424" s="358"/>
      <c r="AL424" s="358"/>
      <c r="AM424" s="358"/>
      <c r="AN424" s="358"/>
      <c r="AO424" s="358"/>
      <c r="AP424" s="358"/>
      <c r="AQ424" s="358"/>
      <c r="AR424" s="358"/>
      <c r="AS424" s="358"/>
      <c r="AT424" s="358"/>
      <c r="AU424" s="358"/>
      <c r="AV424" s="358"/>
      <c r="AW424" s="408"/>
      <c r="AX424" s="408"/>
      <c r="AY424" s="358"/>
      <c r="AZ424" s="358"/>
      <c r="BA424" s="357">
        <f t="shared" si="97"/>
        <v>0</v>
      </c>
      <c r="BB424" s="357">
        <f t="shared" si="98"/>
        <v>0</v>
      </c>
      <c r="BC424" s="82" t="s">
        <v>41</v>
      </c>
      <c r="BE424" s="82"/>
    </row>
    <row r="425" spans="2:57" outlineLevel="1" x14ac:dyDescent="0.25">
      <c r="B425" s="365" t="s">
        <v>150</v>
      </c>
      <c r="C425" s="350"/>
      <c r="D425" s="357">
        <f t="shared" si="96"/>
        <v>0</v>
      </c>
      <c r="E425" s="358"/>
      <c r="F425" s="358"/>
      <c r="G425" s="358"/>
      <c r="H425" s="358"/>
      <c r="I425" s="358"/>
      <c r="J425" s="358"/>
      <c r="K425" s="358"/>
      <c r="L425" s="358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  <c r="Y425" s="358"/>
      <c r="Z425" s="358"/>
      <c r="AA425" s="358"/>
      <c r="AB425" s="358"/>
      <c r="AC425" s="358"/>
      <c r="AD425" s="358"/>
      <c r="AE425" s="358"/>
      <c r="AF425" s="358"/>
      <c r="AG425" s="358"/>
      <c r="AH425" s="358"/>
      <c r="AI425" s="358"/>
      <c r="AJ425" s="358"/>
      <c r="AK425" s="358"/>
      <c r="AL425" s="358"/>
      <c r="AM425" s="358"/>
      <c r="AN425" s="358"/>
      <c r="AO425" s="358"/>
      <c r="AP425" s="358"/>
      <c r="AQ425" s="358"/>
      <c r="AR425" s="358"/>
      <c r="AS425" s="358"/>
      <c r="AT425" s="358"/>
      <c r="AU425" s="358"/>
      <c r="AV425" s="358"/>
      <c r="AW425" s="408"/>
      <c r="AX425" s="408"/>
      <c r="AY425" s="358"/>
      <c r="AZ425" s="358"/>
      <c r="BA425" s="357">
        <f t="shared" si="97"/>
        <v>0</v>
      </c>
      <c r="BB425" s="357">
        <f t="shared" si="98"/>
        <v>0</v>
      </c>
      <c r="BC425" s="82" t="s">
        <v>41</v>
      </c>
      <c r="BE425" s="82"/>
    </row>
    <row r="426" spans="2:57" ht="15.75" outlineLevel="1" thickBot="1" x14ac:dyDescent="0.3">
      <c r="B426" s="365" t="s">
        <v>118</v>
      </c>
      <c r="C426" s="350"/>
      <c r="D426" s="388">
        <f t="shared" ref="D426:AI426" si="99">SUM(D420:D425)</f>
        <v>0</v>
      </c>
      <c r="E426" s="389">
        <f t="shared" si="99"/>
        <v>0</v>
      </c>
      <c r="F426" s="389">
        <f t="shared" si="99"/>
        <v>0</v>
      </c>
      <c r="G426" s="389">
        <f t="shared" si="99"/>
        <v>0</v>
      </c>
      <c r="H426" s="389">
        <f t="shared" si="99"/>
        <v>0</v>
      </c>
      <c r="I426" s="389">
        <f t="shared" si="99"/>
        <v>0</v>
      </c>
      <c r="J426" s="389">
        <f t="shared" si="99"/>
        <v>0</v>
      </c>
      <c r="K426" s="389">
        <f t="shared" si="99"/>
        <v>0</v>
      </c>
      <c r="L426" s="389">
        <f t="shared" si="99"/>
        <v>0</v>
      </c>
      <c r="M426" s="389">
        <f t="shared" si="99"/>
        <v>0</v>
      </c>
      <c r="N426" s="389">
        <f t="shared" si="99"/>
        <v>0</v>
      </c>
      <c r="O426" s="389">
        <f t="shared" si="99"/>
        <v>0</v>
      </c>
      <c r="P426" s="389">
        <f t="shared" si="99"/>
        <v>0</v>
      </c>
      <c r="Q426" s="389">
        <f t="shared" si="99"/>
        <v>0</v>
      </c>
      <c r="R426" s="389">
        <f t="shared" si="99"/>
        <v>0</v>
      </c>
      <c r="S426" s="389">
        <f t="shared" si="99"/>
        <v>0</v>
      </c>
      <c r="T426" s="389">
        <f t="shared" si="99"/>
        <v>0</v>
      </c>
      <c r="U426" s="389">
        <f t="shared" si="99"/>
        <v>0</v>
      </c>
      <c r="V426" s="389">
        <f t="shared" si="99"/>
        <v>0</v>
      </c>
      <c r="W426" s="389">
        <f t="shared" si="99"/>
        <v>0</v>
      </c>
      <c r="X426" s="389">
        <f t="shared" si="99"/>
        <v>0</v>
      </c>
      <c r="Y426" s="389">
        <f t="shared" si="99"/>
        <v>0</v>
      </c>
      <c r="Z426" s="389">
        <f t="shared" si="99"/>
        <v>0</v>
      </c>
      <c r="AA426" s="389">
        <f t="shared" si="99"/>
        <v>0</v>
      </c>
      <c r="AB426" s="389">
        <f t="shared" si="99"/>
        <v>0</v>
      </c>
      <c r="AC426" s="389">
        <f t="shared" si="99"/>
        <v>0</v>
      </c>
      <c r="AD426" s="389">
        <f t="shared" si="99"/>
        <v>0</v>
      </c>
      <c r="AE426" s="389">
        <f t="shared" si="99"/>
        <v>0</v>
      </c>
      <c r="AF426" s="389">
        <f t="shared" si="99"/>
        <v>0</v>
      </c>
      <c r="AG426" s="389">
        <f t="shared" si="99"/>
        <v>0</v>
      </c>
      <c r="AH426" s="389">
        <f t="shared" si="99"/>
        <v>0</v>
      </c>
      <c r="AI426" s="389">
        <f t="shared" si="99"/>
        <v>0</v>
      </c>
      <c r="AJ426" s="389"/>
      <c r="AK426" s="389"/>
      <c r="AL426" s="389"/>
      <c r="AM426" s="389"/>
      <c r="AN426" s="389"/>
      <c r="AO426" s="389"/>
      <c r="AP426" s="389">
        <f>SUM(AP420:AP425)</f>
        <v>0</v>
      </c>
      <c r="AQ426" s="389">
        <f>SUM(AQ420:AQ425)</f>
        <v>0</v>
      </c>
      <c r="AR426" s="389">
        <f>SUM(AR420:AR425)</f>
        <v>0</v>
      </c>
      <c r="AS426" s="389"/>
      <c r="AT426" s="389"/>
      <c r="AU426" s="389"/>
      <c r="AV426" s="389"/>
      <c r="AW426" s="421"/>
      <c r="AX426" s="421"/>
      <c r="AY426" s="389"/>
      <c r="AZ426" s="389"/>
      <c r="BA426" s="388">
        <f>SUM(BA420:BA425)</f>
        <v>0</v>
      </c>
      <c r="BB426" s="388">
        <f>SUM(BB420:BB425)</f>
        <v>0</v>
      </c>
      <c r="BC426" s="82" t="s">
        <v>41</v>
      </c>
      <c r="BE426" s="82"/>
    </row>
    <row r="427" spans="2:57" ht="15.75" outlineLevel="1" thickTop="1" x14ac:dyDescent="0.25">
      <c r="C427" s="350"/>
      <c r="D427" s="351"/>
      <c r="BA427" s="351"/>
      <c r="BB427" s="351"/>
      <c r="BC427" s="82" t="s">
        <v>41</v>
      </c>
      <c r="BE427" s="82"/>
    </row>
    <row r="428" spans="2:57" outlineLevel="1" x14ac:dyDescent="0.25">
      <c r="B428" s="365" t="s">
        <v>119</v>
      </c>
      <c r="C428" s="350"/>
      <c r="D428" s="81">
        <f>+'SEF-33 pg 1-2'!C13</f>
        <v>7.6499999999999999E-2</v>
      </c>
      <c r="E428" s="80">
        <f>+'SEF-33 pg 1-2'!D13</f>
        <v>7.9899999999999999E-2</v>
      </c>
      <c r="F428" s="80">
        <f>+'SEF-33 pg 1-2'!D13</f>
        <v>7.9899999999999999E-2</v>
      </c>
      <c r="G428" s="80">
        <f>+'SEF-33 pg 1-2'!D13</f>
        <v>7.9899999999999999E-2</v>
      </c>
      <c r="H428" s="80">
        <f>+'SEF-33 pg 1-2'!D13</f>
        <v>7.9899999999999999E-2</v>
      </c>
      <c r="I428" s="80">
        <f>+'SEF-33 pg 1-2'!D13</f>
        <v>7.9899999999999999E-2</v>
      </c>
      <c r="J428" s="80">
        <f>+'SEF-33 pg 1-2'!D13</f>
        <v>7.9899999999999999E-2</v>
      </c>
      <c r="K428" s="80">
        <f>+'SEF-33 pg 1-2'!D13</f>
        <v>7.9899999999999999E-2</v>
      </c>
      <c r="L428" s="80">
        <f>+'SEF-33 pg 1-2'!D13</f>
        <v>7.9899999999999999E-2</v>
      </c>
      <c r="M428" s="80">
        <f>+'SEF-33 pg 1-2'!D13</f>
        <v>7.9899999999999999E-2</v>
      </c>
      <c r="N428" s="80">
        <f>+'SEF-33 pg 1-2'!D13</f>
        <v>7.9899999999999999E-2</v>
      </c>
      <c r="O428" s="80">
        <f>+'SEF-33 pg 1-2'!D13</f>
        <v>7.9899999999999999E-2</v>
      </c>
      <c r="P428" s="80">
        <f>+'SEF-33 pg 1-2'!D13</f>
        <v>7.9899999999999999E-2</v>
      </c>
      <c r="Q428" s="80">
        <f>+'SEF-33 pg 1-2'!D13</f>
        <v>7.9899999999999999E-2</v>
      </c>
      <c r="R428" s="80">
        <f>+'SEF-33 pg 1-2'!D13</f>
        <v>7.9899999999999999E-2</v>
      </c>
      <c r="S428" s="80">
        <f>+'SEF-33 pg 1-2'!D13</f>
        <v>7.9899999999999999E-2</v>
      </c>
      <c r="T428" s="80">
        <f>+'SEF-33 pg 1-2'!D13</f>
        <v>7.9899999999999999E-2</v>
      </c>
      <c r="U428" s="80">
        <f>+'SEF-33 pg 1-2'!D13</f>
        <v>7.9899999999999999E-2</v>
      </c>
      <c r="V428" s="80">
        <f>+'SEF-33 pg 1-2'!D13</f>
        <v>7.9899999999999999E-2</v>
      </c>
      <c r="W428" s="80">
        <f>+'SEF-33 pg 1-2'!D13</f>
        <v>7.9899999999999999E-2</v>
      </c>
      <c r="X428" s="80">
        <f>+'SEF-33 pg 1-2'!D13</f>
        <v>7.9899999999999999E-2</v>
      </c>
      <c r="Y428" s="80">
        <f>+'SEF-33 pg 1-2'!D13</f>
        <v>7.9899999999999999E-2</v>
      </c>
      <c r="Z428" s="80">
        <f>+'SEF-33 pg 1-2'!D13</f>
        <v>7.9899999999999999E-2</v>
      </c>
      <c r="AA428" s="80">
        <f>+'SEF-33 pg 1-2'!D13</f>
        <v>7.9899999999999999E-2</v>
      </c>
      <c r="AB428" s="80">
        <f>+'SEF-33 pg 1-2'!D13</f>
        <v>7.9899999999999999E-2</v>
      </c>
      <c r="AC428" s="80">
        <f>+'SEF-33 pg 1-2'!D13</f>
        <v>7.9899999999999999E-2</v>
      </c>
      <c r="AD428" s="80">
        <f>+'SEF-33 pg 1-2'!D13</f>
        <v>7.9899999999999999E-2</v>
      </c>
      <c r="AE428" s="80">
        <f>+'SEF-33 pg 1-2'!D13</f>
        <v>7.9899999999999999E-2</v>
      </c>
      <c r="AF428" s="80">
        <f>+'SEF-33 pg 1-2'!D13</f>
        <v>7.9899999999999999E-2</v>
      </c>
      <c r="AG428" s="80">
        <f>+'SEF-33 pg 1-2'!D13</f>
        <v>7.9899999999999999E-2</v>
      </c>
      <c r="AH428" s="80">
        <f>+'SEF-33 pg 1-2'!D13</f>
        <v>7.9899999999999999E-2</v>
      </c>
      <c r="AI428" s="80">
        <f>+'SEF-33 pg 1-2'!D13</f>
        <v>7.9899999999999999E-2</v>
      </c>
      <c r="AJ428" s="80"/>
      <c r="AK428" s="80"/>
      <c r="AL428" s="80"/>
      <c r="AM428" s="80"/>
      <c r="AN428" s="80"/>
      <c r="AO428" s="80"/>
      <c r="AP428" s="80">
        <f>+'SEF-33 pg 1-2'!D13</f>
        <v>7.9899999999999999E-2</v>
      </c>
      <c r="AQ428" s="80">
        <f>+'SEF-33 pg 1-2'!D13</f>
        <v>7.9899999999999999E-2</v>
      </c>
      <c r="AR428" s="80">
        <f>+'SEF-33 pg 1-2'!D13</f>
        <v>7.9899999999999999E-2</v>
      </c>
      <c r="AS428" s="80"/>
      <c r="AT428" s="80"/>
      <c r="AU428" s="80"/>
      <c r="AV428" s="80"/>
      <c r="AW428" s="80"/>
      <c r="AX428" s="80"/>
      <c r="AY428" s="80"/>
      <c r="AZ428" s="80"/>
      <c r="BA428" s="81">
        <f>+'SEF-33 pg 1-2'!C13</f>
        <v>7.6499999999999999E-2</v>
      </c>
      <c r="BB428" s="81">
        <f>+'SEF-33 pg 1-2'!C13</f>
        <v>7.6499999999999999E-2</v>
      </c>
      <c r="BC428" s="82" t="s">
        <v>41</v>
      </c>
      <c r="BE428" s="82"/>
    </row>
    <row r="429" spans="2:57" outlineLevel="1" x14ac:dyDescent="0.25">
      <c r="B429" s="365" t="s">
        <v>3</v>
      </c>
      <c r="C429" s="350"/>
      <c r="D429" s="351">
        <f>+'SEF-35'!E20</f>
        <v>0.75342299999999995</v>
      </c>
      <c r="E429" s="317">
        <f>+'SEF-35'!E20</f>
        <v>0.75342299999999995</v>
      </c>
      <c r="F429" s="317">
        <f>+'SEF-35'!E20</f>
        <v>0.75342299999999995</v>
      </c>
      <c r="G429" s="317">
        <f>+'SEF-35'!E20</f>
        <v>0.75342299999999995</v>
      </c>
      <c r="H429" s="317">
        <f>+'SEF-35'!E20</f>
        <v>0.75342299999999995</v>
      </c>
      <c r="I429" s="317">
        <f>+'SEF-35'!E20</f>
        <v>0.75342299999999995</v>
      </c>
      <c r="J429" s="317">
        <f>+'SEF-35'!E20</f>
        <v>0.75342299999999995</v>
      </c>
      <c r="K429" s="317">
        <f>+'SEF-35'!E20</f>
        <v>0.75342299999999995</v>
      </c>
      <c r="L429" s="317">
        <f>+'SEF-35'!E20</f>
        <v>0.75342299999999995</v>
      </c>
      <c r="M429" s="317">
        <f>+'SEF-35'!E20</f>
        <v>0.75342299999999995</v>
      </c>
      <c r="N429" s="317">
        <f>+'SEF-35'!E20</f>
        <v>0.75342299999999995</v>
      </c>
      <c r="O429" s="317">
        <f>+'SEF-35'!E20</f>
        <v>0.75342299999999995</v>
      </c>
      <c r="P429" s="317">
        <f>+'SEF-35'!E20</f>
        <v>0.75342299999999995</v>
      </c>
      <c r="Q429" s="317">
        <f>+'SEF-35'!E20</f>
        <v>0.75342299999999995</v>
      </c>
      <c r="R429" s="317">
        <f>+'SEF-35'!E20</f>
        <v>0.75342299999999995</v>
      </c>
      <c r="S429" s="317">
        <f>+'SEF-35'!E20</f>
        <v>0.75342299999999995</v>
      </c>
      <c r="T429" s="317">
        <f>+'SEF-35'!E20</f>
        <v>0.75342299999999995</v>
      </c>
      <c r="U429" s="317">
        <f>+'SEF-35'!E20</f>
        <v>0.75342299999999995</v>
      </c>
      <c r="V429" s="317">
        <f>+'SEF-35'!E20</f>
        <v>0.75342299999999995</v>
      </c>
      <c r="W429" s="317">
        <f>+'SEF-35'!E20</f>
        <v>0.75342299999999995</v>
      </c>
      <c r="X429" s="317">
        <f>+'SEF-35'!E20</f>
        <v>0.75342299999999995</v>
      </c>
      <c r="Y429" s="317">
        <f>+'SEF-35'!E20</f>
        <v>0.75342299999999995</v>
      </c>
      <c r="Z429" s="317">
        <f>+'SEF-35'!E20</f>
        <v>0.75342299999999995</v>
      </c>
      <c r="AA429" s="317">
        <f>+'SEF-35'!E20</f>
        <v>0.75342299999999995</v>
      </c>
      <c r="AB429" s="317">
        <f>+'SEF-35'!E20</f>
        <v>0.75342299999999995</v>
      </c>
      <c r="AC429" s="317">
        <f>+'SEF-35'!E20</f>
        <v>0.75342299999999995</v>
      </c>
      <c r="AD429" s="317">
        <f>+'SEF-35'!E20</f>
        <v>0.75342299999999995</v>
      </c>
      <c r="AE429" s="317">
        <f>+'SEF-35'!E20</f>
        <v>0.75342299999999995</v>
      </c>
      <c r="AF429" s="317">
        <f>+'SEF-35'!E20</f>
        <v>0.75342299999999995</v>
      </c>
      <c r="AG429" s="317">
        <f>+'SEF-35'!E20</f>
        <v>0.75342299999999995</v>
      </c>
      <c r="AH429" s="317">
        <f>+'SEF-35'!E20</f>
        <v>0.75342299999999995</v>
      </c>
      <c r="AI429" s="317">
        <f>+'SEF-35'!E20</f>
        <v>0.75342299999999995</v>
      </c>
      <c r="AP429" s="317">
        <f>+'SEF-35'!E20</f>
        <v>0.75342299999999995</v>
      </c>
      <c r="AQ429" s="317">
        <f>+'SEF-35'!E20</f>
        <v>0.75342299999999995</v>
      </c>
      <c r="AR429" s="317">
        <f>+'SEF-35'!E20</f>
        <v>0.75342299999999995</v>
      </c>
      <c r="BA429" s="351">
        <f>+'SEF-35'!E20</f>
        <v>0.75342299999999995</v>
      </c>
      <c r="BB429" s="351">
        <f>+'SEF-35'!E20</f>
        <v>0.75342299999999995</v>
      </c>
      <c r="BC429" s="82" t="s">
        <v>41</v>
      </c>
      <c r="BE429" s="82"/>
    </row>
    <row r="430" spans="2:57" outlineLevel="1" x14ac:dyDescent="0.25">
      <c r="B430" s="365" t="s">
        <v>152</v>
      </c>
      <c r="C430" s="350"/>
      <c r="D430" s="357">
        <f t="shared" ref="D430:AI430" si="100">+D413-(D426*D428)</f>
        <v>0</v>
      </c>
      <c r="E430" s="382">
        <f t="shared" si="100"/>
        <v>0</v>
      </c>
      <c r="F430" s="382">
        <f t="shared" si="100"/>
        <v>0</v>
      </c>
      <c r="G430" s="382">
        <f t="shared" si="100"/>
        <v>0</v>
      </c>
      <c r="H430" s="382">
        <f t="shared" si="100"/>
        <v>0</v>
      </c>
      <c r="I430" s="382">
        <f t="shared" si="100"/>
        <v>0</v>
      </c>
      <c r="J430" s="382">
        <f t="shared" si="100"/>
        <v>0</v>
      </c>
      <c r="K430" s="382">
        <f t="shared" si="100"/>
        <v>0</v>
      </c>
      <c r="L430" s="382">
        <f t="shared" si="100"/>
        <v>0</v>
      </c>
      <c r="M430" s="382">
        <f t="shared" si="100"/>
        <v>0</v>
      </c>
      <c r="N430" s="382">
        <f t="shared" si="100"/>
        <v>0</v>
      </c>
      <c r="O430" s="382">
        <f t="shared" si="100"/>
        <v>0</v>
      </c>
      <c r="P430" s="382">
        <f t="shared" si="100"/>
        <v>0</v>
      </c>
      <c r="Q430" s="382">
        <f t="shared" si="100"/>
        <v>0</v>
      </c>
      <c r="R430" s="382">
        <f t="shared" si="100"/>
        <v>0</v>
      </c>
      <c r="S430" s="382">
        <f t="shared" si="100"/>
        <v>0</v>
      </c>
      <c r="T430" s="382">
        <f t="shared" si="100"/>
        <v>0</v>
      </c>
      <c r="U430" s="382">
        <f t="shared" si="100"/>
        <v>0</v>
      </c>
      <c r="V430" s="382">
        <f t="shared" si="100"/>
        <v>0</v>
      </c>
      <c r="W430" s="382">
        <f t="shared" si="100"/>
        <v>0</v>
      </c>
      <c r="X430" s="382">
        <f t="shared" si="100"/>
        <v>0</v>
      </c>
      <c r="Y430" s="382">
        <f t="shared" si="100"/>
        <v>0</v>
      </c>
      <c r="Z430" s="392">
        <f t="shared" si="100"/>
        <v>0</v>
      </c>
      <c r="AA430" s="382">
        <f t="shared" si="100"/>
        <v>0</v>
      </c>
      <c r="AB430" s="382">
        <f t="shared" si="100"/>
        <v>0</v>
      </c>
      <c r="AC430" s="382">
        <f t="shared" si="100"/>
        <v>0</v>
      </c>
      <c r="AD430" s="382">
        <f t="shared" si="100"/>
        <v>0</v>
      </c>
      <c r="AE430" s="382">
        <f t="shared" si="100"/>
        <v>0</v>
      </c>
      <c r="AF430" s="382">
        <f t="shared" si="100"/>
        <v>0</v>
      </c>
      <c r="AG430" s="382">
        <f t="shared" si="100"/>
        <v>0</v>
      </c>
      <c r="AH430" s="382">
        <f t="shared" si="100"/>
        <v>0</v>
      </c>
      <c r="AI430" s="392">
        <f t="shared" si="100"/>
        <v>0</v>
      </c>
      <c r="AJ430" s="392"/>
      <c r="AK430" s="392"/>
      <c r="AL430" s="392"/>
      <c r="AM430" s="392"/>
      <c r="AN430" s="392"/>
      <c r="AO430" s="392"/>
      <c r="AP430" s="382">
        <f>+AP413-(AP426*AP428)</f>
        <v>0</v>
      </c>
      <c r="AQ430" s="382">
        <f>+AQ413-(AQ426*AQ428)</f>
        <v>0</v>
      </c>
      <c r="AR430" s="382">
        <f>+AR413-(AR426*AR428)</f>
        <v>0</v>
      </c>
      <c r="AS430" s="382"/>
      <c r="AT430" s="382"/>
      <c r="AU430" s="382"/>
      <c r="AV430" s="382"/>
      <c r="AW430" s="382"/>
      <c r="AX430" s="382"/>
      <c r="AY430" s="382"/>
      <c r="AZ430" s="382"/>
      <c r="BA430" s="357">
        <f>SUM(E430:AZ430)</f>
        <v>0</v>
      </c>
      <c r="BB430" s="357">
        <f>+BB413-(BB426*BB428)</f>
        <v>0</v>
      </c>
      <c r="BC430" s="82" t="s">
        <v>41</v>
      </c>
      <c r="BE430" s="82"/>
    </row>
    <row r="431" spans="2:57" outlineLevel="1" x14ac:dyDescent="0.25">
      <c r="B431" s="365" t="s">
        <v>153</v>
      </c>
      <c r="C431" s="350"/>
      <c r="D431" s="357">
        <f t="shared" ref="D431:AI431" si="101">-D430/D429</f>
        <v>0</v>
      </c>
      <c r="E431" s="382">
        <f t="shared" si="101"/>
        <v>0</v>
      </c>
      <c r="F431" s="382">
        <f t="shared" si="101"/>
        <v>0</v>
      </c>
      <c r="G431" s="382">
        <f t="shared" si="101"/>
        <v>0</v>
      </c>
      <c r="H431" s="382">
        <f t="shared" si="101"/>
        <v>0</v>
      </c>
      <c r="I431" s="382">
        <f t="shared" si="101"/>
        <v>0</v>
      </c>
      <c r="J431" s="382">
        <f t="shared" si="101"/>
        <v>0</v>
      </c>
      <c r="K431" s="382">
        <f t="shared" si="101"/>
        <v>0</v>
      </c>
      <c r="L431" s="382">
        <f t="shared" si="101"/>
        <v>0</v>
      </c>
      <c r="M431" s="382">
        <f t="shared" si="101"/>
        <v>0</v>
      </c>
      <c r="N431" s="382">
        <f t="shared" si="101"/>
        <v>0</v>
      </c>
      <c r="O431" s="382">
        <f t="shared" si="101"/>
        <v>0</v>
      </c>
      <c r="P431" s="382">
        <f t="shared" si="101"/>
        <v>0</v>
      </c>
      <c r="Q431" s="382">
        <f t="shared" si="101"/>
        <v>0</v>
      </c>
      <c r="R431" s="382">
        <f t="shared" si="101"/>
        <v>0</v>
      </c>
      <c r="S431" s="382">
        <f t="shared" si="101"/>
        <v>0</v>
      </c>
      <c r="T431" s="382">
        <f t="shared" si="101"/>
        <v>0</v>
      </c>
      <c r="U431" s="382">
        <f t="shared" si="101"/>
        <v>0</v>
      </c>
      <c r="V431" s="382">
        <f t="shared" si="101"/>
        <v>0</v>
      </c>
      <c r="W431" s="382">
        <f t="shared" si="101"/>
        <v>0</v>
      </c>
      <c r="X431" s="382">
        <f t="shared" si="101"/>
        <v>0</v>
      </c>
      <c r="Y431" s="382">
        <f t="shared" si="101"/>
        <v>0</v>
      </c>
      <c r="Z431" s="392">
        <f t="shared" si="101"/>
        <v>0</v>
      </c>
      <c r="AA431" s="382">
        <f t="shared" si="101"/>
        <v>0</v>
      </c>
      <c r="AB431" s="382">
        <f t="shared" si="101"/>
        <v>0</v>
      </c>
      <c r="AC431" s="382">
        <f t="shared" si="101"/>
        <v>0</v>
      </c>
      <c r="AD431" s="382">
        <f t="shared" si="101"/>
        <v>0</v>
      </c>
      <c r="AE431" s="382">
        <f t="shared" si="101"/>
        <v>0</v>
      </c>
      <c r="AF431" s="382">
        <f t="shared" si="101"/>
        <v>0</v>
      </c>
      <c r="AG431" s="382">
        <f t="shared" si="101"/>
        <v>0</v>
      </c>
      <c r="AH431" s="382">
        <f t="shared" si="101"/>
        <v>0</v>
      </c>
      <c r="AI431" s="392">
        <f t="shared" si="101"/>
        <v>0</v>
      </c>
      <c r="AJ431" s="392"/>
      <c r="AK431" s="392"/>
      <c r="AL431" s="392"/>
      <c r="AM431" s="392"/>
      <c r="AN431" s="392"/>
      <c r="AO431" s="392"/>
      <c r="AP431" s="382">
        <f>-AP430/AP429</f>
        <v>0</v>
      </c>
      <c r="AQ431" s="382">
        <f>-AQ430/AQ429</f>
        <v>0</v>
      </c>
      <c r="AR431" s="382">
        <f>-AR430/AR429</f>
        <v>0</v>
      </c>
      <c r="AS431" s="382"/>
      <c r="AT431" s="382"/>
      <c r="AU431" s="382"/>
      <c r="AV431" s="382"/>
      <c r="AW431" s="382"/>
      <c r="AX431" s="382"/>
      <c r="AY431" s="382"/>
      <c r="AZ431" s="382"/>
      <c r="BA431" s="357">
        <f>-BA430/BA429</f>
        <v>0</v>
      </c>
      <c r="BB431" s="357">
        <f>-BB430/BB429</f>
        <v>0</v>
      </c>
      <c r="BC431" s="82" t="s">
        <v>41</v>
      </c>
      <c r="BE431" s="82"/>
    </row>
    <row r="432" spans="2:57" outlineLevel="1" x14ac:dyDescent="0.25">
      <c r="B432" s="365" t="s">
        <v>128</v>
      </c>
      <c r="C432" s="350"/>
      <c r="D432" s="357"/>
      <c r="E432" s="382"/>
      <c r="F432" s="382"/>
      <c r="G432" s="382"/>
      <c r="H432" s="382"/>
      <c r="I432" s="382"/>
      <c r="J432" s="382"/>
      <c r="K432" s="382"/>
      <c r="L432" s="382"/>
      <c r="M432" s="382"/>
      <c r="N432" s="382"/>
      <c r="O432" s="382"/>
      <c r="P432" s="382"/>
      <c r="Q432" s="382"/>
      <c r="R432" s="382"/>
      <c r="S432" s="382"/>
      <c r="T432" s="382"/>
      <c r="U432" s="382"/>
      <c r="V432" s="382"/>
      <c r="W432" s="382"/>
      <c r="X432" s="382"/>
      <c r="Y432" s="382"/>
      <c r="Z432" s="382"/>
      <c r="AA432" s="382"/>
      <c r="AB432" s="382"/>
      <c r="AC432" s="382"/>
      <c r="AD432" s="382"/>
      <c r="AE432" s="382"/>
      <c r="AF432" s="382"/>
      <c r="AG432" s="382"/>
      <c r="AH432" s="382"/>
      <c r="AI432" s="392"/>
      <c r="AJ432" s="392"/>
      <c r="AK432" s="392"/>
      <c r="AL432" s="392"/>
      <c r="AM432" s="392"/>
      <c r="AN432" s="392"/>
      <c r="AO432" s="392"/>
      <c r="AP432" s="382"/>
      <c r="AQ432" s="382"/>
      <c r="AR432" s="382"/>
      <c r="AS432" s="382"/>
      <c r="AT432" s="382"/>
      <c r="AU432" s="382"/>
      <c r="AV432" s="382"/>
      <c r="AW432" s="382"/>
      <c r="AX432" s="382"/>
      <c r="AY432" s="382"/>
      <c r="AZ432" s="382"/>
      <c r="BA432" s="357"/>
      <c r="BB432" s="357">
        <f>+BB371</f>
        <v>1033773304.3797647</v>
      </c>
      <c r="BC432" s="82" t="s">
        <v>41</v>
      </c>
      <c r="BE432" s="82"/>
    </row>
    <row r="433" spans="2:57" outlineLevel="1" x14ac:dyDescent="0.25">
      <c r="B433" s="365" t="s">
        <v>129</v>
      </c>
      <c r="C433" s="350"/>
      <c r="D433" s="357"/>
      <c r="E433" s="382"/>
      <c r="F433" s="382"/>
      <c r="G433" s="382"/>
      <c r="H433" s="382"/>
      <c r="I433" s="382"/>
      <c r="J433" s="382"/>
      <c r="K433" s="382"/>
      <c r="L433" s="382"/>
      <c r="M433" s="382"/>
      <c r="N433" s="382"/>
      <c r="O433" s="382"/>
      <c r="P433" s="382"/>
      <c r="Q433" s="382"/>
      <c r="R433" s="382"/>
      <c r="S433" s="382"/>
      <c r="T433" s="382"/>
      <c r="U433" s="382"/>
      <c r="V433" s="382"/>
      <c r="W433" s="382"/>
      <c r="X433" s="382"/>
      <c r="Y433" s="382"/>
      <c r="Z433" s="382"/>
      <c r="AA433" s="382"/>
      <c r="AB433" s="382"/>
      <c r="AC433" s="382"/>
      <c r="AD433" s="382"/>
      <c r="AE433" s="382"/>
      <c r="AF433" s="382"/>
      <c r="AG433" s="382"/>
      <c r="AH433" s="382"/>
      <c r="AI433" s="382"/>
      <c r="AJ433" s="382"/>
      <c r="AK433" s="382"/>
      <c r="AL433" s="382"/>
      <c r="AM433" s="382"/>
      <c r="AN433" s="382"/>
      <c r="AO433" s="382"/>
      <c r="AP433" s="382"/>
      <c r="AQ433" s="382"/>
      <c r="AR433" s="382"/>
      <c r="AS433" s="382"/>
      <c r="AT433" s="382"/>
      <c r="AU433" s="382"/>
      <c r="AV433" s="382"/>
      <c r="AW433" s="382"/>
      <c r="AX433" s="382"/>
      <c r="AY433" s="382"/>
      <c r="AZ433" s="382"/>
      <c r="BA433" s="357"/>
      <c r="BB433" s="425">
        <f>SUM(BB431:BB432)</f>
        <v>1033773304.3797647</v>
      </c>
      <c r="BC433" s="82" t="s">
        <v>41</v>
      </c>
      <c r="BE433" s="82"/>
    </row>
    <row r="434" spans="2:57" outlineLevel="1" x14ac:dyDescent="0.25">
      <c r="B434" s="365"/>
      <c r="C434" s="350"/>
      <c r="D434" s="393"/>
      <c r="E434" s="382"/>
      <c r="F434" s="382"/>
      <c r="G434" s="382"/>
      <c r="H434" s="382"/>
      <c r="I434" s="382"/>
      <c r="J434" s="382"/>
      <c r="K434" s="382"/>
      <c r="L434" s="382"/>
      <c r="M434" s="382"/>
      <c r="N434" s="382"/>
      <c r="O434" s="382"/>
      <c r="P434" s="382"/>
      <c r="Q434" s="382"/>
      <c r="R434" s="382"/>
      <c r="S434" s="382"/>
      <c r="T434" s="382"/>
      <c r="U434" s="382"/>
      <c r="V434" s="382"/>
      <c r="W434" s="382"/>
      <c r="X434" s="382"/>
      <c r="Y434" s="382"/>
      <c r="Z434" s="382"/>
      <c r="AA434" s="382"/>
      <c r="AB434" s="382"/>
      <c r="AC434" s="382"/>
      <c r="AD434" s="382"/>
      <c r="AE434" s="382"/>
      <c r="AF434" s="382"/>
      <c r="AG434" s="382"/>
      <c r="AH434" s="382"/>
      <c r="AI434" s="382"/>
      <c r="AJ434" s="382"/>
      <c r="AK434" s="382"/>
      <c r="AL434" s="382"/>
      <c r="AM434" s="382"/>
      <c r="AN434" s="382"/>
      <c r="AO434" s="382"/>
      <c r="AP434" s="382"/>
      <c r="AQ434" s="382"/>
      <c r="AR434" s="382"/>
      <c r="AS434" s="382"/>
      <c r="AT434" s="382"/>
      <c r="AU434" s="382"/>
      <c r="AV434" s="382"/>
      <c r="AW434" s="382"/>
      <c r="AX434" s="382"/>
      <c r="AY434" s="382"/>
      <c r="AZ434" s="382"/>
      <c r="BA434" s="393"/>
      <c r="BB434" s="393"/>
      <c r="BC434" s="82" t="s">
        <v>41</v>
      </c>
      <c r="BE434" s="82"/>
    </row>
    <row r="435" spans="2:57" outlineLevel="1" x14ac:dyDescent="0.25">
      <c r="B435" s="365"/>
      <c r="C435" s="350"/>
      <c r="BA435" s="80">
        <f>+'SEF-33 pg 1-2'!K24</f>
        <v>7.6499999999999999E-2</v>
      </c>
      <c r="BB435" s="80">
        <f>+'SEF-33 pg 1-2'!K24</f>
        <v>7.6499999999999999E-2</v>
      </c>
      <c r="BC435" s="82" t="s">
        <v>41</v>
      </c>
      <c r="BE435" s="82"/>
    </row>
    <row r="436" spans="2:57" outlineLevel="1" x14ac:dyDescent="0.25">
      <c r="B436" s="395" t="s">
        <v>154</v>
      </c>
      <c r="C436" s="350"/>
      <c r="D436" s="426"/>
      <c r="E436" s="429">
        <f>ROUND('SEF-36 pg 1-33, 37'!Q$71-E413,0)+E415</f>
        <v>0</v>
      </c>
      <c r="F436" s="429">
        <f>ROUND('SEF-36 pg 1-33, 37'!AI$65-F413,0)+F415</f>
        <v>0</v>
      </c>
      <c r="G436" s="429">
        <f>ROUND('SEF-36 pg 1-33, 37'!BA$30-G413,0)+G415</f>
        <v>0</v>
      </c>
      <c r="H436" s="429">
        <f>ROUND('SEF-36 pg 1-33, 37'!BS$22-H413,0)+ROUND('SEF-36 pg 1-33, 37'!BS$24-H415,0)</f>
        <v>0</v>
      </c>
      <c r="I436" s="429">
        <f>ROUND('SEF-36 pg 1-33, 37'!CK$24-I413,0)+I415</f>
        <v>0</v>
      </c>
      <c r="J436" s="429">
        <f>ROUND('SEF-36 pg 1-33, 37'!DC$20-J413,0)+J415</f>
        <v>0</v>
      </c>
      <c r="K436" s="429">
        <f>ROUND('SEF-36 pg 1-33, 37'!DU$22-K413,0)+K415</f>
        <v>0</v>
      </c>
      <c r="L436" s="429">
        <f>ROUND('SEF-36 pg 1-33, 37'!EM$21-L413,0)+L415</f>
        <v>0</v>
      </c>
      <c r="M436" s="429">
        <f>ROUND('SEF-36 pg 1-33, 37'!FE$27-M413,0)+M415</f>
        <v>0</v>
      </c>
      <c r="N436" s="429">
        <f>ROUND('SEF-36 pg 1-33, 37'!FW$23-N413,0)+N415</f>
        <v>0</v>
      </c>
      <c r="O436" s="429">
        <f>ROUND('SEF-36 pg 1-33, 37'!GO$32-O413,0)+O415</f>
        <v>0</v>
      </c>
      <c r="P436" s="429">
        <f>ROUND('SEF-36 pg 1-33, 37'!HG$36-P413,0)+P415</f>
        <v>0</v>
      </c>
      <c r="Q436" s="429">
        <f>ROUND('SEF-36 pg 1-33, 37'!HY$18-Q413,0)+Q415</f>
        <v>0</v>
      </c>
      <c r="R436" s="429">
        <f>ROUND('SEF-36 pg 1-33, 37'!IQ$21-R413,0)+R415</f>
        <v>0</v>
      </c>
      <c r="S436" s="429">
        <f>ROUND('SEF-36 pg 1-33, 37'!JI$22-S413,0)+S415</f>
        <v>0</v>
      </c>
      <c r="T436" s="429">
        <f>ROUND('SEF-36 pg 1-33, 37'!KA$23-T413,0)+T415</f>
        <v>0</v>
      </c>
      <c r="U436" s="429">
        <f>ROUND('SEF-36 pg 1-33, 37'!KS$20-U413,0)+U415</f>
        <v>0</v>
      </c>
      <c r="V436" s="429">
        <f>ROUND('SEF-36 pg 1-33, 37'!LK$33-V413,0)+V415</f>
        <v>0</v>
      </c>
      <c r="W436" s="429">
        <f>ROUND('SEF-36 pg 1-33, 37'!MC$22-W415,0)+W413</f>
        <v>0</v>
      </c>
      <c r="X436" s="429">
        <f>ROUND('SEF-36 pg 1-33, 37'!MU$31-X413,0)+ROUND('SEF-36 pg 1-33, 37'!MU$36-X415,0)</f>
        <v>0</v>
      </c>
      <c r="Y436" s="429">
        <f>ROUND('SEF-36 pg 1-33, 37'!NM$22-Y413,0)+Y415</f>
        <v>0</v>
      </c>
      <c r="Z436" s="429">
        <f>ROUND('SEF-36 pg 1-33, 37'!OE$31-Z413,0)+Z415</f>
        <v>0</v>
      </c>
      <c r="AA436" s="429">
        <f>ROUND('SEF-36 pg 1-33, 37'!OW$40-AA413,0)+ROUND('SEF-36 pg 1-33, 37'!OW$29-AA415,0)</f>
        <v>0</v>
      </c>
      <c r="AB436" s="429">
        <f>ROUND('SEF-36 pg 1-33, 37'!PO$46-AB413,0)+ROUND('SEF-36 pg 1-33, 37'!PO$35-AB415,0)</f>
        <v>0</v>
      </c>
      <c r="AC436" s="429" t="e">
        <f>ROUND('SEF-36 pg 1-33, 37'!#REF!-AC413,0)+AC415</f>
        <v>#REF!</v>
      </c>
      <c r="AD436" s="429">
        <f>ROUND('SEF-36 pg 1-33, 37'!QZ19-AD415,0)</f>
        <v>0</v>
      </c>
      <c r="AE436" s="429">
        <f>ROUND('SEF-36 pg 1-33, 37'!TB$26-AE413,0)+ROUND('SEF-36 pg 1-33, 37'!TB$31-AE415,0)</f>
        <v>0</v>
      </c>
      <c r="AF436" s="429">
        <f>ROUND('SEF-36 pg 1-33, 37'!TB$44-AF413,0)+ROUND('SEF-36 pg 1-33, 37'!TB$49-AF415,0)</f>
        <v>0</v>
      </c>
      <c r="AG436" s="429">
        <f>ROUND('SEF-36 pg 1-33, 37'!TB$62-AG413,0)+ROUND('SEF-36 pg 1-33, 37'!TB$67-AG415,0)</f>
        <v>0</v>
      </c>
      <c r="AH436" s="429">
        <f>ROUND('SEF-36 pg 1-33, 37'!TB$80-AH413,0)+ROUND('SEF-36 pg 1-33, 37'!TB$85-AH415,0)</f>
        <v>0</v>
      </c>
      <c r="AI436" s="429">
        <f>ROUND('SEF-36 pg 1-33, 37'!TB$98-AI413,0)+ROUND('SEF-36 pg 1-33, 37'!TB$103-AI415,0)</f>
        <v>0</v>
      </c>
      <c r="AJ436" s="429"/>
      <c r="AK436" s="429"/>
      <c r="AL436" s="429"/>
      <c r="AM436" s="429"/>
      <c r="AN436" s="429"/>
      <c r="AO436" s="429"/>
      <c r="AP436" s="429">
        <f>ROUND('SEF-36 pg 34-36'!BS$44-AP415,0)+ROUND('SEF-36 pg 34-36'!BS$33-AP413,0)</f>
        <v>0</v>
      </c>
      <c r="AQ436" s="429">
        <f>ROUND('SEF-36 pg 34-36'!CK$47-AQ413,0)+ROUND('SEF-36 pg 34-36'!CK$27-AQ415,0)</f>
        <v>0</v>
      </c>
      <c r="AR436" s="429">
        <f>ROUND('SEF-36 pg 34-36'!BS$44-BV33,0)+AR415</f>
        <v>0</v>
      </c>
      <c r="AS436" s="429"/>
      <c r="AT436" s="429"/>
      <c r="AU436" s="429"/>
      <c r="AV436" s="429"/>
      <c r="AW436" s="429"/>
      <c r="AX436" s="429"/>
      <c r="AY436" s="429"/>
      <c r="AZ436" s="429"/>
      <c r="BA436" s="428"/>
      <c r="BB436" s="428"/>
      <c r="BC436" s="82" t="s">
        <v>41</v>
      </c>
      <c r="BE436" s="82"/>
    </row>
    <row r="437" spans="2:57" outlineLevel="1" x14ac:dyDescent="0.25">
      <c r="B437" s="395" t="s">
        <v>155</v>
      </c>
      <c r="C437" s="350"/>
      <c r="D437" s="429">
        <f>'SEF-34 pg 1'!O47-D413</f>
        <v>0</v>
      </c>
      <c r="BB437" s="429">
        <f>'SEF-34 pg 1'!Q47-BB413</f>
        <v>0</v>
      </c>
      <c r="BC437" s="82" t="s">
        <v>41</v>
      </c>
      <c r="BE437" s="82"/>
    </row>
    <row r="438" spans="2:57" outlineLevel="1" x14ac:dyDescent="0.25">
      <c r="B438" s="395" t="s">
        <v>156</v>
      </c>
      <c r="C438" s="350"/>
      <c r="D438" s="429">
        <f>'SEF-34 pg 1'!O58-D426</f>
        <v>0</v>
      </c>
      <c r="BB438" s="429">
        <f>'SEF-34 pg 1'!Q58-BB426</f>
        <v>0</v>
      </c>
      <c r="BC438" s="82" t="s">
        <v>41</v>
      </c>
      <c r="BE438" s="82"/>
    </row>
    <row r="439" spans="2:57" outlineLevel="1" x14ac:dyDescent="0.25">
      <c r="B439" s="430"/>
      <c r="C439" s="406"/>
      <c r="D439" s="431"/>
      <c r="BB439" s="431"/>
      <c r="BC439" s="82" t="s">
        <v>41</v>
      </c>
      <c r="BE439" s="82"/>
    </row>
    <row r="440" spans="2:57" outlineLevel="1" x14ac:dyDescent="0.25">
      <c r="B440" s="430"/>
      <c r="C440" s="406"/>
      <c r="D440" s="431"/>
      <c r="BB440" s="431"/>
      <c r="BC440" s="82" t="s">
        <v>41</v>
      </c>
      <c r="BE440" s="82"/>
    </row>
    <row r="441" spans="2:57" x14ac:dyDescent="0.25">
      <c r="B441" s="430"/>
      <c r="C441" s="406"/>
      <c r="D441" s="431"/>
      <c r="BB441" s="431"/>
      <c r="BC441" s="82" t="s">
        <v>41</v>
      </c>
      <c r="BE441" s="82"/>
    </row>
    <row r="442" spans="2:57" x14ac:dyDescent="0.25">
      <c r="B442" s="430"/>
      <c r="C442" s="406"/>
      <c r="D442" s="431"/>
      <c r="BB442" s="431"/>
      <c r="BC442" s="82" t="s">
        <v>41</v>
      </c>
      <c r="BE442" s="82"/>
    </row>
    <row r="443" spans="2:57" customFormat="1" x14ac:dyDescent="0.25"/>
    <row r="444" spans="2:57" customFormat="1" x14ac:dyDescent="0.25"/>
    <row r="445" spans="2:57" customFormat="1" x14ac:dyDescent="0.25"/>
    <row r="446" spans="2:57" customFormat="1" x14ac:dyDescent="0.25"/>
    <row r="447" spans="2:57" customFormat="1" x14ac:dyDescent="0.25"/>
    <row r="448" spans="2:57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hidden="1" outlineLevel="1" x14ac:dyDescent="0.25"/>
    <row r="463" customFormat="1" hidden="1" outlineLevel="1" x14ac:dyDescent="0.25"/>
    <row r="464" customFormat="1" hidden="1" outlineLevel="1" x14ac:dyDescent="0.25"/>
    <row r="465" customFormat="1" hidden="1" outlineLevel="1" x14ac:dyDescent="0.25"/>
    <row r="466" customFormat="1" hidden="1" outlineLevel="1" x14ac:dyDescent="0.25"/>
    <row r="467" customFormat="1" hidden="1" outlineLevel="1" x14ac:dyDescent="0.25"/>
    <row r="468" customFormat="1" collapsed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hidden="1" outlineLevel="1" x14ac:dyDescent="0.25"/>
    <row r="485" customFormat="1" hidden="1" outlineLevel="1" x14ac:dyDescent="0.25"/>
    <row r="486" customFormat="1" hidden="1" outlineLevel="1" x14ac:dyDescent="0.25"/>
    <row r="487" customFormat="1" hidden="1" outlineLevel="1" x14ac:dyDescent="0.25"/>
    <row r="488" customFormat="1" hidden="1" outlineLevel="1" x14ac:dyDescent="0.25"/>
    <row r="489" customFormat="1" hidden="1" outlineLevel="1" x14ac:dyDescent="0.25"/>
    <row r="490" customFormat="1" collapsed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hidden="1" outlineLevel="1" x14ac:dyDescent="0.25"/>
    <row r="507" customFormat="1" hidden="1" outlineLevel="1" x14ac:dyDescent="0.25"/>
    <row r="508" customFormat="1" hidden="1" outlineLevel="1" x14ac:dyDescent="0.25"/>
    <row r="509" customFormat="1" hidden="1" outlineLevel="1" x14ac:dyDescent="0.25"/>
    <row r="510" customFormat="1" hidden="1" outlineLevel="1" x14ac:dyDescent="0.25"/>
    <row r="511" customFormat="1" hidden="1" outlineLevel="1" x14ac:dyDescent="0.25"/>
    <row r="512" customFormat="1" collapsed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6" ht="12" customHeight="1" x14ac:dyDescent="0.25"/>
  </sheetData>
  <conditionalFormatting sqref="BA9:BB9 E9 Z75:AC75 Z319:AC319 Z14:AC14 Z197:AC197 Z136:AC136 Z258:AC258 Z380:AC380 AE9:AN9 AP9:AR9 AT9">
    <cfRule type="containsErrors" dxfId="173" priority="202">
      <formula>ISERROR(E9)</formula>
    </cfRule>
  </conditionalFormatting>
  <conditionalFormatting sqref="E70:N70 E375:N375 E436:N436 E131:N131 E192:N192 E253:N253 E314:N314 AE253:AF253 AE192:AF192 AE131:AG131 AE314:AF314 AK192:AL192 AK253:AL253 AK314:AL314 AK131:AL131 AP131:AR131 AP192:AR192 AP314:AR314 P314:AC314 P253:AC253 P192:AC192 P131:AC131 P436:AC436 P375:AC375 P70:AC70 AE70:AR70 AP253:AS253">
    <cfRule type="cellIs" dxfId="172" priority="201" operator="notEqual">
      <formula>0</formula>
    </cfRule>
  </conditionalFormatting>
  <conditionalFormatting sqref="BB73 BB75">
    <cfRule type="cellIs" dxfId="171" priority="200" operator="notEqual">
      <formula>0</formula>
    </cfRule>
  </conditionalFormatting>
  <conditionalFormatting sqref="AU9:AW9 AY9">
    <cfRule type="containsErrors" dxfId="170" priority="199">
      <formula>ISERROR(AU9)</formula>
    </cfRule>
  </conditionalFormatting>
  <conditionalFormatting sqref="D9">
    <cfRule type="containsErrors" dxfId="169" priority="198">
      <formula>ISERROR(D9)</formula>
    </cfRule>
  </conditionalFormatting>
  <conditionalFormatting sqref="AS70:AT70 BA1:BB1 AX1:AY1">
    <cfRule type="cellIs" dxfId="168" priority="197" operator="notEqual">
      <formula>0</formula>
    </cfRule>
  </conditionalFormatting>
  <conditionalFormatting sqref="AZ9">
    <cfRule type="containsErrors" dxfId="167" priority="196">
      <formula>ISERROR(AZ9)</formula>
    </cfRule>
  </conditionalFormatting>
  <conditionalFormatting sqref="AR3:BB3 P3:V3 AC3 AE3:AO3 G4:I4 Z3:AA3">
    <cfRule type="containsText" dxfId="166" priority="195" operator="containsText" text="CHECK NEEDED">
      <formula>NOT(ISERROR(SEARCH("CHECK NEEDED",G3)))</formula>
    </cfRule>
  </conditionalFormatting>
  <conditionalFormatting sqref="AU70">
    <cfRule type="cellIs" dxfId="165" priority="194" operator="notEqual">
      <formula>0</formula>
    </cfRule>
  </conditionalFormatting>
  <conditionalFormatting sqref="AW1">
    <cfRule type="cellIs" dxfId="164" priority="193" operator="notEqual">
      <formula>0</formula>
    </cfRule>
  </conditionalFormatting>
  <conditionalFormatting sqref="AV1">
    <cfRule type="cellIs" dxfId="163" priority="192" operator="notEqual">
      <formula>0</formula>
    </cfRule>
  </conditionalFormatting>
  <conditionalFormatting sqref="AZ1">
    <cfRule type="cellIs" dxfId="162" priority="191" operator="notEqual">
      <formula>0</formula>
    </cfRule>
  </conditionalFormatting>
  <conditionalFormatting sqref="D70">
    <cfRule type="cellIs" dxfId="161" priority="190" operator="notEqual">
      <formula>0</formula>
    </cfRule>
  </conditionalFormatting>
  <conditionalFormatting sqref="BB70">
    <cfRule type="cellIs" dxfId="160" priority="189" operator="notEqual">
      <formula>0</formula>
    </cfRule>
  </conditionalFormatting>
  <conditionalFormatting sqref="D70 AV70:AZ70 BA436:BB436 BA375:BB375 BB70">
    <cfRule type="cellIs" dxfId="159" priority="188" operator="notEqual">
      <formula>0</formula>
    </cfRule>
  </conditionalFormatting>
  <conditionalFormatting sqref="AX9">
    <cfRule type="containsErrors" dxfId="158" priority="187">
      <formula>ISERROR(AX9)</formula>
    </cfRule>
  </conditionalFormatting>
  <conditionalFormatting sqref="E75:N75 AI75:AW75 AY75:AZ75 P75:X75">
    <cfRule type="containsErrors" dxfId="157" priority="186">
      <formula>ISERROR(E75)</formula>
    </cfRule>
  </conditionalFormatting>
  <conditionalFormatting sqref="Y75">
    <cfRule type="containsErrors" dxfId="156" priority="185">
      <formula>ISERROR(Y75)</formula>
    </cfRule>
  </conditionalFormatting>
  <conditionalFormatting sqref="AG75:AH75">
    <cfRule type="containsErrors" dxfId="155" priority="184">
      <formula>ISERROR(AG75)</formula>
    </cfRule>
  </conditionalFormatting>
  <conditionalFormatting sqref="AE75:AF75">
    <cfRule type="containsErrors" dxfId="154" priority="183">
      <formula>ISERROR(AE75)</formula>
    </cfRule>
  </conditionalFormatting>
  <conditionalFormatting sqref="AX75">
    <cfRule type="containsErrors" dxfId="153" priority="182">
      <formula>ISERROR(AX75)</formula>
    </cfRule>
  </conditionalFormatting>
  <conditionalFormatting sqref="AG14:AH14">
    <cfRule type="containsErrors" dxfId="152" priority="173">
      <formula>ISERROR(AG14)</formula>
    </cfRule>
  </conditionalFormatting>
  <conditionalFormatting sqref="AE14:AF14">
    <cfRule type="containsErrors" dxfId="151" priority="172">
      <formula>ISERROR(AE14)</formula>
    </cfRule>
  </conditionalFormatting>
  <conditionalFormatting sqref="AX14">
    <cfRule type="containsErrors" dxfId="150" priority="171">
      <formula>ISERROR(AX14)</formula>
    </cfRule>
  </conditionalFormatting>
  <conditionalFormatting sqref="D198">
    <cfRule type="cellIs" dxfId="149" priority="181" operator="notEqual">
      <formula>0</formula>
    </cfRule>
  </conditionalFormatting>
  <conditionalFormatting sqref="BB198">
    <cfRule type="cellIs" dxfId="148" priority="180" operator="notEqual">
      <formula>0</formula>
    </cfRule>
  </conditionalFormatting>
  <conditionalFormatting sqref="AG136">
    <cfRule type="containsErrors" dxfId="147" priority="161">
      <formula>ISERROR(AG136)</formula>
    </cfRule>
  </conditionalFormatting>
  <conditionalFormatting sqref="AE136:AF136">
    <cfRule type="containsErrors" dxfId="146" priority="160">
      <formula>ISERROR(AE136)</formula>
    </cfRule>
  </conditionalFormatting>
  <conditionalFormatting sqref="AX136">
    <cfRule type="containsErrors" dxfId="145" priority="159">
      <formula>ISERROR(AX136)</formula>
    </cfRule>
  </conditionalFormatting>
  <conditionalFormatting sqref="BB320">
    <cfRule type="cellIs" dxfId="144" priority="150" operator="notEqual">
      <formula>0</formula>
    </cfRule>
  </conditionalFormatting>
  <conditionalFormatting sqref="BB319">
    <cfRule type="cellIs" dxfId="143" priority="148" operator="notEqual">
      <formula>0</formula>
    </cfRule>
  </conditionalFormatting>
  <conditionalFormatting sqref="E319:N319 AI319:AW319 AY319:AZ319 P319:X319">
    <cfRule type="containsErrors" dxfId="142" priority="147">
      <formula>ISERROR(E319)</formula>
    </cfRule>
  </conditionalFormatting>
  <conditionalFormatting sqref="Y319">
    <cfRule type="containsErrors" dxfId="141" priority="146">
      <formula>ISERROR(Y319)</formula>
    </cfRule>
  </conditionalFormatting>
  <conditionalFormatting sqref="AG319:AH319">
    <cfRule type="containsErrors" dxfId="140" priority="145">
      <formula>ISERROR(AG319)</formula>
    </cfRule>
  </conditionalFormatting>
  <conditionalFormatting sqref="AE319:AF319">
    <cfRule type="containsErrors" dxfId="139" priority="144">
      <formula>ISERROR(AE319)</formula>
    </cfRule>
  </conditionalFormatting>
  <conditionalFormatting sqref="AX319">
    <cfRule type="containsErrors" dxfId="138" priority="143">
      <formula>ISERROR(AX319)</formula>
    </cfRule>
  </conditionalFormatting>
  <conditionalFormatting sqref="D259">
    <cfRule type="cellIs" dxfId="137" priority="179" operator="notEqual">
      <formula>0</formula>
    </cfRule>
  </conditionalFormatting>
  <conditionalFormatting sqref="BB259">
    <cfRule type="cellIs" dxfId="136" priority="178" operator="notEqual">
      <formula>0</formula>
    </cfRule>
  </conditionalFormatting>
  <conditionalFormatting sqref="D14">
    <cfRule type="cellIs" dxfId="135" priority="177" operator="notEqual">
      <formula>0</formula>
    </cfRule>
  </conditionalFormatting>
  <conditionalFormatting sqref="BB14">
    <cfRule type="cellIs" dxfId="134" priority="176" operator="notEqual">
      <formula>0</formula>
    </cfRule>
  </conditionalFormatting>
  <conditionalFormatting sqref="E14:N14 AI14:AW14 AY14:AZ14 P14:X14">
    <cfRule type="containsErrors" dxfId="133" priority="175">
      <formula>ISERROR(E14)</formula>
    </cfRule>
  </conditionalFormatting>
  <conditionalFormatting sqref="Y14">
    <cfRule type="containsErrors" dxfId="132" priority="174">
      <formula>ISERROR(Y14)</formula>
    </cfRule>
  </conditionalFormatting>
  <conditionalFormatting sqref="BB256">
    <cfRule type="cellIs" dxfId="131" priority="123" operator="notEqual">
      <formula>0</formula>
    </cfRule>
  </conditionalFormatting>
  <conditionalFormatting sqref="BB197">
    <cfRule type="cellIs" dxfId="130" priority="170" operator="notEqual">
      <formula>0</formula>
    </cfRule>
  </conditionalFormatting>
  <conditionalFormatting sqref="E197:N197 AK197:AW197 AY197:AZ197 P197:X197">
    <cfRule type="containsErrors" dxfId="129" priority="169">
      <formula>ISERROR(E197)</formula>
    </cfRule>
  </conditionalFormatting>
  <conditionalFormatting sqref="Y197">
    <cfRule type="containsErrors" dxfId="128" priority="168">
      <formula>ISERROR(Y197)</formula>
    </cfRule>
  </conditionalFormatting>
  <conditionalFormatting sqref="AG197">
    <cfRule type="containsErrors" dxfId="127" priority="167">
      <formula>ISERROR(AG197)</formula>
    </cfRule>
  </conditionalFormatting>
  <conditionalFormatting sqref="AE197:AF197">
    <cfRule type="containsErrors" dxfId="126" priority="166">
      <formula>ISERROR(AE197)</formula>
    </cfRule>
  </conditionalFormatting>
  <conditionalFormatting sqref="AX197">
    <cfRule type="containsErrors" dxfId="125" priority="165">
      <formula>ISERROR(AX197)</formula>
    </cfRule>
  </conditionalFormatting>
  <conditionalFormatting sqref="D136">
    <cfRule type="cellIs" dxfId="124" priority="164" operator="notEqual">
      <formula>0</formula>
    </cfRule>
  </conditionalFormatting>
  <conditionalFormatting sqref="E136:N136 AK136:AW136 AY136:AZ136 P136:X136">
    <cfRule type="containsErrors" dxfId="123" priority="163">
      <formula>ISERROR(E136)</formula>
    </cfRule>
  </conditionalFormatting>
  <conditionalFormatting sqref="Y136">
    <cfRule type="containsErrors" dxfId="122" priority="162">
      <formula>ISERROR(Y136)</formula>
    </cfRule>
  </conditionalFormatting>
  <conditionalFormatting sqref="D258">
    <cfRule type="cellIs" dxfId="121" priority="158" operator="notEqual">
      <formula>0</formula>
    </cfRule>
  </conditionalFormatting>
  <conditionalFormatting sqref="BB258">
    <cfRule type="cellIs" dxfId="120" priority="157" operator="notEqual">
      <formula>0</formula>
    </cfRule>
  </conditionalFormatting>
  <conditionalFormatting sqref="E258:N258 AK258:AW258 AY258:AZ258 P258:X258">
    <cfRule type="containsErrors" dxfId="119" priority="156">
      <formula>ISERROR(E258)</formula>
    </cfRule>
  </conditionalFormatting>
  <conditionalFormatting sqref="Y258">
    <cfRule type="containsErrors" dxfId="118" priority="155">
      <formula>ISERROR(Y258)</formula>
    </cfRule>
  </conditionalFormatting>
  <conditionalFormatting sqref="AG258">
    <cfRule type="containsErrors" dxfId="117" priority="154">
      <formula>ISERROR(AG258)</formula>
    </cfRule>
  </conditionalFormatting>
  <conditionalFormatting sqref="AE258:AF258">
    <cfRule type="containsErrors" dxfId="116" priority="153">
      <formula>ISERROR(AE258)</formula>
    </cfRule>
  </conditionalFormatting>
  <conditionalFormatting sqref="AX258">
    <cfRule type="containsErrors" dxfId="115" priority="152">
      <formula>ISERROR(AX258)</formula>
    </cfRule>
  </conditionalFormatting>
  <conditionalFormatting sqref="D320">
    <cfRule type="cellIs" dxfId="114" priority="151" operator="notEqual">
      <formula>0</formula>
    </cfRule>
  </conditionalFormatting>
  <conditionalFormatting sqref="D319">
    <cfRule type="cellIs" dxfId="113" priority="149" operator="notEqual">
      <formula>0</formula>
    </cfRule>
  </conditionalFormatting>
  <conditionalFormatting sqref="D439:D442">
    <cfRule type="cellIs" dxfId="112" priority="142" operator="notEqual">
      <formula>0</formula>
    </cfRule>
  </conditionalFormatting>
  <conditionalFormatting sqref="BB439:BB442">
    <cfRule type="cellIs" dxfId="111" priority="137" operator="notEqual">
      <formula>0</formula>
    </cfRule>
  </conditionalFormatting>
  <conditionalFormatting sqref="D381">
    <cfRule type="cellIs" dxfId="110" priority="140" operator="notEqual">
      <formula>0</formula>
    </cfRule>
  </conditionalFormatting>
  <conditionalFormatting sqref="D439:D442">
    <cfRule type="cellIs" dxfId="109" priority="141" operator="notEqual">
      <formula>0</formula>
    </cfRule>
  </conditionalFormatting>
  <conditionalFormatting sqref="D439:D442">
    <cfRule type="cellIs" dxfId="108" priority="139" operator="notEqual">
      <formula>0</formula>
    </cfRule>
  </conditionalFormatting>
  <conditionalFormatting sqref="BB381">
    <cfRule type="cellIs" dxfId="107" priority="138" operator="notEqual">
      <formula>0</formula>
    </cfRule>
  </conditionalFormatting>
  <conditionalFormatting sqref="D380">
    <cfRule type="cellIs" dxfId="106" priority="136" operator="notEqual">
      <formula>0</formula>
    </cfRule>
  </conditionalFormatting>
  <conditionalFormatting sqref="BB380">
    <cfRule type="cellIs" dxfId="105" priority="135" operator="notEqual">
      <formula>0</formula>
    </cfRule>
  </conditionalFormatting>
  <conditionalFormatting sqref="E380:N380 AI380:AW380 AY380:AZ380 P380:X380">
    <cfRule type="containsErrors" dxfId="104" priority="134">
      <formula>ISERROR(E380)</formula>
    </cfRule>
  </conditionalFormatting>
  <conditionalFormatting sqref="Y380">
    <cfRule type="containsErrors" dxfId="103" priority="133">
      <formula>ISERROR(Y380)</formula>
    </cfRule>
  </conditionalFormatting>
  <conditionalFormatting sqref="AG380:AH380">
    <cfRule type="containsErrors" dxfId="102" priority="132">
      <formula>ISERROR(AG380)</formula>
    </cfRule>
  </conditionalFormatting>
  <conditionalFormatting sqref="AE380:AF380">
    <cfRule type="containsErrors" dxfId="101" priority="131">
      <formula>ISERROR(AE380)</formula>
    </cfRule>
  </conditionalFormatting>
  <conditionalFormatting sqref="AX380">
    <cfRule type="containsErrors" dxfId="100" priority="130">
      <formula>ISERROR(AX380)</formula>
    </cfRule>
  </conditionalFormatting>
  <conditionalFormatting sqref="D317">
    <cfRule type="cellIs" dxfId="99" priority="128" operator="notEqual">
      <formula>0</formula>
    </cfRule>
  </conditionalFormatting>
  <conditionalFormatting sqref="BB195">
    <cfRule type="cellIs" dxfId="98" priority="129" operator="notEqual">
      <formula>0</formula>
    </cfRule>
  </conditionalFormatting>
  <conditionalFormatting sqref="BB317">
    <cfRule type="cellIs" dxfId="97" priority="127" operator="notEqual">
      <formula>0</formula>
    </cfRule>
  </conditionalFormatting>
  <conditionalFormatting sqref="D378">
    <cfRule type="cellIs" dxfId="96" priority="126" operator="notEqual">
      <formula>0</formula>
    </cfRule>
  </conditionalFormatting>
  <conditionalFormatting sqref="BB378">
    <cfRule type="cellIs" dxfId="95" priority="125" operator="notEqual">
      <formula>0</formula>
    </cfRule>
  </conditionalFormatting>
  <conditionalFormatting sqref="D256">
    <cfRule type="cellIs" dxfId="94" priority="124" operator="notEqual">
      <formula>0</formula>
    </cfRule>
  </conditionalFormatting>
  <conditionalFormatting sqref="D436">
    <cfRule type="cellIs" dxfId="93" priority="120" operator="notEqual">
      <formula>0</formula>
    </cfRule>
  </conditionalFormatting>
  <conditionalFormatting sqref="D436">
    <cfRule type="cellIs" dxfId="92" priority="119" operator="notEqual">
      <formula>0</formula>
    </cfRule>
  </conditionalFormatting>
  <conditionalFormatting sqref="D375">
    <cfRule type="cellIs" dxfId="91" priority="122" operator="notEqual">
      <formula>0</formula>
    </cfRule>
  </conditionalFormatting>
  <conditionalFormatting sqref="D375">
    <cfRule type="cellIs" dxfId="90" priority="121" operator="notEqual">
      <formula>0</formula>
    </cfRule>
  </conditionalFormatting>
  <conditionalFormatting sqref="BB71:BB72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9" priority="118" operator="notEqual">
      <formula>0</formula>
    </cfRule>
  </conditionalFormatting>
  <conditionalFormatting sqref="BB437:BB438">
    <cfRule type="cellIs" dxfId="88" priority="114" operator="notEqual">
      <formula>0</formula>
    </cfRule>
  </conditionalFormatting>
  <conditionalFormatting sqref="D376:D377">
    <cfRule type="cellIs" dxfId="87" priority="117" operator="notEqual">
      <formula>0</formula>
    </cfRule>
  </conditionalFormatting>
  <conditionalFormatting sqref="BB376:BB377">
    <cfRule type="cellIs" dxfId="86" priority="116" operator="notEqual">
      <formula>0</formula>
    </cfRule>
  </conditionalFormatting>
  <conditionalFormatting sqref="D437:D438">
    <cfRule type="cellIs" dxfId="85" priority="115" operator="notEqual">
      <formula>0</formula>
    </cfRule>
  </conditionalFormatting>
  <conditionalFormatting sqref="AE375:AQ375">
    <cfRule type="cellIs" dxfId="84" priority="113" operator="notEqual">
      <formula>0</formula>
    </cfRule>
  </conditionalFormatting>
  <conditionalFormatting sqref="AR375">
    <cfRule type="cellIs" dxfId="83" priority="112" operator="notEqual">
      <formula>0</formula>
    </cfRule>
  </conditionalFormatting>
  <conditionalFormatting sqref="AE436:AQ436">
    <cfRule type="cellIs" dxfId="82" priority="111" operator="notEqual">
      <formula>0</formula>
    </cfRule>
  </conditionalFormatting>
  <conditionalFormatting sqref="AR436">
    <cfRule type="cellIs" dxfId="81" priority="110" operator="notEqual">
      <formula>0</formula>
    </cfRule>
  </conditionalFormatting>
  <conditionalFormatting sqref="AD380 AD258 AD136 AD197 AD14 AD319 AD75">
    <cfRule type="containsErrors" dxfId="80" priority="109">
      <formula>ISERROR(AD14)</formula>
    </cfRule>
  </conditionalFormatting>
  <conditionalFormatting sqref="AD436 AD375 AD70">
    <cfRule type="cellIs" dxfId="79" priority="108" operator="notEqual">
      <formula>0</formula>
    </cfRule>
  </conditionalFormatting>
  <conditionalFormatting sqref="AD3">
    <cfRule type="containsText" dxfId="78" priority="107" operator="containsText" text="CHECK NEEDED">
      <formula>NOT(ISERROR(SEARCH("CHECK NEEDED",AD3)))</formula>
    </cfRule>
  </conditionalFormatting>
  <conditionalFormatting sqref="AS375:AZ375">
    <cfRule type="cellIs" dxfId="77" priority="106" operator="notEqual">
      <formula>0</formula>
    </cfRule>
  </conditionalFormatting>
  <conditionalFormatting sqref="AS436:AZ436">
    <cfRule type="cellIs" dxfId="76" priority="105" operator="notEqual">
      <formula>0</formula>
    </cfRule>
  </conditionalFormatting>
  <conditionalFormatting sqref="D71:D72">
    <cfRule type="cellIs" dxfId="75" priority="103" operator="notEqual">
      <formula>0</formula>
    </cfRule>
  </conditionalFormatting>
  <conditionalFormatting sqref="D71:D72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131:AT131">
    <cfRule type="cellIs" dxfId="74" priority="101" operator="notEqual">
      <formula>0</formula>
    </cfRule>
  </conditionalFormatting>
  <conditionalFormatting sqref="AU131">
    <cfRule type="cellIs" dxfId="73" priority="100" operator="notEqual">
      <formula>0</formula>
    </cfRule>
  </conditionalFormatting>
  <conditionalFormatting sqref="BB131">
    <cfRule type="cellIs" dxfId="72" priority="99" operator="notEqual">
      <formula>0</formula>
    </cfRule>
  </conditionalFormatting>
  <conditionalFormatting sqref="AV131:AZ131 BB131">
    <cfRule type="cellIs" dxfId="71" priority="98" operator="notEqual">
      <formula>0</formula>
    </cfRule>
  </conditionalFormatting>
  <conditionalFormatting sqref="BB132:BB133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70" priority="97" operator="notEqual">
      <formula>0</formula>
    </cfRule>
  </conditionalFormatting>
  <conditionalFormatting sqref="AD131">
    <cfRule type="cellIs" dxfId="69" priority="96" operator="notEqual">
      <formula>0</formula>
    </cfRule>
  </conditionalFormatting>
  <conditionalFormatting sqref="AS192:AT192">
    <cfRule type="cellIs" dxfId="68" priority="94" operator="notEqual">
      <formula>0</formula>
    </cfRule>
  </conditionalFormatting>
  <conditionalFormatting sqref="AU192">
    <cfRule type="cellIs" dxfId="67" priority="93" operator="notEqual">
      <formula>0</formula>
    </cfRule>
  </conditionalFormatting>
  <conditionalFormatting sqref="D192">
    <cfRule type="cellIs" dxfId="66" priority="92" operator="notEqual">
      <formula>0</formula>
    </cfRule>
  </conditionalFormatting>
  <conditionalFormatting sqref="BB192">
    <cfRule type="cellIs" dxfId="65" priority="91" operator="notEqual">
      <formula>0</formula>
    </cfRule>
  </conditionalFormatting>
  <conditionalFormatting sqref="D192 AV192:BB192">
    <cfRule type="cellIs" dxfId="64" priority="90" operator="notEqual">
      <formula>0</formula>
    </cfRule>
  </conditionalFormatting>
  <conditionalFormatting sqref="BB193:BB194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63" priority="89" operator="notEqual">
      <formula>0</formula>
    </cfRule>
  </conditionalFormatting>
  <conditionalFormatting sqref="AD192">
    <cfRule type="cellIs" dxfId="62" priority="88" operator="notEqual">
      <formula>0</formula>
    </cfRule>
  </conditionalFormatting>
  <conditionalFormatting sqref="D193:D194">
    <cfRule type="cellIs" dxfId="61" priority="86" operator="notEqual">
      <formula>0</formula>
    </cfRule>
  </conditionalFormatting>
  <conditionalFormatting sqref="D193:D194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253:AT253">
    <cfRule type="cellIs" dxfId="60" priority="84" operator="notEqual">
      <formula>0</formula>
    </cfRule>
  </conditionalFormatting>
  <conditionalFormatting sqref="AU253">
    <cfRule type="cellIs" dxfId="59" priority="83" operator="notEqual">
      <formula>0</formula>
    </cfRule>
  </conditionalFormatting>
  <conditionalFormatting sqref="D253">
    <cfRule type="cellIs" dxfId="58" priority="82" operator="notEqual">
      <formula>0</formula>
    </cfRule>
  </conditionalFormatting>
  <conditionalFormatting sqref="BB253">
    <cfRule type="cellIs" dxfId="57" priority="81" operator="notEqual">
      <formula>0</formula>
    </cfRule>
  </conditionalFormatting>
  <conditionalFormatting sqref="D253 AV253:BB253">
    <cfRule type="cellIs" dxfId="56" priority="80" operator="notEqual">
      <formula>0</formula>
    </cfRule>
  </conditionalFormatting>
  <conditionalFormatting sqref="BB254:BB255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55" priority="79" operator="notEqual">
      <formula>0</formula>
    </cfRule>
  </conditionalFormatting>
  <conditionalFormatting sqref="AD253">
    <cfRule type="cellIs" dxfId="54" priority="78" operator="notEqual">
      <formula>0</formula>
    </cfRule>
  </conditionalFormatting>
  <conditionalFormatting sqref="D254:D255">
    <cfRule type="cellIs" dxfId="53" priority="76" operator="notEqual">
      <formula>0</formula>
    </cfRule>
  </conditionalFormatting>
  <conditionalFormatting sqref="D254:D255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314:AT314">
    <cfRule type="cellIs" dxfId="52" priority="74" operator="notEqual">
      <formula>0</formula>
    </cfRule>
  </conditionalFormatting>
  <conditionalFormatting sqref="AU314">
    <cfRule type="cellIs" dxfId="51" priority="73" operator="notEqual">
      <formula>0</formula>
    </cfRule>
  </conditionalFormatting>
  <conditionalFormatting sqref="D314">
    <cfRule type="cellIs" dxfId="50" priority="72" operator="notEqual">
      <formula>0</formula>
    </cfRule>
  </conditionalFormatting>
  <conditionalFormatting sqref="BB314">
    <cfRule type="cellIs" dxfId="49" priority="71" operator="notEqual">
      <formula>0</formula>
    </cfRule>
  </conditionalFormatting>
  <conditionalFormatting sqref="D314 AV314:BB314">
    <cfRule type="cellIs" dxfId="48" priority="70" operator="notEqual">
      <formula>0</formula>
    </cfRule>
  </conditionalFormatting>
  <conditionalFormatting sqref="BB315:BB316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47" priority="69" operator="notEqual">
      <formula>0</formula>
    </cfRule>
  </conditionalFormatting>
  <conditionalFormatting sqref="AD314">
    <cfRule type="cellIs" dxfId="46" priority="68" operator="notEqual">
      <formula>0</formula>
    </cfRule>
  </conditionalFormatting>
  <conditionalFormatting sqref="D315:D316">
    <cfRule type="cellIs" dxfId="45" priority="66" operator="notEqual">
      <formula>0</formula>
    </cfRule>
  </conditionalFormatting>
  <conditionalFormatting sqref="D315:D316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:N9 P9:AC9">
    <cfRule type="containsErrors" dxfId="44" priority="63">
      <formula>ISERROR(F9)</formula>
    </cfRule>
  </conditionalFormatting>
  <conditionalFormatting sqref="AB3">
    <cfRule type="containsText" dxfId="43" priority="64" operator="containsText" text="CHECK NEEDED">
      <formula>NOT(ISERROR(SEARCH("CHECK NEEDED",AB3)))</formula>
    </cfRule>
  </conditionalFormatting>
  <conditionalFormatting sqref="AD9">
    <cfRule type="containsErrors" dxfId="42" priority="62">
      <formula>ISERROR(AD9)</formula>
    </cfRule>
  </conditionalFormatting>
  <conditionalFormatting sqref="E70:N70 P70:AZ70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1:N131 AK131:AL131 AP131:AZ131 P131:AG131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2:N192 AK192:AL192 AP192:BA192 P192:AF192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53:N253 AK253:AL253 P253:AF253 AP253:BA253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4:N314 AK314:AL314 AP314:BA314 P314:AF314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192">
    <cfRule type="cellIs" dxfId="41" priority="60" operator="notEqual">
      <formula>0</formula>
    </cfRule>
  </conditionalFormatting>
  <conditionalFormatting sqref="AG192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253">
    <cfRule type="cellIs" dxfId="40" priority="58" operator="notEqual">
      <formula>0</formula>
    </cfRule>
  </conditionalFormatting>
  <conditionalFormatting sqref="AG253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314">
    <cfRule type="cellIs" dxfId="39" priority="56" operator="notEqual">
      <formula>0</formula>
    </cfRule>
  </conditionalFormatting>
  <conditionalFormatting sqref="AG314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31:AJ131">
    <cfRule type="cellIs" dxfId="38" priority="54" operator="notEqual">
      <formula>0</formula>
    </cfRule>
  </conditionalFormatting>
  <conditionalFormatting sqref="AH136:AJ136">
    <cfRule type="containsErrors" dxfId="37" priority="52">
      <formula>ISERROR(AH136)</formula>
    </cfRule>
  </conditionalFormatting>
  <conditionalFormatting sqref="AH197:AJ197">
    <cfRule type="containsErrors" dxfId="36" priority="53">
      <formula>ISERROR(AH197)</formula>
    </cfRule>
  </conditionalFormatting>
  <conditionalFormatting sqref="AH258:AJ258">
    <cfRule type="containsErrors" dxfId="35" priority="51">
      <formula>ISERROR(AH258)</formula>
    </cfRule>
  </conditionalFormatting>
  <conditionalFormatting sqref="AH131:AJ131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92:AJ192">
    <cfRule type="cellIs" dxfId="34" priority="49" operator="notEqual">
      <formula>0</formula>
    </cfRule>
  </conditionalFormatting>
  <conditionalFormatting sqref="AH192:AJ192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253:AJ253">
    <cfRule type="cellIs" dxfId="33" priority="47" operator="notEqual">
      <formula>0</formula>
    </cfRule>
  </conditionalFormatting>
  <conditionalFormatting sqref="AH253:AJ253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314:AJ314">
    <cfRule type="cellIs" dxfId="32" priority="45" operator="notEqual">
      <formula>0</formula>
    </cfRule>
  </conditionalFormatting>
  <conditionalFormatting sqref="AH314:AJ314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131">
    <cfRule type="cellIs" dxfId="31" priority="43" operator="notEqual">
      <formula>0</formula>
    </cfRule>
  </conditionalFormatting>
  <conditionalFormatting sqref="AN131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192:AN192">
    <cfRule type="cellIs" dxfId="30" priority="41" operator="notEqual">
      <formula>0</formula>
    </cfRule>
  </conditionalFormatting>
  <conditionalFormatting sqref="AM192:AN192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253:AO253">
    <cfRule type="cellIs" dxfId="29" priority="39" operator="notEqual">
      <formula>0</formula>
    </cfRule>
  </conditionalFormatting>
  <conditionalFormatting sqref="AM253:AO253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314:AO314">
    <cfRule type="cellIs" dxfId="28" priority="37" operator="notEqual">
      <formula>0</formula>
    </cfRule>
  </conditionalFormatting>
  <conditionalFormatting sqref="AM314:AO31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4 O253 O192 O131 O436 O375 O70">
    <cfRule type="cellIs" dxfId="27" priority="31" operator="notEqual">
      <formula>0</formula>
    </cfRule>
  </conditionalFormatting>
  <conditionalFormatting sqref="O75">
    <cfRule type="containsErrors" dxfId="26" priority="30">
      <formula>ISERROR(O75)</formula>
    </cfRule>
  </conditionalFormatting>
  <conditionalFormatting sqref="O319">
    <cfRule type="containsErrors" dxfId="25" priority="25">
      <formula>ISERROR(O319)</formula>
    </cfRule>
  </conditionalFormatting>
  <conditionalFormatting sqref="O14">
    <cfRule type="containsErrors" dxfId="24" priority="29">
      <formula>ISERROR(O14)</formula>
    </cfRule>
  </conditionalFormatting>
  <conditionalFormatting sqref="O197">
    <cfRule type="containsErrors" dxfId="23" priority="28">
      <formula>ISERROR(O197)</formula>
    </cfRule>
  </conditionalFormatting>
  <conditionalFormatting sqref="O136">
    <cfRule type="containsErrors" dxfId="22" priority="27">
      <formula>ISERROR(O136)</formula>
    </cfRule>
  </conditionalFormatting>
  <conditionalFormatting sqref="O258">
    <cfRule type="containsErrors" dxfId="21" priority="26">
      <formula>ISERROR(O258)</formula>
    </cfRule>
  </conditionalFormatting>
  <conditionalFormatting sqref="O380">
    <cfRule type="containsErrors" dxfId="20" priority="24">
      <formula>ISERROR(O380)</formula>
    </cfRule>
  </conditionalFormatting>
  <conditionalFormatting sqref="O9">
    <cfRule type="containsErrors" dxfId="19" priority="23">
      <formula>ISERROR(O9)</formula>
    </cfRule>
  </conditionalFormatting>
  <conditionalFormatting sqref="O7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31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9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3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4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9">
    <cfRule type="containsErrors" dxfId="18" priority="22">
      <formula>ISERROR(AO9)</formula>
    </cfRule>
  </conditionalFormatting>
  <conditionalFormatting sqref="AO192">
    <cfRule type="cellIs" dxfId="17" priority="20" operator="notEqual">
      <formula>0</formula>
    </cfRule>
  </conditionalFormatting>
  <conditionalFormatting sqref="AO19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131">
    <cfRule type="cellIs" dxfId="16" priority="18" operator="notEqual">
      <formula>0</formula>
    </cfRule>
  </conditionalFormatting>
  <conditionalFormatting sqref="AM131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131">
    <cfRule type="cellIs" dxfId="15" priority="16" operator="notEqual">
      <formula>0</formula>
    </cfRule>
  </conditionalFormatting>
  <conditionalFormatting sqref="AO131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9">
    <cfRule type="containsErrors" dxfId="14" priority="15">
      <formula>ISERROR(AS9)</formula>
    </cfRule>
  </conditionalFormatting>
  <conditionalFormatting sqref="BB136">
    <cfRule type="cellIs" dxfId="13" priority="14" operator="notEqual">
      <formula>0</formula>
    </cfRule>
  </conditionalFormatting>
  <conditionalFormatting sqref="BA73 BA75">
    <cfRule type="cellIs" dxfId="12" priority="13" operator="notEqual">
      <formula>0</formula>
    </cfRule>
  </conditionalFormatting>
  <conditionalFormatting sqref="BA70">
    <cfRule type="cellIs" dxfId="11" priority="12" operator="notEqual">
      <formula>0</formula>
    </cfRule>
  </conditionalFormatting>
  <conditionalFormatting sqref="BA70">
    <cfRule type="cellIs" dxfId="10" priority="11" operator="notEqual">
      <formula>0</formula>
    </cfRule>
  </conditionalFormatting>
  <conditionalFormatting sqref="BA14">
    <cfRule type="cellIs" dxfId="9" priority="10" operator="notEqual">
      <formula>0</formula>
    </cfRule>
  </conditionalFormatting>
  <conditionalFormatting sqref="BA71:BA7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8" priority="9" operator="notEqual">
      <formula>0</formula>
    </cfRule>
  </conditionalFormatting>
  <conditionalFormatting sqref="BA131">
    <cfRule type="cellIs" dxfId="7" priority="7" operator="notEqual">
      <formula>0</formula>
    </cfRule>
  </conditionalFormatting>
  <conditionalFormatting sqref="BA131">
    <cfRule type="cellIs" dxfId="6" priority="6" operator="notEqual">
      <formula>0</formula>
    </cfRule>
  </conditionalFormatting>
  <conditionalFormatting sqref="BA132:BA13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5" priority="5" operator="notEqual">
      <formula>0</formula>
    </cfRule>
  </conditionalFormatting>
  <conditionalFormatting sqref="BA136">
    <cfRule type="cellIs" dxfId="4" priority="3" operator="notEqual">
      <formula>0</formula>
    </cfRule>
  </conditionalFormatting>
  <conditionalFormatting sqref="BA134">
    <cfRule type="cellIs" dxfId="3" priority="2" operator="notEqual">
      <formula>0</formula>
    </cfRule>
  </conditionalFormatting>
  <conditionalFormatting sqref="BB134">
    <cfRule type="cellIs" dxfId="2" priority="1" operator="notEqual">
      <formula>0</formula>
    </cfRule>
  </conditionalFormatting>
  <pageMargins left="1" right="1.25" top="1" bottom="1" header="0.5" footer="0.5"/>
  <pageSetup scale="10" fitToWidth="0" orientation="landscape" horizontalDpi="300" verticalDpi="300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44296BEEBC83648A45074ADE4018599" ma:contentTypeVersion="16" ma:contentTypeDescription="" ma:contentTypeScope="" ma:versionID="4de26053a15b46baefefaeaf1997b2d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2024-09-18T07:00:00+00:00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240004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5A9A2D6-6C61-4F4B-B8B7-C2B4184142EE}"/>
</file>

<file path=customXml/itemProps2.xml><?xml version="1.0" encoding="utf-8"?>
<ds:datastoreItem xmlns:ds="http://schemas.openxmlformats.org/officeDocument/2006/customXml" ds:itemID="{E382BC77-6F5C-4E80-87A0-754EED916B26}"/>
</file>

<file path=customXml/itemProps3.xml><?xml version="1.0" encoding="utf-8"?>
<ds:datastoreItem xmlns:ds="http://schemas.openxmlformats.org/officeDocument/2006/customXml" ds:itemID="{8AA0E4F9-7731-42FA-8D76-20A371F2D0C4}"/>
</file>

<file path=customXml/itemProps4.xml><?xml version="1.0" encoding="utf-8"?>
<ds:datastoreItem xmlns:ds="http://schemas.openxmlformats.org/officeDocument/2006/customXml" ds:itemID="{45CE1B52-9138-48C5-8E1F-FC633915BF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39</vt:i4>
      </vt:variant>
    </vt:vector>
  </HeadingPairs>
  <TitlesOfParts>
    <vt:vector size="55" baseType="lpstr">
      <vt:lpstr>SEF-29 pg 1-2</vt:lpstr>
      <vt:lpstr>SEF-30 pg 1</vt:lpstr>
      <vt:lpstr>SEF-30 pg 2 - 36 </vt:lpstr>
      <vt:lpstr>SEF-31</vt:lpstr>
      <vt:lpstr>SEF-32 pg 1-34, 46</vt:lpstr>
      <vt:lpstr>SEF-32 pg 35-45</vt:lpstr>
      <vt:lpstr>SEF-33 pg 1-2</vt:lpstr>
      <vt:lpstr>SEF-34 pg 1</vt:lpstr>
      <vt:lpstr>SEF-34 pg 2-36</vt:lpstr>
      <vt:lpstr>SEF-35</vt:lpstr>
      <vt:lpstr>SEF-36 pg 1-33, 37</vt:lpstr>
      <vt:lpstr>SEF-36 pg 34-36</vt:lpstr>
      <vt:lpstr>SEF-37 pg 1</vt:lpstr>
      <vt:lpstr>SEF-37 pg 2</vt:lpstr>
      <vt:lpstr>SEF-37 pg 3</vt:lpstr>
      <vt:lpstr>SEF-37 pg 4</vt:lpstr>
      <vt:lpstr>_AnnualizeRent_E</vt:lpstr>
      <vt:lpstr>_BeforeAfter</vt:lpstr>
      <vt:lpstr>_D_And_O_E</vt:lpstr>
      <vt:lpstr>_DefGain_E</vt:lpstr>
      <vt:lpstr>_EmplInsurance_E</vt:lpstr>
      <vt:lpstr>_EnvRemed_E</vt:lpstr>
      <vt:lpstr>_ExcTax_E</vt:lpstr>
      <vt:lpstr>_FIT_E</vt:lpstr>
      <vt:lpstr>_Incentives_E</vt:lpstr>
      <vt:lpstr>_InjAndDam_E</vt:lpstr>
      <vt:lpstr>_IntOnCustDeposits_E</vt:lpstr>
      <vt:lpstr>_Investment_E</vt:lpstr>
      <vt:lpstr>_PassThru_E</vt:lpstr>
      <vt:lpstr>_Pension_E</vt:lpstr>
      <vt:lpstr>_PropAndLiab_E</vt:lpstr>
      <vt:lpstr>_RateCaseExp_E</vt:lpstr>
      <vt:lpstr>_RevAndExp_E</vt:lpstr>
      <vt:lpstr>_TBOPI_E</vt:lpstr>
      <vt:lpstr>_TempNorm_E</vt:lpstr>
      <vt:lpstr>_UnprotcdFFIT_E</vt:lpstr>
      <vt:lpstr>_WageInc_E</vt:lpstr>
      <vt:lpstr>Before_After</vt:lpstr>
      <vt:lpstr>'SEF-34 pg 2-36'!DETAIL</vt:lpstr>
      <vt:lpstr>DETAIL</vt:lpstr>
      <vt:lpstr>'SEF-34 pg 2-36'!DETAIL2</vt:lpstr>
      <vt:lpstr>DETAIL2</vt:lpstr>
      <vt:lpstr>FF_E</vt:lpstr>
      <vt:lpstr>'SEF-30 pg 1'!Print_Area</vt:lpstr>
      <vt:lpstr>'SEF-30 pg 2 - 36 '!Print_Area</vt:lpstr>
      <vt:lpstr>'SEF-34 pg 2-36'!Print_Area</vt:lpstr>
      <vt:lpstr>'SEF-36 pg 1-33, 37'!Print_Area</vt:lpstr>
      <vt:lpstr>'SEF-36 pg 34-36'!Print_Area</vt:lpstr>
      <vt:lpstr>'SEF-37 pg 1'!Print_Area</vt:lpstr>
      <vt:lpstr>'SEF-37 pg 2'!Print_Area</vt:lpstr>
      <vt:lpstr>'SEF-37 pg 3'!Print_Area</vt:lpstr>
      <vt:lpstr>'SEF-37 pg 4'!Print_Area</vt:lpstr>
      <vt:lpstr>'SEF-30 pg 2 - 36 '!Print_Titles</vt:lpstr>
      <vt:lpstr>'SEF-34 pg 2-36'!Print_Titles</vt:lpstr>
      <vt:lpstr>UTN_E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Kellogg, Anh</dc:creator>
  <cp:lastModifiedBy>Free, Susan</cp:lastModifiedBy>
  <cp:lastPrinted>2024-09-12T20:48:26Z</cp:lastPrinted>
  <dcterms:created xsi:type="dcterms:W3CDTF">2024-09-11T17:35:26Z</dcterms:created>
  <dcterms:modified xsi:type="dcterms:W3CDTF">2024-09-12T21:56:18Z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0x0101006E56B4D1795A2E4DB2F0B01679ED314A00E44296BEEBC83648A45074ADE4018599</vt:lpwstr>
  </property>
  <property fmtid="{D5CDD505-2E9C-101B-9397-08002B2CF9AE}" pid="3" name="_docset_NoMedatataSyncRequired">
    <vt:lpwstr>False</vt:lpwstr>
  </property>
</Properties>
</file>