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ulli\Desktop\PSE - kpm working\240004-05 REBUTTAL working\"/>
    </mc:Choice>
  </mc:AlternateContent>
  <xr:revisionPtr revIDLastSave="0" documentId="13_ncr:1_{431EBF22-9BBD-42AC-BBB1-670E9763B10B}" xr6:coauthVersionLast="47" xr6:coauthVersionMax="47" xr10:uidLastSave="{00000000-0000-0000-0000-000000000000}"/>
  <bookViews>
    <workbookView xWindow="25500" yWindow="390" windowWidth="21600" windowHeight="11265" tabRatio="910" xr2:uid="{00000000-000D-0000-FFFF-FFFF00000000}"/>
  </bookViews>
  <sheets>
    <sheet name="JM-10 Summary" sheetId="5" r:id="rId1"/>
    <sheet name="JM-10 StudyStrategy ACTUALS2023" sheetId="3" r:id="rId2"/>
    <sheet name="JM-10 Pilot 2023 Actuals" sheetId="2" r:id="rId3"/>
    <sheet name="JM-10Study,StrategyFORECAST2024" sheetId="4" r:id="rId4"/>
    <sheet name="JM-10 Pilot 2024 Forecast" sheetId="1" r:id="rId5"/>
  </sheets>
  <definedNames>
    <definedName name="LastCol" localSheetId="3">COUNTA('JM-10Study,StrategyFORECAST2024'!$5:$5)+1</definedName>
    <definedName name="LastCol">COUNTA('JM-10 StudyStrategy ACTUALS2023'!$5:$5)+1</definedName>
    <definedName name="PrintArea_SET" localSheetId="3">OFFSET('JM-10Study,StrategyFORECAST2024'!$C$2,,,MATCH(REPT("z",255),'JM-10Study,StrategyFORECAST2024'!$C:$C),'JM-10Study,StrategyFORECAST2024'!LastCol)</definedName>
    <definedName name="PrintArea_SET">OFFSET('JM-10 StudyStrategy ACTUALS2023'!$C$2,,,MATCH(REPT("z",255),'JM-10 StudyStrategy ACTUALS2023'!$C:$C),LastCol)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P14" i="4" l="1"/>
  <c r="P15" i="4"/>
  <c r="M19" i="4"/>
  <c r="P16" i="4"/>
  <c r="E19" i="4"/>
  <c r="F19" i="4"/>
  <c r="I19" i="4"/>
  <c r="N19" i="4"/>
  <c r="D19" i="4"/>
  <c r="J19" i="4"/>
  <c r="K19" i="4"/>
  <c r="L19" i="4"/>
  <c r="O9" i="4"/>
  <c r="N9" i="4"/>
  <c r="M9" i="4"/>
  <c r="L9" i="4"/>
  <c r="K9" i="4"/>
  <c r="J9" i="4"/>
  <c r="I9" i="4"/>
  <c r="H9" i="4"/>
  <c r="G9" i="4"/>
  <c r="F9" i="4"/>
  <c r="E9" i="4"/>
  <c r="D9" i="4"/>
  <c r="P8" i="4"/>
  <c r="P7" i="4"/>
  <c r="Q2" i="4"/>
  <c r="O19" i="3"/>
  <c r="N19" i="3"/>
  <c r="M19" i="3"/>
  <c r="L19" i="3"/>
  <c r="K19" i="3"/>
  <c r="J19" i="3"/>
  <c r="I19" i="3"/>
  <c r="H19" i="3"/>
  <c r="G19" i="3"/>
  <c r="F19" i="3"/>
  <c r="E19" i="3"/>
  <c r="D19" i="3"/>
  <c r="P18" i="3"/>
  <c r="P17" i="3"/>
  <c r="P16" i="3"/>
  <c r="P15" i="3"/>
  <c r="P14" i="3"/>
  <c r="O9" i="3"/>
  <c r="N9" i="3"/>
  <c r="M9" i="3"/>
  <c r="L9" i="3"/>
  <c r="K9" i="3"/>
  <c r="H9" i="3"/>
  <c r="G9" i="3"/>
  <c r="F9" i="3"/>
  <c r="E9" i="3"/>
  <c r="D9" i="3"/>
  <c r="P8" i="3"/>
  <c r="J7" i="3"/>
  <c r="J9" i="3" s="1"/>
  <c r="I7" i="3"/>
  <c r="I9" i="3" s="1"/>
  <c r="E12" i="5" l="1"/>
  <c r="B12" i="5"/>
  <c r="G19" i="4"/>
  <c r="P18" i="4"/>
  <c r="O19" i="4"/>
  <c r="E13" i="5" s="1"/>
  <c r="H19" i="4"/>
  <c r="B13" i="5" s="1"/>
  <c r="P17" i="4"/>
  <c r="P9" i="4"/>
  <c r="P19" i="3"/>
  <c r="B7" i="5" s="1"/>
  <c r="P7" i="3"/>
  <c r="P9" i="3" s="1"/>
  <c r="E19" i="5" l="1"/>
  <c r="B19" i="5"/>
  <c r="M35" i="3"/>
  <c r="B6" i="5"/>
  <c r="P19" i="4"/>
  <c r="E18" i="5" l="1"/>
  <c r="B18" i="5"/>
  <c r="M27" i="1"/>
  <c r="K27" i="2"/>
  <c r="O11" i="1"/>
  <c r="N3" i="2"/>
  <c r="O3" i="2" s="1"/>
  <c r="M27" i="2" l="1"/>
  <c r="L27" i="2"/>
  <c r="J27" i="2"/>
  <c r="I27" i="2"/>
  <c r="H27" i="2"/>
  <c r="G27" i="2"/>
  <c r="F27" i="2"/>
  <c r="E27" i="2"/>
  <c r="D27" i="2"/>
  <c r="C27" i="2"/>
  <c r="O25" i="2"/>
  <c r="O23" i="2"/>
  <c r="O19" i="2"/>
  <c r="O15" i="2"/>
  <c r="O11" i="2"/>
  <c r="O7" i="2"/>
  <c r="N27" i="2" l="1"/>
  <c r="O27" i="2" s="1"/>
  <c r="B8" i="5" s="1"/>
  <c r="D27" i="1"/>
  <c r="E27" i="1"/>
  <c r="F27" i="1"/>
  <c r="G27" i="1"/>
  <c r="H27" i="1"/>
  <c r="I27" i="1"/>
  <c r="J27" i="1"/>
  <c r="K27" i="1"/>
  <c r="L27" i="1"/>
  <c r="C27" i="1"/>
  <c r="O15" i="1"/>
  <c r="O19" i="1"/>
  <c r="O25" i="1"/>
  <c r="O23" i="1"/>
  <c r="F13" i="1"/>
  <c r="G13" i="1"/>
  <c r="J13" i="1"/>
  <c r="K13" i="1"/>
  <c r="L13" i="1"/>
  <c r="M13" i="1"/>
  <c r="N13" i="1"/>
  <c r="E13" i="1"/>
  <c r="O3" i="1"/>
  <c r="B14" i="5" l="1"/>
  <c r="B10" i="5" s="1"/>
  <c r="B20" i="5"/>
  <c r="B4" i="5"/>
  <c r="N27" i="1"/>
  <c r="E14" i="5" s="1"/>
  <c r="E10" i="5" s="1"/>
  <c r="E16" i="5" l="1"/>
  <c r="B16" i="5"/>
  <c r="E20" i="5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Lacy, Megan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Lacy, Megan:</t>
        </r>
        <r>
          <rPr>
            <sz val="9"/>
            <color indexed="81"/>
            <rFont val="Tahoma"/>
            <charset val="1"/>
          </rPr>
          <t xml:space="preserve">
Includes monthly vendor fee, assessment per unit cost, assessment incentives, and referral incentives.</t>
        </r>
      </text>
    </comment>
    <comment ref="K3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Lacy, Megan:</t>
        </r>
        <r>
          <rPr>
            <sz val="9"/>
            <color indexed="81"/>
            <rFont val="Tahoma"/>
            <charset val="1"/>
          </rPr>
          <t xml:space="preserve">
Includes additional startup fee.</t>
        </r>
      </text>
    </comment>
    <comment ref="L3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Lacy, Megan:</t>
        </r>
        <r>
          <rPr>
            <sz val="9"/>
            <color indexed="81"/>
            <rFont val="Tahoma"/>
            <charset val="1"/>
          </rPr>
          <t xml:space="preserve">
Vendor did not provide invoice in time to be processed in Oct.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Lacy, Megan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Lacy, Megan:</t>
        </r>
        <r>
          <rPr>
            <sz val="9"/>
            <color indexed="81"/>
            <rFont val="Tahoma"/>
            <family val="2"/>
          </rPr>
          <t xml:space="preserve">
January 2024 Actuals listed below in blue.</t>
        </r>
      </text>
    </comment>
    <comment ref="B3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Lacy, Megan:</t>
        </r>
        <r>
          <rPr>
            <sz val="9"/>
            <color indexed="81"/>
            <rFont val="Tahoma"/>
            <charset val="1"/>
          </rPr>
          <t xml:space="preserve">
Includes monthly vendor fee, assessment per unit cost, assessment incentives, and referral incentives.</t>
        </r>
      </text>
    </comment>
    <comment ref="B12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Lacy, Megan:</t>
        </r>
        <r>
          <rPr>
            <sz val="9"/>
            <color indexed="81"/>
            <rFont val="Tahoma"/>
            <charset val="1"/>
          </rPr>
          <t xml:space="preserve">
Estimated based on varying project scopes, to include funding for: heat pump, heat pump water heater, electrical panel upgrades, any work needed to facilitate electrification, and 30% CAP Agency admin cost.</t>
        </r>
      </text>
    </comment>
  </commentList>
</comments>
</file>

<file path=xl/sharedStrings.xml><?xml version="1.0" encoding="utf-8"?>
<sst xmlns="http://schemas.openxmlformats.org/spreadsheetml/2006/main" count="256" uniqueCount="54">
  <si>
    <t>GRC Settlement - Stipulation O: Targeted Electrification Pilot Actuals</t>
  </si>
  <si>
    <t>Pilot Total</t>
  </si>
  <si>
    <t>Home Electrification Assessments</t>
  </si>
  <si>
    <t>Actual Spend</t>
  </si>
  <si>
    <t>Per Unit Cost</t>
  </si>
  <si>
    <t>N/A</t>
  </si>
  <si>
    <t>Number Units</t>
  </si>
  <si>
    <t>Rebates</t>
  </si>
  <si>
    <t>$3000 - $4000</t>
  </si>
  <si>
    <t>Low-Income Upgrade Track</t>
  </si>
  <si>
    <t>Small Business Direct Installs</t>
  </si>
  <si>
    <t>Multi-Family Direct Install</t>
  </si>
  <si>
    <t>Overhead, Admin &amp; Marketing</t>
  </si>
  <si>
    <t>Evaluation</t>
  </si>
  <si>
    <t>Totals</t>
  </si>
  <si>
    <t xml:space="preserve">GRC Settlement - Stipulation O: Monthly Budget Forecast </t>
  </si>
  <si>
    <t>MONTHS</t>
  </si>
  <si>
    <t>YEAR</t>
  </si>
  <si>
    <t>Decarb Study - Invoices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</si>
  <si>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</si>
  <si>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</si>
  <si>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</si>
  <si>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</si>
  <si>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</si>
  <si>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</si>
  <si>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</si>
  <si>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</si>
  <si>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</si>
  <si>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</si>
  <si>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</si>
  <si>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</si>
  <si>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</si>
  <si>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Sparkline</t>
  </si>
  <si>
    <t>E3</t>
  </si>
  <si>
    <t>Cadmus</t>
  </si>
  <si>
    <t>Total</t>
  </si>
  <si>
    <t>Electrfication Strategy - Invoices</t>
  </si>
  <si>
    <t>Insight Gathering Activities</t>
  </si>
  <si>
    <t>Strategy Development</t>
  </si>
  <si>
    <t>Integrated Planning</t>
  </si>
  <si>
    <t xml:space="preserve">Stakeholder Engagement </t>
  </si>
  <si>
    <t>Regulatory Support &amp; Reporting</t>
  </si>
  <si>
    <t>GRC Settlement - Stipulation O: Targeted Electrification Pilot Forecast</t>
  </si>
  <si>
    <t>Forecasted Spend</t>
  </si>
  <si>
    <t>GRC Settlement - Stipulation O: Monthly Budget Actuals</t>
  </si>
  <si>
    <t>Study</t>
  </si>
  <si>
    <t>Strategy</t>
  </si>
  <si>
    <t>Pilot</t>
  </si>
  <si>
    <t>2024 Spend to Date</t>
  </si>
  <si>
    <t>2023 Spend</t>
  </si>
  <si>
    <t>Total Stip O Spend to Date</t>
  </si>
  <si>
    <t>Total Stip O Forecasted Spend</t>
  </si>
  <si>
    <t>Budget Summary</t>
  </si>
  <si>
    <t>2024 Forecasted Remaining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</si>
</sst>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[$-409]mmm\-yy;@"/>
    <numFmt numFmtId="167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 tint="0.1499374370555742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25"/>
      <color rgb="FF000000"/>
      <name val="Gill Sans MT"/>
      <family val="2"/>
    </font>
    <font>
      <sz val="10"/>
      <color theme="0"/>
      <name val="Calibri"/>
      <family val="2"/>
      <scheme val="minor"/>
    </font>
    <font>
      <b/>
      <sz val="10"/>
      <color theme="1" tint="0.14993743705557422"/>
      <name val="Calibri"/>
      <family val="2"/>
      <scheme val="minor"/>
    </font>
    <font>
      <sz val="11"/>
      <color theme="1" tint="0.14993743705557422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b/>
      <sz val="10"/>
      <color theme="1" tint="0.14990691854609822"/>
      <name val="Calibri Light"/>
      <family val="2"/>
      <scheme val="maj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scheme val="minor"/>
    </font>
    <font>
      <sz val="11"/>
      <color theme="1" tint="0.14993743705557422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 tint="0.34998626667073579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b/>
      <sz val="12"/>
      <color theme="4" tint="-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4" tint="-0.499984740745262"/>
      <name val="Calibri Light"/>
      <family val="2"/>
      <scheme val="major"/>
    </font>
    <font>
      <b/>
      <sz val="20"/>
      <color theme="4" tint="-0.499984740745262"/>
      <name val="Calibri"/>
      <family val="2"/>
      <scheme val="minor"/>
    </font>
    <font>
      <b/>
      <sz val="12"/>
      <color theme="4" tint="-0.249977111117893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0" fillId="4" borderId="0">
      <alignment vertical="center"/>
    </xf>
    <xf numFmtId="44" fontId="10" fillId="0" borderId="0" applyFont="0" applyFill="0" applyBorder="0" applyAlignment="0" applyProtection="0"/>
    <xf numFmtId="0" fontId="16" fillId="0" borderId="15" applyNumberFormat="0" applyFill="0" applyProtection="0">
      <alignment vertical="center"/>
    </xf>
    <xf numFmtId="0" fontId="18" fillId="8" borderId="0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0" fillId="0" borderId="12" xfId="0" applyBorder="1"/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165" fontId="0" fillId="0" borderId="0" xfId="0" applyNumberFormat="1"/>
    <xf numFmtId="165" fontId="7" fillId="0" borderId="7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7" fontId="9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11" fillId="4" borderId="0" xfId="2" applyFont="1" applyAlignment="1">
      <alignment wrapText="1"/>
    </xf>
    <xf numFmtId="0" fontId="10" fillId="4" borderId="0" xfId="2">
      <alignment vertical="center"/>
    </xf>
    <xf numFmtId="0" fontId="10" fillId="4" borderId="0" xfId="2" applyAlignment="1">
      <alignment horizontal="right" vertical="center"/>
    </xf>
    <xf numFmtId="0" fontId="12" fillId="4" borderId="0" xfId="2" applyFont="1" applyAlignment="1">
      <alignment vertical="center" wrapText="1"/>
    </xf>
    <xf numFmtId="0" fontId="14" fillId="4" borderId="14" xfId="2" applyFont="1" applyBorder="1">
      <alignment vertical="center"/>
    </xf>
    <xf numFmtId="0" fontId="10" fillId="5" borderId="0" xfId="2" applyFill="1">
      <alignment vertical="center"/>
    </xf>
    <xf numFmtId="0" fontId="15" fillId="4" borderId="0" xfId="2" applyFont="1">
      <alignment vertical="center"/>
    </xf>
    <xf numFmtId="44" fontId="15" fillId="4" borderId="0" xfId="3" applyFont="1" applyFill="1" applyAlignment="1">
      <alignment horizontal="center" vertical="center"/>
    </xf>
    <xf numFmtId="0" fontId="10" fillId="6" borderId="0" xfId="2" applyFill="1">
      <alignment vertical="center"/>
    </xf>
    <xf numFmtId="0" fontId="10" fillId="6" borderId="0" xfId="2" applyFill="1" applyAlignment="1">
      <alignment horizontal="right" vertical="center"/>
    </xf>
    <xf numFmtId="0" fontId="10" fillId="7" borderId="0" xfId="2" applyFill="1">
      <alignment vertical="center"/>
    </xf>
    <xf numFmtId="0" fontId="17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horizontal="right" vertical="center"/>
    </xf>
    <xf numFmtId="0" fontId="10" fillId="4" borderId="0" xfId="2" applyAlignment="1">
      <alignment horizontal="center" vertical="center"/>
    </xf>
    <xf numFmtId="0" fontId="14" fillId="9" borderId="0" xfId="2" applyFont="1" applyFill="1">
      <alignment vertical="center"/>
    </xf>
    <xf numFmtId="167" fontId="19" fillId="0" borderId="0" xfId="2" applyNumberFormat="1" applyFont="1" applyFill="1" applyAlignment="1">
      <alignment horizontal="right" vertical="center"/>
    </xf>
    <xf numFmtId="167" fontId="19" fillId="3" borderId="0" xfId="2" applyNumberFormat="1" applyFont="1" applyFill="1" applyAlignment="1">
      <alignment horizontal="right" vertical="center"/>
    </xf>
    <xf numFmtId="0" fontId="19" fillId="3" borderId="17" xfId="2" applyFont="1" applyFill="1" applyBorder="1" applyAlignment="1">
      <alignment horizontal="right" vertical="center"/>
    </xf>
    <xf numFmtId="0" fontId="10" fillId="0" borderId="0" xfId="2" applyFill="1">
      <alignment vertical="center"/>
    </xf>
    <xf numFmtId="0" fontId="19" fillId="3" borderId="0" xfId="2" applyFont="1" applyFill="1" applyAlignment="1">
      <alignment horizontal="left" vertical="center" indent="1"/>
    </xf>
    <xf numFmtId="0" fontId="19" fillId="3" borderId="0" xfId="2" applyFont="1" applyFill="1" applyAlignment="1">
      <alignment horizontal="right" vertical="center"/>
    </xf>
    <xf numFmtId="44" fontId="0" fillId="4" borderId="0" xfId="3" applyFont="1" applyFill="1" applyAlignment="1">
      <alignment vertical="center"/>
    </xf>
    <xf numFmtId="43" fontId="0" fillId="4" borderId="0" xfId="6" applyFont="1" applyFill="1" applyAlignment="1">
      <alignment horizontal="right" vertical="center"/>
    </xf>
    <xf numFmtId="44" fontId="0" fillId="4" borderId="0" xfId="3" applyFont="1" applyFill="1" applyAlignment="1">
      <alignment horizontal="right" vertical="center"/>
    </xf>
    <xf numFmtId="6" fontId="21" fillId="4" borderId="0" xfId="2" applyNumberFormat="1" applyFont="1">
      <alignment vertical="center"/>
    </xf>
    <xf numFmtId="6" fontId="10" fillId="4" borderId="0" xfId="2" applyNumberFormat="1" applyAlignment="1">
      <alignment horizontal="right" vertical="center"/>
    </xf>
    <xf numFmtId="0" fontId="13" fillId="5" borderId="0" xfId="2" applyFont="1" applyFill="1" applyAlignment="1">
      <alignment horizontal="center"/>
    </xf>
    <xf numFmtId="0" fontId="22" fillId="4" borderId="0" xfId="2" applyFont="1" applyAlignment="1">
      <alignment horizontal="center"/>
    </xf>
    <xf numFmtId="44" fontId="22" fillId="4" borderId="0" xfId="3" applyFont="1" applyFill="1" applyBorder="1" applyAlignment="1">
      <alignment horizontal="center"/>
    </xf>
    <xf numFmtId="0" fontId="13" fillId="4" borderId="0" xfId="2" applyFont="1" applyAlignment="1">
      <alignment horizontal="center"/>
    </xf>
    <xf numFmtId="0" fontId="14" fillId="4" borderId="0" xfId="2" applyFont="1">
      <alignment vertical="center"/>
    </xf>
    <xf numFmtId="0" fontId="10" fillId="11" borderId="0" xfId="2" applyFill="1">
      <alignment vertical="center"/>
    </xf>
    <xf numFmtId="0" fontId="23" fillId="0" borderId="0" xfId="4" applyFont="1" applyFill="1" applyBorder="1" applyAlignment="1">
      <alignment horizontal="left" vertical="center" indent="1"/>
    </xf>
    <xf numFmtId="166" fontId="24" fillId="0" borderId="0" xfId="4" applyNumberFormat="1" applyFont="1" applyFill="1" applyBorder="1" applyAlignment="1">
      <alignment horizontal="right" vertical="center"/>
    </xf>
    <xf numFmtId="0" fontId="24" fillId="0" borderId="0" xfId="4" applyFont="1" applyFill="1" applyBorder="1" applyAlignment="1">
      <alignment horizontal="right" vertical="center"/>
    </xf>
    <xf numFmtId="0" fontId="25" fillId="0" borderId="0" xfId="2" applyFont="1" applyFill="1" applyAlignment="1">
      <alignment horizontal="left" vertical="center" indent="1"/>
    </xf>
    <xf numFmtId="167" fontId="26" fillId="0" borderId="0" xfId="2" applyNumberFormat="1" applyFont="1" applyFill="1" applyAlignment="1">
      <alignment horizontal="right" vertical="center"/>
    </xf>
    <xf numFmtId="0" fontId="25" fillId="3" borderId="16" xfId="2" applyFont="1" applyFill="1" applyBorder="1" applyAlignment="1">
      <alignment horizontal="left" vertical="center" indent="1"/>
    </xf>
    <xf numFmtId="167" fontId="26" fillId="3" borderId="17" xfId="2" applyNumberFormat="1" applyFont="1" applyFill="1" applyBorder="1" applyAlignment="1">
      <alignment horizontal="right" vertical="center"/>
    </xf>
    <xf numFmtId="0" fontId="27" fillId="0" borderId="0" xfId="5" applyFont="1" applyFill="1">
      <alignment horizontal="left" vertical="center" indent="1"/>
    </xf>
    <xf numFmtId="0" fontId="28" fillId="10" borderId="14" xfId="2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167" fontId="30" fillId="0" borderId="0" xfId="0" applyNumberFormat="1" applyFont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44" fontId="0" fillId="0" borderId="0" xfId="1" applyFont="1"/>
    <xf numFmtId="44" fontId="0" fillId="0" borderId="0" xfId="0" applyNumberFormat="1"/>
    <xf numFmtId="167" fontId="0" fillId="0" borderId="0" xfId="0" applyNumberFormat="1"/>
    <xf numFmtId="43" fontId="10" fillId="4" borderId="0" xfId="7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4" fontId="0" fillId="0" borderId="0" xfId="1" applyFont="1" applyBorder="1"/>
    <xf numFmtId="0" fontId="0" fillId="0" borderId="2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12" borderId="1" xfId="0" applyFill="1" applyBorder="1"/>
    <xf numFmtId="44" fontId="0" fillId="12" borderId="0" xfId="1" applyFont="1" applyFill="1" applyBorder="1"/>
    <xf numFmtId="0" fontId="0" fillId="0" borderId="1" xfId="0" applyBorder="1" applyAlignment="1">
      <alignment horizontal="right"/>
    </xf>
    <xf numFmtId="0" fontId="0" fillId="12" borderId="0" xfId="0" applyFill="1" applyBorder="1"/>
    <xf numFmtId="44" fontId="0" fillId="12" borderId="2" xfId="1" applyFont="1" applyFill="1" applyBorder="1"/>
    <xf numFmtId="44" fontId="0" fillId="0" borderId="2" xfId="1" applyFont="1" applyBorder="1"/>
    <xf numFmtId="44" fontId="0" fillId="0" borderId="2" xfId="0" applyNumberFormat="1" applyBorder="1"/>
    <xf numFmtId="44" fontId="0" fillId="0" borderId="21" xfId="1" applyFont="1" applyBorder="1"/>
    <xf numFmtId="44" fontId="0" fillId="0" borderId="23" xfId="1" applyFont="1" applyBorder="1"/>
    <xf numFmtId="0" fontId="0" fillId="0" borderId="26" xfId="0" applyBorder="1" applyAlignment="1">
      <alignment horizontal="right"/>
    </xf>
    <xf numFmtId="44" fontId="0" fillId="0" borderId="27" xfId="1" applyFont="1" applyBorder="1"/>
    <xf numFmtId="0" fontId="0" fillId="12" borderId="2" xfId="0" applyFill="1" applyBorder="1"/>
    <xf numFmtId="0" fontId="31" fillId="0" borderId="25" xfId="0" applyFont="1" applyBorder="1" applyAlignment="1">
      <alignment horizontal="right"/>
    </xf>
    <xf numFmtId="44" fontId="31" fillId="0" borderId="19" xfId="1" applyFont="1" applyBorder="1"/>
    <xf numFmtId="44" fontId="31" fillId="0" borderId="19" xfId="0" applyNumberFormat="1" applyFont="1" applyBorder="1"/>
    <xf numFmtId="0" fontId="31" fillId="0" borderId="18" xfId="0" applyFont="1" applyBorder="1" applyAlignment="1">
      <alignment horizontal="right"/>
    </xf>
    <xf numFmtId="44" fontId="31" fillId="0" borderId="24" xfId="1" applyFont="1" applyBorder="1"/>
    <xf numFmtId="0" fontId="31" fillId="13" borderId="18" xfId="0" applyFont="1" applyFill="1" applyBorder="1" applyAlignment="1">
      <alignment horizontal="right"/>
    </xf>
    <xf numFmtId="44" fontId="31" fillId="13" borderId="24" xfId="0" applyNumberFormat="1" applyFont="1" applyFill="1" applyBorder="1"/>
    <xf numFmtId="0" fontId="0" fillId="2" borderId="1" xfId="0" applyFill="1" applyBorder="1"/>
    <xf numFmtId="44" fontId="0" fillId="2" borderId="21" xfId="1" applyFont="1" applyFill="1" applyBorder="1"/>
    <xf numFmtId="44" fontId="31" fillId="12" borderId="0" xfId="1" applyFont="1" applyFill="1" applyBorder="1"/>
    <xf numFmtId="44" fontId="31" fillId="12" borderId="0" xfId="0" applyNumberFormat="1" applyFont="1" applyFill="1" applyBorder="1"/>
    <xf numFmtId="0" fontId="0" fillId="2" borderId="20" xfId="0" applyFill="1" applyBorder="1"/>
    <xf numFmtId="44" fontId="0" fillId="2" borderId="2" xfId="1" applyFont="1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12" borderId="7" xfId="0" applyFill="1" applyBorder="1"/>
    <xf numFmtId="0" fontId="32" fillId="0" borderId="12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3" fillId="4" borderId="13" xfId="2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</cellXfs>
  <cellStyles count="8">
    <cellStyle name="Comma" xfId="7" builtinId="3"/>
    <cellStyle name="Comma 2" xfId="6" xr:uid="{00000000-0005-0000-0000-000001000000}"/>
    <cellStyle name="Currency" xfId="1" builtinId="4"/>
    <cellStyle name="Currency 2" xfId="3" xr:uid="{00000000-0005-0000-0000-000003000000}"/>
    <cellStyle name="Heading 2 2" xfId="4" xr:uid="{00000000-0005-0000-0000-000004000000}"/>
    <cellStyle name="Heading 3 2" xfId="5" xr:uid="{00000000-0005-0000-0000-000005000000}"/>
    <cellStyle name="Normal" xfId="0" builtinId="0"/>
    <cellStyle name="Normal 2" xfId="2" xr:uid="{00000000-0005-0000-0000-000007000000}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sz val="12"/>
        <color theme="4" tint="-0.499984740745262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sz val="12"/>
        <color theme="4" tint="-0.499984740745262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0E3D56"/>
        <name val="verdana"/>
        <scheme val="non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sz val="12"/>
        <color theme="4" tint="-0.499984740745262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/>
        </left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0E3D56"/>
        <name val="verdana"/>
        <scheme val="non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sz val="12"/>
        <color theme="4" tint="-0.499984740745262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sz val="12"/>
        <color theme="4" tint="-0.499984740745262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scheme val="minor"/>
      </font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19845</xdr:colOff>
      <xdr:row>2</xdr:row>
      <xdr:rowOff>9526</xdr:rowOff>
    </xdr:to>
    <xdr:sp macro="" textlink="$Q$2">
      <xdr:nvSpPr>
        <xdr:cNvPr id="2" name="Rectangle 1" descr="Year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8019315" y="346891"/>
          <a:ext cx="1012429" cy="26588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/>
              <a:ea typeface="verdana"/>
              <a:cs typeface="Calibri"/>
            </a:rPr>
            <a:pPr algn="ctr"/>
            <a:t>2024</a:t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C6:Q9" totalsRowCount="1" headerRowDxfId="117" dataDxfId="116" totalsRowDxfId="115">
  <autoFilter ref="C6:Q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Decarb Study - Invoices" totalsRowLabel="Total" dataDxfId="114"/>
    <tableColumn id="2" xr3:uid="{00000000-0010-0000-0000-000002000000}" name="January" totalsRowFunction="custom" dataDxfId="113" totalsRowDxfId="112">
      <totalsRowFormula>SUM(Income[January])</totalsRowFormula>
    </tableColumn>
    <tableColumn id="3" xr3:uid="{00000000-0010-0000-0000-000003000000}" name="February" totalsRowFunction="sum" dataDxfId="111" totalsRowDxfId="110"/>
    <tableColumn id="4" xr3:uid="{00000000-0010-0000-0000-000004000000}" name="March" totalsRowFunction="sum" dataDxfId="109"/>
    <tableColumn id="5" xr3:uid="{00000000-0010-0000-0000-000005000000}" name="April" totalsRowFunction="sum" dataDxfId="108"/>
    <tableColumn id="6" xr3:uid="{00000000-0010-0000-0000-000006000000}" name="May" totalsRowFunction="sum" dataDxfId="107">
      <calculatedColumnFormula>90090+31410+40150+25000</calculatedColumnFormula>
    </tableColumn>
    <tableColumn id="7" xr3:uid="{00000000-0010-0000-0000-000007000000}" name="June" totalsRowFunction="sum" dataDxfId="106"/>
    <tableColumn id="8" xr3:uid="{00000000-0010-0000-0000-000008000000}" name="July" totalsRowFunction="sum" dataDxfId="105"/>
    <tableColumn id="9" xr3:uid="{00000000-0010-0000-0000-000009000000}" name="August" totalsRowFunction="sum" dataDxfId="104"/>
    <tableColumn id="10" xr3:uid="{00000000-0010-0000-0000-00000A000000}" name="September" totalsRowFunction="sum" dataDxfId="103"/>
    <tableColumn id="11" xr3:uid="{00000000-0010-0000-0000-00000B000000}" name="October" totalsRowFunction="sum" dataDxfId="102"/>
    <tableColumn id="12" xr3:uid="{00000000-0010-0000-0000-00000C000000}" name="November" totalsRowFunction="sum" dataDxfId="101"/>
    <tableColumn id="13" xr3:uid="{00000000-0010-0000-0000-00000D000000}" name="December" totalsRowFunction="sum" dataDxfId="100" totalsRowDxfId="99"/>
    <tableColumn id="14" xr3:uid="{00000000-0010-0000-0000-00000E000000}" name="Year" totalsRowFunction="sum" dataDxfId="98" totalsRowDxfId="97">
      <calculatedColumnFormula>SUM(Income[[#This Row],[January]:[December]])</calculatedColumnFormula>
    </tableColumn>
    <tableColumn id="15" xr3:uid="{00000000-0010-0000-0000-00000F000000}" name="Sparkline" totalsRowDxfId="96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come1516" displayName="Income1516" ref="C13:Q19" totalsRowCount="1" headerRowDxfId="95" dataDxfId="94" totalsRowDxfId="93">
  <autoFilter ref="C13:Q18" xr:uid="{00000000-0009-0000-0100-000005000000}"/>
  <tableColumns count="15">
    <tableColumn id="1" xr3:uid="{00000000-0010-0000-0100-000001000000}" name="Electrfication Strategy - Invoices" totalsRowLabel="Total" dataDxfId="92" totalsRowDxfId="91" dataCellStyle="Normal 2"/>
    <tableColumn id="2" xr3:uid="{00000000-0010-0000-0100-000002000000}" name="January" totalsRowFunction="sum" dataDxfId="90" totalsRowDxfId="89" dataCellStyle="Normal 2"/>
    <tableColumn id="3" xr3:uid="{00000000-0010-0000-0100-000003000000}" name="February" totalsRowFunction="sum" dataDxfId="88" totalsRowDxfId="87" dataCellStyle="Normal 2"/>
    <tableColumn id="4" xr3:uid="{00000000-0010-0000-0100-000004000000}" name="March" totalsRowFunction="sum" dataDxfId="86" totalsRowDxfId="85" dataCellStyle="Normal 2"/>
    <tableColumn id="5" xr3:uid="{00000000-0010-0000-0100-000005000000}" name="April" totalsRowFunction="sum" dataDxfId="84" totalsRowDxfId="83" dataCellStyle="Normal 2"/>
    <tableColumn id="6" xr3:uid="{00000000-0010-0000-0100-000006000000}" name="May" totalsRowFunction="sum" dataDxfId="82" totalsRowDxfId="81" dataCellStyle="Normal 2">
      <calculatedColumnFormula>400000/3</calculatedColumnFormula>
    </tableColumn>
    <tableColumn id="7" xr3:uid="{00000000-0010-0000-0100-000007000000}" name="June" totalsRowFunction="sum" dataDxfId="80" totalsRowDxfId="79" dataCellStyle="Normal 2"/>
    <tableColumn id="8" xr3:uid="{00000000-0010-0000-0100-000008000000}" name="July" totalsRowFunction="sum" dataDxfId="78" totalsRowDxfId="77" dataCellStyle="Normal 2"/>
    <tableColumn id="9" xr3:uid="{00000000-0010-0000-0100-000009000000}" name="August" totalsRowFunction="sum" dataDxfId="76" totalsRowDxfId="75" dataCellStyle="Normal 2">
      <calculatedColumnFormula>145000/6</calculatedColumnFormula>
    </tableColumn>
    <tableColumn id="10" xr3:uid="{00000000-0010-0000-0100-00000A000000}" name="September" totalsRowFunction="sum" dataDxfId="74" totalsRowDxfId="73" dataCellStyle="Normal 2"/>
    <tableColumn id="11" xr3:uid="{00000000-0010-0000-0100-00000B000000}" name="October" totalsRowFunction="sum" dataDxfId="72" totalsRowDxfId="71" dataCellStyle="Normal 2"/>
    <tableColumn id="12" xr3:uid="{00000000-0010-0000-0100-00000C000000}" name="November" totalsRowFunction="sum" dataDxfId="70" totalsRowDxfId="69" dataCellStyle="Normal 2"/>
    <tableColumn id="13" xr3:uid="{00000000-0010-0000-0100-00000D000000}" name="December" totalsRowFunction="sum" dataDxfId="68" totalsRowDxfId="67" dataCellStyle="Normal 2"/>
    <tableColumn id="14" xr3:uid="{00000000-0010-0000-0100-00000E000000}" name="Year" totalsRowFunction="sum" dataDxfId="66" totalsRowDxfId="65" dataCellStyle="Normal 2">
      <calculatedColumnFormula>SUM(Income1516[[#This Row],[January]:[December]])</calculatedColumnFormula>
    </tableColumn>
    <tableColumn id="15" xr3:uid="{00000000-0010-0000-0100-00000F000000}" name="Sparkline" totalsRowDxfId="64" dataCellStyle="Normal 2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Income4" displayName="Income4" ref="C6:Q9" totalsRowCount="1" headerRowDxfId="63" dataDxfId="62" totalsRowDxfId="61">
  <autoFilter ref="C6:Q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Decarb Study - Invoices" totalsRowLabel="Total" dataDxfId="60" totalsRowDxfId="59" dataCellStyle="Normal 2"/>
    <tableColumn id="2" xr3:uid="{00000000-0010-0000-0200-000002000000}" name="January" totalsRowFunction="custom" dataDxfId="58" totalsRowDxfId="57" dataCellStyle="Normal 2">
      <totalsRowFormula>SUM(Income4[January])</totalsRowFormula>
    </tableColumn>
    <tableColumn id="3" xr3:uid="{00000000-0010-0000-0200-000003000000}" name="February" totalsRowFunction="sum" dataDxfId="56" totalsRowDxfId="55" dataCellStyle="Normal 2"/>
    <tableColumn id="4" xr3:uid="{00000000-0010-0000-0200-000004000000}" name="March" totalsRowFunction="sum" dataDxfId="54" totalsRowDxfId="53" dataCellStyle="Normal 2"/>
    <tableColumn id="5" xr3:uid="{00000000-0010-0000-0200-000005000000}" name="April" totalsRowFunction="sum" dataDxfId="52" totalsRowDxfId="51" dataCellStyle="Normal 2"/>
    <tableColumn id="6" xr3:uid="{00000000-0010-0000-0200-000006000000}" name="May" totalsRowFunction="sum" dataDxfId="50" totalsRowDxfId="49" dataCellStyle="Normal 2">
      <calculatedColumnFormula>90090+31410+40150+25000</calculatedColumnFormula>
    </tableColumn>
    <tableColumn id="7" xr3:uid="{00000000-0010-0000-0200-000007000000}" name="June" totalsRowFunction="sum" dataDxfId="48" totalsRowDxfId="47" dataCellStyle="Normal 2"/>
    <tableColumn id="8" xr3:uid="{00000000-0010-0000-0200-000008000000}" name="July" totalsRowFunction="sum" dataDxfId="46" totalsRowDxfId="45" dataCellStyle="Normal 2"/>
    <tableColumn id="9" xr3:uid="{00000000-0010-0000-0200-000009000000}" name="August" totalsRowFunction="sum" dataDxfId="44" totalsRowDxfId="43" dataCellStyle="Normal 2"/>
    <tableColumn id="10" xr3:uid="{00000000-0010-0000-0200-00000A000000}" name="September" totalsRowFunction="sum" dataDxfId="42" totalsRowDxfId="41" dataCellStyle="Normal 2"/>
    <tableColumn id="11" xr3:uid="{00000000-0010-0000-0200-00000B000000}" name="October" totalsRowFunction="sum" dataDxfId="40" totalsRowDxfId="39" dataCellStyle="Normal 2"/>
    <tableColumn id="12" xr3:uid="{00000000-0010-0000-0200-00000C000000}" name="November" totalsRowFunction="sum" dataDxfId="38" totalsRowDxfId="37" dataCellStyle="Normal 2"/>
    <tableColumn id="13" xr3:uid="{00000000-0010-0000-0200-00000D000000}" name="December" totalsRowFunction="sum" dataDxfId="36" totalsRowDxfId="35" dataCellStyle="Normal 2"/>
    <tableColumn id="14" xr3:uid="{00000000-0010-0000-0200-00000E000000}" name="Year" totalsRowFunction="sum" dataDxfId="34" totalsRowDxfId="33" dataCellStyle="Normal 2">
      <calculatedColumnFormula>SUM(Income4[[#This Row],[January]:[December]])</calculatedColumnFormula>
    </tableColumn>
    <tableColumn id="15" xr3:uid="{00000000-0010-0000-0200-00000F000000}" name="Sparkline" totalsRowDxfId="32" dataCellStyle="Normal 2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Income15168" displayName="Income15168" ref="C13:Q19" totalsRowCount="1" headerRowDxfId="31" dataDxfId="30" totalsRowDxfId="29">
  <autoFilter ref="C13:Q18" xr:uid="{00000000-0009-0000-0100-00000A000000}"/>
  <tableColumns count="15">
    <tableColumn id="1" xr3:uid="{00000000-0010-0000-0300-000001000000}" name="Electrfication Strategy - Invoices" totalsRowLabel="Total" dataDxfId="28" totalsRowDxfId="27" dataCellStyle="Normal 2"/>
    <tableColumn id="2" xr3:uid="{00000000-0010-0000-0300-000002000000}" name="January" totalsRowFunction="sum" dataDxfId="26" totalsRowDxfId="25" dataCellStyle="Normal 2"/>
    <tableColumn id="3" xr3:uid="{00000000-0010-0000-0300-000003000000}" name="February" totalsRowFunction="sum" dataDxfId="24" totalsRowDxfId="23" dataCellStyle="Normal 2"/>
    <tableColumn id="4" xr3:uid="{00000000-0010-0000-0300-000004000000}" name="March" totalsRowFunction="sum" dataDxfId="22" totalsRowDxfId="21" dataCellStyle="Normal 2"/>
    <tableColumn id="5" xr3:uid="{00000000-0010-0000-0300-000005000000}" name="April" totalsRowFunction="sum" dataDxfId="20" totalsRowDxfId="19" dataCellStyle="Normal 2"/>
    <tableColumn id="6" xr3:uid="{00000000-0010-0000-0300-000006000000}" name="May" totalsRowFunction="sum" dataDxfId="18" totalsRowDxfId="17" dataCellStyle="Normal 2"/>
    <tableColumn id="7" xr3:uid="{00000000-0010-0000-0300-000007000000}" name="June" totalsRowFunction="sum" dataDxfId="16" totalsRowDxfId="15" dataCellStyle="Normal 2"/>
    <tableColumn id="8" xr3:uid="{00000000-0010-0000-0300-000008000000}" name="July" totalsRowFunction="sum" dataDxfId="14" totalsRowDxfId="13" dataCellStyle="Normal 2"/>
    <tableColumn id="9" xr3:uid="{00000000-0010-0000-0300-000009000000}" name="August" totalsRowFunction="sum" dataDxfId="12" totalsRowDxfId="11" dataCellStyle="Normal 2"/>
    <tableColumn id="10" xr3:uid="{00000000-0010-0000-0300-00000A000000}" name="September" totalsRowFunction="sum" dataDxfId="10" totalsRowDxfId="9" dataCellStyle="Normal 2"/>
    <tableColumn id="11" xr3:uid="{00000000-0010-0000-0300-00000B000000}" name="October" totalsRowFunction="sum" dataDxfId="8" totalsRowDxfId="7" dataCellStyle="Normal 2"/>
    <tableColumn id="12" xr3:uid="{00000000-0010-0000-0300-00000C000000}" name="November" totalsRowFunction="sum" dataDxfId="6" totalsRowDxfId="5" dataCellStyle="Normal 2"/>
    <tableColumn id="13" xr3:uid="{00000000-0010-0000-0300-00000D000000}" name="December" totalsRowFunction="sum" dataDxfId="4" totalsRowDxfId="3" dataCellStyle="Normal 2"/>
    <tableColumn id="14" xr3:uid="{00000000-0010-0000-0300-00000E000000}" name="Year" totalsRowFunction="sum" dataDxfId="2" totalsRowDxfId="1" dataCellStyle="Normal 2">
      <calculatedColumnFormula>SUM(Income15168[[#This Row],[January]:[December]])</calculatedColumnFormula>
    </tableColumn>
    <tableColumn id="15" xr3:uid="{00000000-0010-0000-0300-00000F000000}" name="Sparkline" totalsRowDxfId="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F23" sqref="F23"/>
    </sheetView>
  </sheetViews>
  <sheetFormatPr defaultRowHeight="15" x14ac:dyDescent="0.25"/>
  <cols>
    <col min="1" max="1" width="31.7109375" customWidth="1"/>
    <col min="2" max="2" width="17.28515625" customWidth="1"/>
    <col min="3" max="3" width="0.85546875" customWidth="1"/>
    <col min="4" max="4" width="35.140625" bestFit="1" customWidth="1"/>
    <col min="5" max="5" width="16.85546875" bestFit="1" customWidth="1"/>
  </cols>
  <sheetData>
    <row r="1" spans="1:5" ht="15.75" thickBot="1" x14ac:dyDescent="0.3"/>
    <row r="2" spans="1:5" ht="19.5" thickBot="1" x14ac:dyDescent="0.35">
      <c r="A2" s="121" t="s">
        <v>52</v>
      </c>
      <c r="B2" s="122"/>
      <c r="C2" s="122"/>
      <c r="D2" s="122"/>
      <c r="E2" s="123"/>
    </row>
    <row r="3" spans="1:5" ht="4.5" customHeight="1" x14ac:dyDescent="0.25">
      <c r="A3" s="92"/>
      <c r="B3" s="95"/>
      <c r="C3" s="95"/>
      <c r="D3" s="95"/>
      <c r="E3" s="103"/>
    </row>
    <row r="4" spans="1:5" ht="15.75" x14ac:dyDescent="0.25">
      <c r="A4" s="104" t="s">
        <v>49</v>
      </c>
      <c r="B4" s="105">
        <f>SUM(B6:B8)</f>
        <v>3551654.08</v>
      </c>
      <c r="C4" s="113"/>
      <c r="D4" s="95"/>
      <c r="E4" s="103"/>
    </row>
    <row r="5" spans="1:5" ht="4.5" customHeight="1" x14ac:dyDescent="0.25">
      <c r="A5" s="111"/>
      <c r="B5" s="112"/>
      <c r="C5" s="93"/>
      <c r="D5" s="95"/>
      <c r="E5" s="103"/>
    </row>
    <row r="6" spans="1:5" x14ac:dyDescent="0.25">
      <c r="A6" s="94" t="s">
        <v>45</v>
      </c>
      <c r="B6" s="99">
        <f>Income[[#Totals],[Year]]</f>
        <v>573798.10000000009</v>
      </c>
      <c r="C6" s="93"/>
      <c r="D6" s="95"/>
      <c r="E6" s="103"/>
    </row>
    <row r="7" spans="1:5" x14ac:dyDescent="0.25">
      <c r="A7" s="94" t="s">
        <v>46</v>
      </c>
      <c r="B7" s="99">
        <f>Income1516[[#Totals],[Year]]</f>
        <v>825000</v>
      </c>
      <c r="C7" s="93"/>
      <c r="D7" s="95"/>
      <c r="E7" s="103"/>
    </row>
    <row r="8" spans="1:5" x14ac:dyDescent="0.25">
      <c r="A8" s="101" t="s">
        <v>47</v>
      </c>
      <c r="B8" s="100">
        <f>'JM-10 Pilot 2023 Actuals'!O27</f>
        <v>2152855.98</v>
      </c>
      <c r="C8" s="93"/>
      <c r="D8" s="95"/>
      <c r="E8" s="103"/>
    </row>
    <row r="9" spans="1:5" ht="4.5" customHeight="1" x14ac:dyDescent="0.25">
      <c r="A9" s="92"/>
      <c r="B9" s="93"/>
      <c r="C9" s="93"/>
      <c r="D9" s="95"/>
      <c r="E9" s="96"/>
    </row>
    <row r="10" spans="1:5" ht="15.75" x14ac:dyDescent="0.25">
      <c r="A10" s="104" t="s">
        <v>48</v>
      </c>
      <c r="B10" s="106">
        <f>SUM(B12:B14)</f>
        <v>6478438.4400000004</v>
      </c>
      <c r="C10" s="114"/>
      <c r="D10" s="107" t="s">
        <v>53</v>
      </c>
      <c r="E10" s="108">
        <f>SUM(E12:E14)</f>
        <v>4969819.2</v>
      </c>
    </row>
    <row r="11" spans="1:5" ht="4.5" customHeight="1" x14ac:dyDescent="0.25">
      <c r="A11" s="111"/>
      <c r="B11" s="112"/>
      <c r="C11" s="93"/>
      <c r="D11" s="115"/>
      <c r="E11" s="116"/>
    </row>
    <row r="12" spans="1:5" x14ac:dyDescent="0.25">
      <c r="A12" s="94" t="s">
        <v>45</v>
      </c>
      <c r="B12" s="99">
        <f>SUM(Income4[[#Totals],[January]:[July]])</f>
        <v>4785.9000000000005</v>
      </c>
      <c r="C12" s="93"/>
      <c r="D12" s="90" t="s">
        <v>45</v>
      </c>
      <c r="E12" s="97">
        <f>SUM(Income4[[#Totals],[August]:[December]])</f>
        <v>0</v>
      </c>
    </row>
    <row r="13" spans="1:5" x14ac:dyDescent="0.25">
      <c r="A13" s="94" t="s">
        <v>46</v>
      </c>
      <c r="B13" s="99">
        <f>SUM(Income15168[[#Totals],[January]:[July]])</f>
        <v>501684.8</v>
      </c>
      <c r="C13" s="93"/>
      <c r="D13" s="90" t="s">
        <v>46</v>
      </c>
      <c r="E13" s="97">
        <f>SUM(Income15168[[#Totals],[August]:[December]])</f>
        <v>554419.19999999995</v>
      </c>
    </row>
    <row r="14" spans="1:5" x14ac:dyDescent="0.25">
      <c r="A14" s="101" t="s">
        <v>47</v>
      </c>
      <c r="B14" s="100">
        <f>SUM('JM-10 Pilot 2024 Forecast'!C27:I27)</f>
        <v>5971967.7400000002</v>
      </c>
      <c r="C14" s="93"/>
      <c r="D14" s="91" t="s">
        <v>47</v>
      </c>
      <c r="E14" s="102">
        <f>SUM('JM-10 Pilot 2024 Forecast'!J27:N27)</f>
        <v>4415400</v>
      </c>
    </row>
    <row r="15" spans="1:5" ht="4.5" customHeight="1" x14ac:dyDescent="0.25">
      <c r="A15" s="92"/>
      <c r="B15" s="93"/>
      <c r="C15" s="93"/>
      <c r="D15" s="95"/>
      <c r="E15" s="96"/>
    </row>
    <row r="16" spans="1:5" ht="15.75" x14ac:dyDescent="0.25">
      <c r="A16" s="104" t="s">
        <v>50</v>
      </c>
      <c r="B16" s="105">
        <f>SUM(B4,B10)</f>
        <v>10030092.52</v>
      </c>
      <c r="C16" s="113"/>
      <c r="D16" s="109" t="s">
        <v>51</v>
      </c>
      <c r="E16" s="110">
        <f>B4+B10+E10</f>
        <v>14999911.719999999</v>
      </c>
    </row>
    <row r="17" spans="1:5" ht="4.5" customHeight="1" x14ac:dyDescent="0.25">
      <c r="A17" s="111"/>
      <c r="B17" s="112"/>
      <c r="C17" s="93"/>
      <c r="D17" s="115"/>
      <c r="E17" s="116"/>
    </row>
    <row r="18" spans="1:5" x14ac:dyDescent="0.25">
      <c r="A18" s="94" t="s">
        <v>45</v>
      </c>
      <c r="B18" s="99">
        <f>SUM(B6,B12)</f>
        <v>578584.00000000012</v>
      </c>
      <c r="C18" s="93"/>
      <c r="D18" s="90" t="s">
        <v>45</v>
      </c>
      <c r="E18" s="98">
        <f>B6+B12+E12</f>
        <v>578584.00000000012</v>
      </c>
    </row>
    <row r="19" spans="1:5" x14ac:dyDescent="0.25">
      <c r="A19" s="94" t="s">
        <v>46</v>
      </c>
      <c r="B19" s="99">
        <f>SUM(B7,B13)</f>
        <v>1326684.8</v>
      </c>
      <c r="C19" s="93"/>
      <c r="D19" s="90" t="s">
        <v>46</v>
      </c>
      <c r="E19" s="98">
        <f>B7+B13+E13</f>
        <v>1881104</v>
      </c>
    </row>
    <row r="20" spans="1:5" x14ac:dyDescent="0.25">
      <c r="A20" s="94" t="s">
        <v>47</v>
      </c>
      <c r="B20" s="100">
        <f>SUM(B8,B14)</f>
        <v>8124823.7200000007</v>
      </c>
      <c r="C20" s="93"/>
      <c r="D20" s="91" t="s">
        <v>47</v>
      </c>
      <c r="E20" s="98">
        <f>B8+B14+E14</f>
        <v>12540223.720000001</v>
      </c>
    </row>
    <row r="21" spans="1:5" ht="4.5" customHeight="1" thickBot="1" x14ac:dyDescent="0.3">
      <c r="A21" s="117"/>
      <c r="B21" s="118"/>
      <c r="C21" s="120"/>
      <c r="D21" s="118"/>
      <c r="E21" s="119"/>
    </row>
    <row r="22" spans="1:5" x14ac:dyDescent="0.25">
      <c r="B22" s="81"/>
      <c r="C22" s="81"/>
      <c r="E22" s="81"/>
    </row>
    <row r="23" spans="1:5" x14ac:dyDescent="0.25">
      <c r="E23" s="81"/>
    </row>
    <row r="24" spans="1:5" ht="4.5" customHeight="1" x14ac:dyDescent="0.25"/>
    <row r="25" spans="1:5" x14ac:dyDescent="0.25">
      <c r="B25" s="82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U35"/>
  <sheetViews>
    <sheetView showGridLines="0" tabSelected="1" zoomScale="80" zoomScaleNormal="80" workbookViewId="0">
      <selection activeCell="F23" sqref="F23"/>
    </sheetView>
  </sheetViews>
  <sheetFormatPr defaultColWidth="8.7109375" defaultRowHeight="30" customHeight="1" x14ac:dyDescent="0.2"/>
  <cols>
    <col min="1" max="1" width="3.28515625" style="37" customWidth="1"/>
    <col min="2" max="2" width="2.140625" style="38" customWidth="1"/>
    <col min="3" max="3" width="41.85546875" style="38" bestFit="1" customWidth="1"/>
    <col min="4" max="4" width="19.85546875" style="39" bestFit="1" customWidth="1"/>
    <col min="5" max="5" width="16.42578125" style="39" bestFit="1" customWidth="1"/>
    <col min="6" max="16" width="15.85546875" style="39" bestFit="1" customWidth="1"/>
    <col min="17" max="17" width="14.5703125" style="38" customWidth="1"/>
    <col min="18" max="18" width="3.140625" style="38" customWidth="1"/>
    <col min="19" max="19" width="6.140625" style="38" customWidth="1"/>
    <col min="20" max="20" width="8.7109375" style="38"/>
    <col min="21" max="21" width="16.42578125" style="38" bestFit="1" customWidth="1"/>
    <col min="22" max="16384" width="8.7109375" style="38"/>
  </cols>
  <sheetData>
    <row r="1" spans="1:20" ht="12.75" customHeight="1" x14ac:dyDescent="0.2"/>
    <row r="2" spans="1:20" ht="35.25" customHeight="1" thickBot="1" x14ac:dyDescent="0.75">
      <c r="A2" s="40"/>
      <c r="B2" s="124" t="s">
        <v>44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77">
        <v>2023</v>
      </c>
    </row>
    <row r="3" spans="1:20" ht="26.25" customHeight="1" x14ac:dyDescent="0.2">
      <c r="B3" s="42"/>
      <c r="C3" s="43"/>
      <c r="D3" s="44"/>
    </row>
    <row r="4" spans="1:20" ht="3.95" customHeight="1" x14ac:dyDescent="0.2">
      <c r="B4" s="45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/>
    </row>
    <row r="5" spans="1:20" ht="21" customHeight="1" x14ac:dyDescent="0.2">
      <c r="B5" s="68"/>
      <c r="C5" s="69" t="s">
        <v>16</v>
      </c>
      <c r="D5" s="70">
        <v>44957</v>
      </c>
      <c r="E5" s="70">
        <v>44985</v>
      </c>
      <c r="F5" s="70">
        <v>45016</v>
      </c>
      <c r="G5" s="70">
        <v>45046</v>
      </c>
      <c r="H5" s="70">
        <v>45077</v>
      </c>
      <c r="I5" s="70">
        <v>45107</v>
      </c>
      <c r="J5" s="70">
        <v>45138</v>
      </c>
      <c r="K5" s="70">
        <v>45169</v>
      </c>
      <c r="L5" s="70">
        <v>45199</v>
      </c>
      <c r="M5" s="70">
        <v>45230</v>
      </c>
      <c r="N5" s="70">
        <v>45260</v>
      </c>
      <c r="O5" s="70">
        <v>45291</v>
      </c>
      <c r="P5" s="71" t="s">
        <v>17</v>
      </c>
      <c r="Q5" s="49"/>
      <c r="T5" s="50"/>
    </row>
    <row r="6" spans="1:20" ht="15.95" customHeight="1" x14ac:dyDescent="0.25">
      <c r="A6" s="40"/>
      <c r="B6" s="68"/>
      <c r="C6" s="76" t="s">
        <v>18</v>
      </c>
      <c r="D6" s="51" t="s">
        <v>19</v>
      </c>
      <c r="E6" s="51" t="s">
        <v>20</v>
      </c>
      <c r="F6" s="51" t="s">
        <v>21</v>
      </c>
      <c r="G6" s="51" t="s">
        <v>22</v>
      </c>
      <c r="H6" s="51" t="s">
        <v>23</v>
      </c>
      <c r="I6" s="51" t="s">
        <v>24</v>
      </c>
      <c r="J6" s="51" t="s">
        <v>25</v>
      </c>
      <c r="K6" s="51" t="s">
        <v>26</v>
      </c>
      <c r="L6" s="51" t="s">
        <v>27</v>
      </c>
      <c r="M6" s="51" t="s">
        <v>28</v>
      </c>
      <c r="N6" s="51" t="s">
        <v>29</v>
      </c>
      <c r="O6" s="51" t="s">
        <v>30</v>
      </c>
      <c r="P6" s="51" t="s">
        <v>31</v>
      </c>
      <c r="Q6" s="51" t="s">
        <v>32</v>
      </c>
    </row>
    <row r="7" spans="1:20" ht="15.95" customHeight="1" x14ac:dyDescent="0.2">
      <c r="B7" s="68"/>
      <c r="C7" s="72" t="s">
        <v>33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f>16315+90090+25000</f>
        <v>131405</v>
      </c>
      <c r="J7" s="73">
        <f>35000+15000</f>
        <v>50000</v>
      </c>
      <c r="K7" s="73">
        <v>0</v>
      </c>
      <c r="L7" s="73">
        <v>96560</v>
      </c>
      <c r="M7" s="73">
        <v>0</v>
      </c>
      <c r="N7" s="73">
        <v>0</v>
      </c>
      <c r="O7" s="73">
        <v>0</v>
      </c>
      <c r="P7" s="73">
        <f>SUM(Income[[#This Row],[January]:[December]])</f>
        <v>277965</v>
      </c>
      <c r="Q7" s="52"/>
    </row>
    <row r="8" spans="1:20" ht="15.95" customHeight="1" x14ac:dyDescent="0.2">
      <c r="B8" s="68"/>
      <c r="C8" s="72" t="s">
        <v>34</v>
      </c>
      <c r="D8" s="73">
        <v>0</v>
      </c>
      <c r="E8" s="73">
        <v>0</v>
      </c>
      <c r="F8" s="73">
        <v>34103.5</v>
      </c>
      <c r="G8" s="73">
        <v>23066.1</v>
      </c>
      <c r="H8" s="73">
        <v>21341.4</v>
      </c>
      <c r="I8" s="73">
        <v>42546.7</v>
      </c>
      <c r="J8" s="73">
        <v>76390.5</v>
      </c>
      <c r="K8" s="73">
        <v>44663</v>
      </c>
      <c r="L8" s="73">
        <v>41699.9</v>
      </c>
      <c r="M8" s="73">
        <v>0</v>
      </c>
      <c r="N8" s="73">
        <v>12022</v>
      </c>
      <c r="O8" s="73">
        <v>0</v>
      </c>
      <c r="P8" s="73">
        <f>SUM(Income[[#This Row],[January]:[December]])</f>
        <v>295833.10000000003</v>
      </c>
      <c r="Q8" s="53"/>
    </row>
    <row r="9" spans="1:20" ht="21" customHeight="1" thickBot="1" x14ac:dyDescent="0.25">
      <c r="B9" s="68"/>
      <c r="C9" s="74" t="s">
        <v>35</v>
      </c>
      <c r="D9" s="75">
        <f>SUM(Income[January])</f>
        <v>0</v>
      </c>
      <c r="E9" s="75">
        <f>SUBTOTAL(109,Income[February])</f>
        <v>0</v>
      </c>
      <c r="F9" s="75">
        <f>SUBTOTAL(109,Income[March])</f>
        <v>34103.5</v>
      </c>
      <c r="G9" s="75">
        <f>SUBTOTAL(109,Income[April])</f>
        <v>23066.1</v>
      </c>
      <c r="H9" s="75">
        <f>SUBTOTAL(109,Income[May])</f>
        <v>21341.4</v>
      </c>
      <c r="I9" s="75">
        <f>SUBTOTAL(109,Income[June])</f>
        <v>173951.7</v>
      </c>
      <c r="J9" s="75">
        <f>SUBTOTAL(109,Income[July])</f>
        <v>126390.5</v>
      </c>
      <c r="K9" s="75">
        <f>SUBTOTAL(109,Income[August])</f>
        <v>44663</v>
      </c>
      <c r="L9" s="75">
        <f>SUBTOTAL(109,Income[September])</f>
        <v>138259.9</v>
      </c>
      <c r="M9" s="75">
        <f>SUBTOTAL(109,Income[October])</f>
        <v>0</v>
      </c>
      <c r="N9" s="75">
        <f>SUBTOTAL(109,Income[November])</f>
        <v>12022</v>
      </c>
      <c r="O9" s="75">
        <f>SUBTOTAL(109,Income[December])</f>
        <v>0</v>
      </c>
      <c r="P9" s="75">
        <f>SUBTOTAL(109,Income[Year])</f>
        <v>573798.10000000009</v>
      </c>
      <c r="Q9" s="54"/>
    </row>
    <row r="10" spans="1:20" ht="24" customHeight="1" thickTop="1" x14ac:dyDescent="0.2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20" ht="21" customHeight="1" x14ac:dyDescent="0.2">
      <c r="B11" s="55"/>
      <c r="C11" s="5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7"/>
    </row>
    <row r="12" spans="1:20" ht="21" customHeight="1" x14ac:dyDescent="0.2">
      <c r="B12" s="68"/>
      <c r="C12" s="69" t="s">
        <v>16</v>
      </c>
      <c r="D12" s="70">
        <v>44957</v>
      </c>
      <c r="E12" s="70">
        <v>44985</v>
      </c>
      <c r="F12" s="70">
        <v>45016</v>
      </c>
      <c r="G12" s="70">
        <v>45046</v>
      </c>
      <c r="H12" s="70">
        <v>45077</v>
      </c>
      <c r="I12" s="70">
        <v>45107</v>
      </c>
      <c r="J12" s="70">
        <v>45138</v>
      </c>
      <c r="K12" s="70">
        <v>45169</v>
      </c>
      <c r="L12" s="70">
        <v>45199</v>
      </c>
      <c r="M12" s="70">
        <v>45230</v>
      </c>
      <c r="N12" s="70">
        <v>45260</v>
      </c>
      <c r="O12" s="70">
        <v>45291</v>
      </c>
      <c r="P12" s="70" t="s">
        <v>17</v>
      </c>
      <c r="Q12" s="49"/>
    </row>
    <row r="13" spans="1:20" ht="15.95" customHeight="1" x14ac:dyDescent="0.25">
      <c r="A13" s="40"/>
      <c r="B13" s="68"/>
      <c r="C13" s="76" t="s">
        <v>36</v>
      </c>
      <c r="D13" s="51" t="s">
        <v>19</v>
      </c>
      <c r="E13" s="51" t="s">
        <v>20</v>
      </c>
      <c r="F13" s="51" t="s">
        <v>21</v>
      </c>
      <c r="G13" s="51" t="s">
        <v>22</v>
      </c>
      <c r="H13" s="51" t="s">
        <v>23</v>
      </c>
      <c r="I13" s="51" t="s">
        <v>24</v>
      </c>
      <c r="J13" s="51" t="s">
        <v>25</v>
      </c>
      <c r="K13" s="51" t="s">
        <v>26</v>
      </c>
      <c r="L13" s="51" t="s">
        <v>27</v>
      </c>
      <c r="M13" s="51" t="s">
        <v>28</v>
      </c>
      <c r="N13" s="51" t="s">
        <v>29</v>
      </c>
      <c r="O13" s="51" t="s">
        <v>30</v>
      </c>
      <c r="P13" s="51" t="s">
        <v>31</v>
      </c>
      <c r="Q13" s="51" t="s">
        <v>32</v>
      </c>
    </row>
    <row r="14" spans="1:20" ht="15.95" customHeight="1" x14ac:dyDescent="0.2">
      <c r="B14" s="68"/>
      <c r="C14" s="72" t="s">
        <v>37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127000</v>
      </c>
      <c r="J14" s="73">
        <v>0</v>
      </c>
      <c r="K14" s="73">
        <v>399500</v>
      </c>
      <c r="L14" s="73">
        <v>0</v>
      </c>
      <c r="M14" s="73">
        <v>0</v>
      </c>
      <c r="N14" s="73">
        <v>0</v>
      </c>
      <c r="O14" s="73">
        <v>0</v>
      </c>
      <c r="P14" s="73">
        <f>SUM(Income1516[[#This Row],[January]:[December]])</f>
        <v>526500</v>
      </c>
      <c r="Q14" s="52"/>
    </row>
    <row r="15" spans="1:20" ht="15.95" customHeight="1" x14ac:dyDescent="0.2">
      <c r="B15" s="68"/>
      <c r="C15" s="72" t="s">
        <v>38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99500</v>
      </c>
      <c r="M15" s="73">
        <v>0</v>
      </c>
      <c r="N15" s="73">
        <v>0</v>
      </c>
      <c r="O15" s="73">
        <v>199000</v>
      </c>
      <c r="P15" s="73">
        <f>SUM(Income1516[[#This Row],[January]:[December]])</f>
        <v>298500</v>
      </c>
      <c r="Q15" s="53"/>
    </row>
    <row r="16" spans="1:20" ht="15.95" customHeight="1" x14ac:dyDescent="0.2">
      <c r="B16" s="68"/>
      <c r="C16" s="72" t="s">
        <v>39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f>SUM(Income1516[[#This Row],[January]:[December]])</f>
        <v>0</v>
      </c>
      <c r="Q16" s="53"/>
    </row>
    <row r="17" spans="1:21" ht="15.95" customHeight="1" x14ac:dyDescent="0.2">
      <c r="B17" s="68"/>
      <c r="C17" s="72" t="s">
        <v>40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f>SUM(Income1516[[#This Row],[January]:[December]])</f>
        <v>0</v>
      </c>
      <c r="Q17" s="53"/>
    </row>
    <row r="18" spans="1:21" ht="15.95" customHeight="1" x14ac:dyDescent="0.2">
      <c r="B18" s="68"/>
      <c r="C18" s="72" t="s">
        <v>41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f>SUM(Income1516[[#This Row],[January]:[December]])</f>
        <v>0</v>
      </c>
      <c r="Q18" s="53"/>
    </row>
    <row r="19" spans="1:21" ht="21" customHeight="1" thickBot="1" x14ac:dyDescent="0.25">
      <c r="B19" s="68"/>
      <c r="C19" s="72" t="s">
        <v>35</v>
      </c>
      <c r="D19" s="73">
        <f>SUBTOTAL(109,Income1516[January])</f>
        <v>0</v>
      </c>
      <c r="E19" s="73">
        <f>SUBTOTAL(109,Income1516[February])</f>
        <v>0</v>
      </c>
      <c r="F19" s="73">
        <f>SUBTOTAL(109,Income1516[March])</f>
        <v>0</v>
      </c>
      <c r="G19" s="73">
        <f>SUBTOTAL(109,Income1516[April])</f>
        <v>0</v>
      </c>
      <c r="H19" s="73">
        <f>SUBTOTAL(109,Income1516[May])</f>
        <v>0</v>
      </c>
      <c r="I19" s="73">
        <f>SUBTOTAL(109,Income1516[June])</f>
        <v>127000</v>
      </c>
      <c r="J19" s="73">
        <f>SUBTOTAL(109,Income1516[July])</f>
        <v>0</v>
      </c>
      <c r="K19" s="73">
        <f>SUBTOTAL(109,Income1516[August])</f>
        <v>399500</v>
      </c>
      <c r="L19" s="73">
        <f>SUBTOTAL(109,Income1516[September])</f>
        <v>99500</v>
      </c>
      <c r="M19" s="73">
        <f>SUBTOTAL(109,Income1516[October])</f>
        <v>0</v>
      </c>
      <c r="N19" s="73">
        <f>SUBTOTAL(109,Income1516[November])</f>
        <v>0</v>
      </c>
      <c r="O19" s="73">
        <f>SUBTOTAL(109,Income1516[December])</f>
        <v>199000</v>
      </c>
      <c r="P19" s="73">
        <f>SUBTOTAL(109,Income1516[Year])</f>
        <v>825000</v>
      </c>
      <c r="Q19" s="54"/>
      <c r="U19" s="58"/>
    </row>
    <row r="20" spans="1:21" ht="21" customHeight="1" thickTop="1" x14ac:dyDescent="0.2">
      <c r="B20" s="55"/>
      <c r="C20" s="56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7"/>
    </row>
    <row r="22" spans="1:21" ht="30" customHeight="1" x14ac:dyDescent="0.2">
      <c r="I22" s="59"/>
    </row>
    <row r="23" spans="1:21" ht="30" customHeight="1" x14ac:dyDescent="0.2">
      <c r="E23" s="60"/>
      <c r="G23" s="61"/>
      <c r="H23" s="62"/>
    </row>
    <row r="30" spans="1:21" s="39" customFormat="1" ht="30" customHeight="1" x14ac:dyDescent="0.2">
      <c r="A30" s="37"/>
      <c r="B30" s="38"/>
      <c r="C30" s="38"/>
      <c r="Q30" s="38"/>
      <c r="R30" s="38"/>
      <c r="S30" s="38"/>
      <c r="T30" s="38"/>
      <c r="U30" s="38"/>
    </row>
    <row r="35" spans="13:13" ht="30" customHeight="1" x14ac:dyDescent="0.2">
      <c r="M35" s="39">
        <f>Income[[#Totals],[Year]]</f>
        <v>573798.10000000009</v>
      </c>
    </row>
  </sheetData>
  <mergeCells count="1">
    <mergeCell ref="B2:P2"/>
  </mergeCells>
  <printOptions horizontalCentered="1"/>
  <pageMargins left="0.4" right="0.4" top="0.4" bottom="0.4" header="0.3" footer="0.3"/>
  <pageSetup scale="42" fitToHeight="0" orientation="landscape" r:id="rId1"/>
  <headerFooter differentFirst="1">
    <oddFooter>Page &amp;P of &amp;N</oddFooter>
  </headerFooter>
  <ignoredErrors>
    <ignoredError sqref="H7:H8 K15:K18 H14:H18" calculatedColumn="1"/>
  </ignoredErrors>
  <tableParts count="2">
    <tablePart r:id="rId2"/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1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 StudyStrategy ACTUALS2023'!D14:O14</xm:f>
              <xm:sqref>Q14</xm:sqref>
            </x14:sparkline>
            <x14:sparkline>
              <xm:f>'JM-10 StudyStrategy ACTUALS2023'!D15:O15</xm:f>
              <xm:sqref>Q15</xm:sqref>
            </x14:sparkline>
            <x14:sparkline>
              <xm:f>'JM-10 StudyStrategy ACTUALS2023'!D16:O16</xm:f>
              <xm:sqref>Q16</xm:sqref>
            </x14:sparkline>
            <x14:sparkline>
              <xm:f>'JM-10 StudyStrategy ACTUALS2023'!D17:O17</xm:f>
              <xm:sqref>Q17</xm:sqref>
            </x14:sparkline>
            <x14:sparkline>
              <xm:f>'JM-10 StudyStrategy ACTUALS2023'!D18:O18</xm:f>
              <xm:sqref>Q18</xm:sqref>
            </x14:sparkline>
            <x14:sparkline>
              <xm:f>'JM-10 StudyStrategy ACTUALS2023'!D19:O19</xm:f>
              <xm:sqref>Q19</xm:sqref>
            </x14:sparkline>
            <x14:sparkline>
              <xm:f>'JM-10 StudyStrategy ACTUALS2023'!D20:O20</xm:f>
              <xm:sqref>Q20</xm:sqref>
            </x14:sparkline>
          </x14:sparklines>
        </x14:sparklineGroup>
        <x14:sparklineGroup displayEmptyCellsAs="gap" high="1" low="1" xr2:uid="{00000000-0003-0000-01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 StudyStrategy ACTUALS2023'!D7:O7</xm:f>
              <xm:sqref>Q7</xm:sqref>
            </x14:sparkline>
            <x14:sparkline>
              <xm:f>'JM-10 StudyStrategy ACTUALS2023'!D8:O8</xm:f>
              <xm:sqref>Q8</xm:sqref>
            </x14:sparkline>
            <x14:sparkline>
              <xm:f>'JM-10 StudyStrategy ACTUALS2023'!D9:O9</xm:f>
              <xm:sqref>Q9</xm:sqref>
            </x14:sparkline>
          </x14:sparklines>
        </x14:sparklineGroup>
        <x14:sparklineGroup displayEmptyCellsAs="gap" high="1" low="1" xr2:uid="{00000000-0003-0000-01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 StudyStrategy ACTUALS2023'!D11:O11</xm:f>
              <xm:sqref>Q11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workbookViewId="0">
      <pane xSplit="1" topLeftCell="B1" activePane="topRight" state="frozen"/>
      <selection activeCell="F23" sqref="F23"/>
      <selection pane="topRight" activeCell="F23" sqref="F23"/>
    </sheetView>
  </sheetViews>
  <sheetFormatPr defaultRowHeight="15" x14ac:dyDescent="0.25"/>
  <cols>
    <col min="1" max="1" width="20.5703125" customWidth="1"/>
    <col min="2" max="2" width="21" customWidth="1"/>
    <col min="3" max="9" width="10.85546875" customWidth="1"/>
    <col min="10" max="10" width="12.5703125" bestFit="1" customWidth="1"/>
    <col min="11" max="13" width="12.42578125" bestFit="1" customWidth="1"/>
    <col min="14" max="15" width="13.5703125" bestFit="1" customWidth="1"/>
  </cols>
  <sheetData>
    <row r="1" spans="1:17" ht="37.5" thickBot="1" x14ac:dyDescent="0.7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7" ht="23.1" customHeight="1" thickBot="1" x14ac:dyDescent="0.3">
      <c r="A2" s="9"/>
      <c r="B2" s="10"/>
      <c r="C2" s="2">
        <v>44927</v>
      </c>
      <c r="D2" s="2">
        <v>44958</v>
      </c>
      <c r="E2" s="2">
        <v>44986</v>
      </c>
      <c r="F2" s="2">
        <v>45017</v>
      </c>
      <c r="G2" s="2">
        <v>45047</v>
      </c>
      <c r="H2" s="2">
        <v>45078</v>
      </c>
      <c r="I2" s="2">
        <v>45108</v>
      </c>
      <c r="J2" s="2">
        <v>45139</v>
      </c>
      <c r="K2" s="2">
        <v>45170</v>
      </c>
      <c r="L2" s="2">
        <v>45200</v>
      </c>
      <c r="M2" s="2">
        <v>45231</v>
      </c>
      <c r="N2" s="2">
        <v>45261</v>
      </c>
      <c r="O2" s="7" t="s">
        <v>1</v>
      </c>
    </row>
    <row r="3" spans="1:17" x14ac:dyDescent="0.25">
      <c r="A3" s="125" t="s">
        <v>2</v>
      </c>
      <c r="B3" s="11" t="s">
        <v>3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18">
        <v>346134</v>
      </c>
      <c r="L3" s="24">
        <v>0</v>
      </c>
      <c r="M3" s="18">
        <v>459696</v>
      </c>
      <c r="N3" s="18">
        <f>222611.41+116000</f>
        <v>338611.41000000003</v>
      </c>
      <c r="O3" s="127">
        <f>SUM(C3:N3)</f>
        <v>1144441.4100000001</v>
      </c>
    </row>
    <row r="4" spans="1:17" x14ac:dyDescent="0.25">
      <c r="A4" s="125"/>
      <c r="B4" s="11" t="s">
        <v>4</v>
      </c>
      <c r="C4" s="15" t="s">
        <v>5</v>
      </c>
      <c r="D4" s="15" t="s">
        <v>5</v>
      </c>
      <c r="E4" s="15" t="s">
        <v>5</v>
      </c>
      <c r="F4" s="15" t="s">
        <v>5</v>
      </c>
      <c r="G4" s="15" t="s">
        <v>5</v>
      </c>
      <c r="H4" s="15" t="s">
        <v>5</v>
      </c>
      <c r="I4" s="15" t="s">
        <v>5</v>
      </c>
      <c r="J4" s="15" t="s">
        <v>5</v>
      </c>
      <c r="K4" s="18">
        <v>206</v>
      </c>
      <c r="L4" s="18">
        <v>206</v>
      </c>
      <c r="M4" s="18">
        <v>206</v>
      </c>
      <c r="N4" s="18">
        <v>206</v>
      </c>
      <c r="O4" s="128"/>
      <c r="P4" s="27"/>
      <c r="Q4" s="27"/>
    </row>
    <row r="5" spans="1:17" x14ac:dyDescent="0.25">
      <c r="A5" s="125"/>
      <c r="B5" s="11" t="s">
        <v>6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26">
        <v>0</v>
      </c>
      <c r="K5" s="26">
        <v>119</v>
      </c>
      <c r="L5" s="26">
        <v>506</v>
      </c>
      <c r="M5" s="26">
        <v>671</v>
      </c>
      <c r="N5" s="26">
        <v>835</v>
      </c>
      <c r="O5" s="128"/>
    </row>
    <row r="6" spans="1:17" ht="6.95" customHeight="1" x14ac:dyDescent="0.25">
      <c r="A6" s="1"/>
      <c r="B6" s="1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7" x14ac:dyDescent="0.25">
      <c r="A7" s="125" t="s">
        <v>7</v>
      </c>
      <c r="B7" s="11" t="s">
        <v>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18">
        <v>56800</v>
      </c>
      <c r="K7" s="18">
        <v>77600</v>
      </c>
      <c r="L7" s="18">
        <v>252000</v>
      </c>
      <c r="M7" s="18">
        <v>284800</v>
      </c>
      <c r="N7" s="18">
        <v>274400</v>
      </c>
      <c r="O7" s="128">
        <f t="shared" ref="O7" si="0">SUM(C7:N7)</f>
        <v>945600</v>
      </c>
    </row>
    <row r="8" spans="1:17" x14ac:dyDescent="0.25">
      <c r="A8" s="125"/>
      <c r="B8" s="11" t="s">
        <v>4</v>
      </c>
      <c r="C8" s="15" t="s">
        <v>5</v>
      </c>
      <c r="D8" s="15" t="s">
        <v>5</v>
      </c>
      <c r="E8" s="15" t="s">
        <v>5</v>
      </c>
      <c r="F8" s="15" t="s">
        <v>5</v>
      </c>
      <c r="G8" s="15" t="s">
        <v>5</v>
      </c>
      <c r="H8" s="15" t="s">
        <v>5</v>
      </c>
      <c r="I8" s="15" t="s">
        <v>5</v>
      </c>
      <c r="J8" s="18" t="s">
        <v>8</v>
      </c>
      <c r="K8" s="18" t="s">
        <v>8</v>
      </c>
      <c r="L8" s="18" t="s">
        <v>8</v>
      </c>
      <c r="M8" s="18" t="s">
        <v>8</v>
      </c>
      <c r="N8" s="18" t="s">
        <v>8</v>
      </c>
      <c r="O8" s="128"/>
    </row>
    <row r="9" spans="1:17" x14ac:dyDescent="0.25">
      <c r="A9" s="125"/>
      <c r="B9" s="11" t="s">
        <v>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4">
        <v>0</v>
      </c>
      <c r="I9" s="14">
        <v>0</v>
      </c>
      <c r="J9" s="26">
        <v>20</v>
      </c>
      <c r="K9" s="26">
        <v>31</v>
      </c>
      <c r="L9" s="26">
        <v>78</v>
      </c>
      <c r="M9" s="26">
        <v>82</v>
      </c>
      <c r="N9" s="26">
        <v>77</v>
      </c>
      <c r="O9" s="128"/>
    </row>
    <row r="10" spans="1:17" ht="6.95" customHeight="1" x14ac:dyDescent="0.25">
      <c r="A10" s="1"/>
      <c r="B10" s="1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1:17" x14ac:dyDescent="0.25">
      <c r="A11" s="125" t="s">
        <v>9</v>
      </c>
      <c r="B11" s="11" t="s">
        <v>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126">
        <f>SUM(C11:N11)</f>
        <v>0</v>
      </c>
    </row>
    <row r="12" spans="1:17" x14ac:dyDescent="0.25">
      <c r="A12" s="125"/>
      <c r="B12" s="11" t="s">
        <v>4</v>
      </c>
      <c r="C12" s="15" t="s">
        <v>5</v>
      </c>
      <c r="D12" s="15" t="s">
        <v>5</v>
      </c>
      <c r="E12" s="15" t="s">
        <v>5</v>
      </c>
      <c r="F12" s="15" t="s">
        <v>5</v>
      </c>
      <c r="G12" s="15" t="s">
        <v>5</v>
      </c>
      <c r="H12" s="15" t="s">
        <v>5</v>
      </c>
      <c r="I12" s="15" t="s">
        <v>5</v>
      </c>
      <c r="J12" s="15" t="s">
        <v>5</v>
      </c>
      <c r="K12" s="15" t="s">
        <v>5</v>
      </c>
      <c r="L12" s="15" t="s">
        <v>5</v>
      </c>
      <c r="M12" s="15" t="s">
        <v>5</v>
      </c>
      <c r="N12" s="15" t="s">
        <v>5</v>
      </c>
      <c r="O12" s="126"/>
    </row>
    <row r="13" spans="1:17" x14ac:dyDescent="0.25">
      <c r="A13" s="125"/>
      <c r="B13" s="11" t="s">
        <v>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26"/>
    </row>
    <row r="14" spans="1:17" ht="6.95" customHeight="1" x14ac:dyDescent="0.25">
      <c r="A14" s="1"/>
      <c r="B14" s="1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7" x14ac:dyDescent="0.25">
      <c r="A15" s="125" t="s">
        <v>10</v>
      </c>
      <c r="B15" s="11" t="s">
        <v>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126">
        <f t="shared" ref="O15:O19" si="1">SUM(C15:N15)</f>
        <v>0</v>
      </c>
    </row>
    <row r="16" spans="1:17" x14ac:dyDescent="0.25">
      <c r="A16" s="125"/>
      <c r="B16" s="11" t="s">
        <v>4</v>
      </c>
      <c r="C16" s="15" t="s">
        <v>5</v>
      </c>
      <c r="D16" s="15" t="s">
        <v>5</v>
      </c>
      <c r="E16" s="15" t="s">
        <v>5</v>
      </c>
      <c r="F16" s="15" t="s">
        <v>5</v>
      </c>
      <c r="G16" s="15" t="s">
        <v>5</v>
      </c>
      <c r="H16" s="15" t="s">
        <v>5</v>
      </c>
      <c r="I16" s="15" t="s">
        <v>5</v>
      </c>
      <c r="J16" s="15" t="s">
        <v>5</v>
      </c>
      <c r="K16" s="15" t="s">
        <v>5</v>
      </c>
      <c r="L16" s="15" t="s">
        <v>5</v>
      </c>
      <c r="M16" s="15" t="s">
        <v>5</v>
      </c>
      <c r="N16" s="15" t="s">
        <v>5</v>
      </c>
      <c r="O16" s="126"/>
    </row>
    <row r="17" spans="1:15" x14ac:dyDescent="0.25">
      <c r="A17" s="125"/>
      <c r="B17" s="11" t="s">
        <v>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26"/>
    </row>
    <row r="18" spans="1:15" ht="6.95" customHeight="1" x14ac:dyDescent="0.25">
      <c r="A18" s="1"/>
      <c r="B18" s="1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x14ac:dyDescent="0.25">
      <c r="A19" s="125" t="s">
        <v>11</v>
      </c>
      <c r="B19" s="11" t="s">
        <v>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26">
        <f t="shared" si="1"/>
        <v>0</v>
      </c>
    </row>
    <row r="20" spans="1:15" x14ac:dyDescent="0.25">
      <c r="A20" s="125"/>
      <c r="B20" s="11" t="s">
        <v>4</v>
      </c>
      <c r="C20" s="15" t="s">
        <v>5</v>
      </c>
      <c r="D20" s="15" t="s">
        <v>5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15" t="s">
        <v>5</v>
      </c>
      <c r="K20" s="15" t="s">
        <v>5</v>
      </c>
      <c r="L20" s="15" t="s">
        <v>5</v>
      </c>
      <c r="M20" s="15" t="s">
        <v>5</v>
      </c>
      <c r="N20" s="15" t="s">
        <v>5</v>
      </c>
      <c r="O20" s="126"/>
    </row>
    <row r="21" spans="1:15" x14ac:dyDescent="0.25">
      <c r="A21" s="125"/>
      <c r="B21" s="11" t="s">
        <v>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26"/>
    </row>
    <row r="22" spans="1:15" ht="6.95" customHeight="1" x14ac:dyDescent="0.25">
      <c r="A22" s="1"/>
      <c r="B22" s="1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44.45" customHeight="1" x14ac:dyDescent="0.25">
      <c r="A23" s="6" t="s">
        <v>12</v>
      </c>
      <c r="B23" s="11" t="s">
        <v>3</v>
      </c>
      <c r="C23" s="21">
        <v>0</v>
      </c>
      <c r="D23" s="21">
        <v>0</v>
      </c>
      <c r="E23" s="21">
        <v>0</v>
      </c>
      <c r="F23" s="18">
        <v>1261</v>
      </c>
      <c r="G23" s="18">
        <v>2522.4</v>
      </c>
      <c r="H23" s="18">
        <v>6684.36</v>
      </c>
      <c r="I23" s="18">
        <v>6230.7</v>
      </c>
      <c r="J23" s="18">
        <v>8765.34</v>
      </c>
      <c r="K23" s="18">
        <v>9317.18</v>
      </c>
      <c r="L23" s="18">
        <v>10068.94</v>
      </c>
      <c r="M23" s="18">
        <v>8042.2</v>
      </c>
      <c r="N23" s="18">
        <v>9922.4500000000007</v>
      </c>
      <c r="O23" s="8">
        <f>SUM(C23:N23)</f>
        <v>62814.569999999992</v>
      </c>
    </row>
    <row r="24" spans="1:15" ht="6.95" customHeight="1" x14ac:dyDescent="0.25">
      <c r="A24" s="1"/>
      <c r="B24" s="12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 x14ac:dyDescent="0.25">
      <c r="A25" s="3" t="s">
        <v>13</v>
      </c>
      <c r="B25" s="11" t="s">
        <v>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8">
        <f t="shared" ref="O25" si="2">SUM(C25:N25)</f>
        <v>0</v>
      </c>
    </row>
    <row r="26" spans="1:15" ht="6.95" customHeight="1" x14ac:dyDescent="0.25">
      <c r="A26" s="1"/>
      <c r="B26" s="1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</row>
    <row r="27" spans="1:15" ht="15.75" thickBot="1" x14ac:dyDescent="0.3">
      <c r="A27" s="4" t="s">
        <v>14</v>
      </c>
      <c r="B27" s="13" t="s">
        <v>3</v>
      </c>
      <c r="C27" s="25">
        <f t="shared" ref="C27:N27" si="3">SUM(C3,C7,C11,C15,C19,C23,C25)</f>
        <v>0</v>
      </c>
      <c r="D27" s="25">
        <f t="shared" si="3"/>
        <v>0</v>
      </c>
      <c r="E27" s="25">
        <f t="shared" si="3"/>
        <v>0</v>
      </c>
      <c r="F27" s="25">
        <f t="shared" si="3"/>
        <v>1261</v>
      </c>
      <c r="G27" s="25">
        <f t="shared" si="3"/>
        <v>2522.4</v>
      </c>
      <c r="H27" s="25">
        <f t="shared" si="3"/>
        <v>6684.36</v>
      </c>
      <c r="I27" s="25">
        <f t="shared" si="3"/>
        <v>6230.7</v>
      </c>
      <c r="J27" s="25">
        <f t="shared" si="3"/>
        <v>65565.34</v>
      </c>
      <c r="K27" s="28">
        <f t="shared" si="3"/>
        <v>433051.18</v>
      </c>
      <c r="L27" s="28">
        <f t="shared" si="3"/>
        <v>262068.94</v>
      </c>
      <c r="M27" s="25">
        <f t="shared" si="3"/>
        <v>752538.2</v>
      </c>
      <c r="N27" s="25">
        <f t="shared" si="3"/>
        <v>622933.86</v>
      </c>
      <c r="O27" s="17">
        <f>SUM(C27:N27)</f>
        <v>2152855.98</v>
      </c>
    </row>
    <row r="34" spans="6:15" x14ac:dyDescent="0.25">
      <c r="F34" s="27"/>
    </row>
    <row r="36" spans="6:15" x14ac:dyDescent="0.25">
      <c r="J36" s="27"/>
      <c r="L36" s="27"/>
      <c r="M36" s="81"/>
      <c r="N36" s="81"/>
      <c r="O36" s="82"/>
    </row>
    <row r="37" spans="6:15" x14ac:dyDescent="0.25">
      <c r="J37" s="27"/>
    </row>
    <row r="38" spans="6:15" x14ac:dyDescent="0.25">
      <c r="O38" s="83"/>
    </row>
  </sheetData>
  <mergeCells count="11">
    <mergeCell ref="A1:O1"/>
    <mergeCell ref="A15:A17"/>
    <mergeCell ref="O15:O17"/>
    <mergeCell ref="A19:A21"/>
    <mergeCell ref="O19:O21"/>
    <mergeCell ref="A3:A5"/>
    <mergeCell ref="O3:O5"/>
    <mergeCell ref="A7:A9"/>
    <mergeCell ref="O7:O9"/>
    <mergeCell ref="A11:A13"/>
    <mergeCell ref="O11:O1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A1:R27"/>
  <sheetViews>
    <sheetView showGridLines="0" tabSelected="1" topLeftCell="B1" zoomScale="80" zoomScaleNormal="80" workbookViewId="0">
      <selection activeCell="F23" sqref="F23"/>
    </sheetView>
  </sheetViews>
  <sheetFormatPr defaultColWidth="10.85546875" defaultRowHeight="30" customHeight="1" x14ac:dyDescent="0.2"/>
  <cols>
    <col min="1" max="1" width="3.28515625" style="37" customWidth="1"/>
    <col min="2" max="2" width="2.140625" style="38" customWidth="1"/>
    <col min="3" max="3" width="42" style="38" bestFit="1" customWidth="1"/>
    <col min="4" max="4" width="18.5703125" style="39" customWidth="1"/>
    <col min="5" max="16" width="15.85546875" style="39" bestFit="1" customWidth="1"/>
    <col min="17" max="17" width="14.5703125" style="38" customWidth="1"/>
    <col min="18" max="18" width="3.140625" style="38" customWidth="1"/>
    <col min="19" max="16384" width="10.85546875" style="38"/>
  </cols>
  <sheetData>
    <row r="1" spans="1:17" ht="12.75" customHeight="1" x14ac:dyDescent="0.2"/>
    <row r="2" spans="1:17" ht="35.25" customHeight="1" thickBot="1" x14ac:dyDescent="0.75">
      <c r="A2" s="40"/>
      <c r="B2" s="124" t="s">
        <v>15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41">
        <f ca="1">YEAR(TODAY())</f>
        <v>2024</v>
      </c>
    </row>
    <row r="3" spans="1:17" ht="26.45" customHeight="1" x14ac:dyDescent="0.7">
      <c r="A3" s="40"/>
      <c r="B3" s="63"/>
      <c r="C3" s="64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</row>
    <row r="4" spans="1:17" ht="5.0999999999999996" customHeight="1" x14ac:dyDescent="0.2">
      <c r="B4" s="45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/>
    </row>
    <row r="5" spans="1:17" ht="21" customHeight="1" x14ac:dyDescent="0.2">
      <c r="B5" s="47"/>
      <c r="C5" s="69" t="s">
        <v>16</v>
      </c>
      <c r="D5" s="70">
        <v>45322</v>
      </c>
      <c r="E5" s="70">
        <v>45350</v>
      </c>
      <c r="F5" s="70">
        <v>45382</v>
      </c>
      <c r="G5" s="70">
        <v>45412</v>
      </c>
      <c r="H5" s="70">
        <v>45443</v>
      </c>
      <c r="I5" s="70">
        <v>45473</v>
      </c>
      <c r="J5" s="70">
        <v>45504</v>
      </c>
      <c r="K5" s="70">
        <v>45535</v>
      </c>
      <c r="L5" s="70">
        <v>45565</v>
      </c>
      <c r="M5" s="70">
        <v>45596</v>
      </c>
      <c r="N5" s="70">
        <v>45626</v>
      </c>
      <c r="O5" s="70">
        <v>45657</v>
      </c>
      <c r="P5" s="70" t="s">
        <v>17</v>
      </c>
      <c r="Q5" s="49"/>
    </row>
    <row r="6" spans="1:17" ht="15.95" customHeight="1" x14ac:dyDescent="0.25">
      <c r="A6" s="40"/>
      <c r="B6" s="47"/>
      <c r="C6" s="76" t="s">
        <v>18</v>
      </c>
      <c r="D6" s="51" t="s">
        <v>19</v>
      </c>
      <c r="E6" s="51" t="s">
        <v>20</v>
      </c>
      <c r="F6" s="51" t="s">
        <v>21</v>
      </c>
      <c r="G6" s="51" t="s">
        <v>22</v>
      </c>
      <c r="H6" s="51" t="s">
        <v>23</v>
      </c>
      <c r="I6" s="51" t="s">
        <v>24</v>
      </c>
      <c r="J6" s="51" t="s">
        <v>25</v>
      </c>
      <c r="K6" s="51" t="s">
        <v>26</v>
      </c>
      <c r="L6" s="51" t="s">
        <v>27</v>
      </c>
      <c r="M6" s="51" t="s">
        <v>28</v>
      </c>
      <c r="N6" s="51" t="s">
        <v>29</v>
      </c>
      <c r="O6" s="51" t="s">
        <v>30</v>
      </c>
      <c r="P6" s="51" t="s">
        <v>31</v>
      </c>
      <c r="Q6" s="51" t="s">
        <v>32</v>
      </c>
    </row>
    <row r="7" spans="1:17" ht="15.95" customHeight="1" x14ac:dyDescent="0.2">
      <c r="B7" s="47"/>
      <c r="C7" s="72" t="s">
        <v>33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f>SUM(Income4[[#This Row],[January]:[December]])</f>
        <v>0</v>
      </c>
      <c r="Q7" s="52"/>
    </row>
    <row r="8" spans="1:17" ht="15.95" customHeight="1" x14ac:dyDescent="0.2">
      <c r="B8" s="47"/>
      <c r="C8" s="72" t="s">
        <v>34</v>
      </c>
      <c r="D8" s="73">
        <v>0</v>
      </c>
      <c r="E8" s="73">
        <v>1006.6</v>
      </c>
      <c r="F8" s="73">
        <v>0</v>
      </c>
      <c r="G8" s="73">
        <v>3779.3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f>SUM(Income4[[#This Row],[January]:[December]])</f>
        <v>4785.9000000000005</v>
      </c>
      <c r="Q8" s="53"/>
    </row>
    <row r="9" spans="1:17" ht="21" customHeight="1" thickBot="1" x14ac:dyDescent="0.25">
      <c r="B9" s="47"/>
      <c r="C9" s="74" t="s">
        <v>35</v>
      </c>
      <c r="D9" s="73">
        <f>SUM(Income4[January])</f>
        <v>0</v>
      </c>
      <c r="E9" s="73">
        <f>SUBTOTAL(109,Income4[February])</f>
        <v>1006.6</v>
      </c>
      <c r="F9" s="73">
        <f>SUBTOTAL(109,Income4[March])</f>
        <v>0</v>
      </c>
      <c r="G9" s="73">
        <f>SUBTOTAL(109,Income4[April])</f>
        <v>3779.3</v>
      </c>
      <c r="H9" s="73">
        <f>SUBTOTAL(109,Income4[May])</f>
        <v>0</v>
      </c>
      <c r="I9" s="73">
        <f>SUBTOTAL(109,Income4[June])</f>
        <v>0</v>
      </c>
      <c r="J9" s="73">
        <f>SUBTOTAL(109,Income4[July])</f>
        <v>0</v>
      </c>
      <c r="K9" s="73">
        <f>SUBTOTAL(109,Income4[August])</f>
        <v>0</v>
      </c>
      <c r="L9" s="73">
        <f>SUBTOTAL(109,Income4[September])</f>
        <v>0</v>
      </c>
      <c r="M9" s="73">
        <f>SUBTOTAL(109,Income4[October])</f>
        <v>0</v>
      </c>
      <c r="N9" s="73">
        <f>SUBTOTAL(109,Income4[November])</f>
        <v>0</v>
      </c>
      <c r="O9" s="73">
        <f>SUBTOTAL(109,Income4[December])</f>
        <v>0</v>
      </c>
      <c r="P9" s="73">
        <f>SUBTOTAL(109,Income4[Year])</f>
        <v>4785.9000000000005</v>
      </c>
      <c r="Q9" s="54"/>
    </row>
    <row r="10" spans="1:17" ht="24" customHeight="1" thickTop="1" x14ac:dyDescent="0.2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7" ht="21" customHeight="1" x14ac:dyDescent="0.2">
      <c r="B11" s="55"/>
      <c r="C11" s="5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7"/>
    </row>
    <row r="12" spans="1:17" ht="21" customHeight="1" x14ac:dyDescent="0.2">
      <c r="B12" s="47"/>
      <c r="C12" s="48" t="s">
        <v>16</v>
      </c>
      <c r="D12" s="70">
        <v>45322</v>
      </c>
      <c r="E12" s="70">
        <v>45350</v>
      </c>
      <c r="F12" s="70">
        <v>45382</v>
      </c>
      <c r="G12" s="70">
        <v>45412</v>
      </c>
      <c r="H12" s="70">
        <v>45443</v>
      </c>
      <c r="I12" s="70">
        <v>45473</v>
      </c>
      <c r="J12" s="70">
        <v>45504</v>
      </c>
      <c r="K12" s="70">
        <v>45535</v>
      </c>
      <c r="L12" s="70">
        <v>45565</v>
      </c>
      <c r="M12" s="70">
        <v>45596</v>
      </c>
      <c r="N12" s="70">
        <v>45626</v>
      </c>
      <c r="O12" s="70">
        <v>45657</v>
      </c>
      <c r="P12" s="70" t="s">
        <v>17</v>
      </c>
      <c r="Q12" s="49"/>
    </row>
    <row r="13" spans="1:17" ht="15.95" customHeight="1" x14ac:dyDescent="0.25">
      <c r="A13" s="40"/>
      <c r="B13" s="47"/>
      <c r="C13" s="76" t="s">
        <v>36</v>
      </c>
      <c r="D13" s="51" t="s">
        <v>19</v>
      </c>
      <c r="E13" s="51" t="s">
        <v>20</v>
      </c>
      <c r="F13" s="51" t="s">
        <v>21</v>
      </c>
      <c r="G13" s="51" t="s">
        <v>22</v>
      </c>
      <c r="H13" s="51" t="s">
        <v>23</v>
      </c>
      <c r="I13" s="51" t="s">
        <v>24</v>
      </c>
      <c r="J13" s="51" t="s">
        <v>25</v>
      </c>
      <c r="K13" s="51" t="s">
        <v>26</v>
      </c>
      <c r="L13" s="51" t="s">
        <v>27</v>
      </c>
      <c r="M13" s="51" t="s">
        <v>28</v>
      </c>
      <c r="N13" s="51" t="s">
        <v>29</v>
      </c>
      <c r="O13" s="51" t="s">
        <v>30</v>
      </c>
      <c r="P13" s="51" t="s">
        <v>31</v>
      </c>
      <c r="Q13" s="51" t="s">
        <v>32</v>
      </c>
    </row>
    <row r="14" spans="1:17" ht="15.95" customHeight="1" x14ac:dyDescent="0.2">
      <c r="B14" s="47"/>
      <c r="C14" s="72" t="s">
        <v>37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f>SUM(Income15168[[#This Row],[January]:[December]])</f>
        <v>0</v>
      </c>
      <c r="Q14" s="52"/>
    </row>
    <row r="15" spans="1:17" ht="15.95" customHeight="1" x14ac:dyDescent="0.2">
      <c r="B15" s="47"/>
      <c r="C15" s="72" t="s">
        <v>38</v>
      </c>
      <c r="D15" s="73">
        <v>0</v>
      </c>
      <c r="E15" s="73">
        <v>0</v>
      </c>
      <c r="F15" s="73">
        <v>0</v>
      </c>
      <c r="G15" s="73">
        <v>0</v>
      </c>
      <c r="H15" s="73">
        <v>48099.3</v>
      </c>
      <c r="I15" s="73">
        <v>85013.5</v>
      </c>
      <c r="J15" s="73">
        <v>90806.75</v>
      </c>
      <c r="K15" s="73">
        <v>85483.839999999997</v>
      </c>
      <c r="L15" s="73">
        <v>85483.839999999997</v>
      </c>
      <c r="M15" s="73">
        <v>85483.839999999997</v>
      </c>
      <c r="N15" s="73">
        <v>85483.839999999997</v>
      </c>
      <c r="O15" s="73">
        <v>85483.839999999997</v>
      </c>
      <c r="P15" s="73">
        <f>SUM(Income15168[[#This Row],[January]:[December]])</f>
        <v>651338.74999999988</v>
      </c>
      <c r="Q15" s="53"/>
    </row>
    <row r="16" spans="1:17" ht="15.95" customHeight="1" x14ac:dyDescent="0.2">
      <c r="B16" s="47"/>
      <c r="C16" s="72" t="s">
        <v>39</v>
      </c>
      <c r="D16" s="73">
        <v>0</v>
      </c>
      <c r="E16" s="73">
        <v>0</v>
      </c>
      <c r="F16" s="73">
        <v>0</v>
      </c>
      <c r="G16" s="73">
        <v>277765.25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f>SUM(Income15168[[#This Row],[January]:[December]])</f>
        <v>277765.25</v>
      </c>
      <c r="Q16" s="53"/>
    </row>
    <row r="17" spans="1:18" ht="15.95" customHeight="1" x14ac:dyDescent="0.2">
      <c r="B17" s="47"/>
      <c r="C17" s="72" t="s">
        <v>40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f>SUM(Income15168[[#This Row],[January]:[December]])</f>
        <v>0</v>
      </c>
      <c r="Q17" s="53"/>
    </row>
    <row r="18" spans="1:18" ht="15.95" customHeight="1" x14ac:dyDescent="0.2">
      <c r="B18" s="47"/>
      <c r="C18" s="72" t="s">
        <v>41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127000</v>
      </c>
      <c r="P18" s="73">
        <f>SUM(Income15168[[#This Row],[January]:[December]])</f>
        <v>127000</v>
      </c>
      <c r="Q18" s="53"/>
    </row>
    <row r="19" spans="1:18" ht="21" customHeight="1" thickBot="1" x14ac:dyDescent="0.25">
      <c r="B19" s="47"/>
      <c r="C19" s="78" t="s">
        <v>35</v>
      </c>
      <c r="D19" s="79">
        <f>SUBTOTAL(109,Income15168[January])</f>
        <v>0</v>
      </c>
      <c r="E19" s="79">
        <f>SUBTOTAL(109,Income15168[February])</f>
        <v>0</v>
      </c>
      <c r="F19" s="79">
        <f>SUBTOTAL(109,Income15168[March])</f>
        <v>0</v>
      </c>
      <c r="G19" s="79">
        <f>SUBTOTAL(109,Income15168[April])</f>
        <v>277765.25</v>
      </c>
      <c r="H19" s="79">
        <f>SUBTOTAL(109,Income15168[May])</f>
        <v>48099.3</v>
      </c>
      <c r="I19" s="79">
        <f>SUBTOTAL(109,Income15168[June])</f>
        <v>85013.5</v>
      </c>
      <c r="J19" s="79">
        <f>SUBTOTAL(109,Income15168[July])</f>
        <v>90806.75</v>
      </c>
      <c r="K19" s="79">
        <f>SUBTOTAL(109,Income15168[August])</f>
        <v>85483.839999999997</v>
      </c>
      <c r="L19" s="79">
        <f>SUBTOTAL(109,Income15168[September])</f>
        <v>85483.839999999997</v>
      </c>
      <c r="M19" s="79">
        <f>SUBTOTAL(109,Income15168[October])</f>
        <v>85483.839999999997</v>
      </c>
      <c r="N19" s="79">
        <f>SUBTOTAL(109,Income15168[November])</f>
        <v>85483.839999999997</v>
      </c>
      <c r="O19" s="79">
        <f>SUBTOTAL(109,Income15168[December])</f>
        <v>212483.84</v>
      </c>
      <c r="P19" s="79">
        <f>SUBTOTAL(109,Income15168[Year])</f>
        <v>1056104</v>
      </c>
      <c r="Q19" s="80"/>
    </row>
    <row r="20" spans="1:18" ht="30" customHeight="1" thickTop="1" x14ac:dyDescent="0.2"/>
    <row r="21" spans="1:18" ht="30" customHeight="1" x14ac:dyDescent="0.2">
      <c r="K21" s="84"/>
    </row>
    <row r="27" spans="1:18" s="39" customFormat="1" ht="30" customHeight="1" x14ac:dyDescent="0.2">
      <c r="A27" s="37"/>
      <c r="B27" s="38"/>
      <c r="C27" s="38"/>
      <c r="Q27" s="38"/>
      <c r="R27" s="38"/>
    </row>
  </sheetData>
  <mergeCells count="1">
    <mergeCell ref="B2:P2"/>
  </mergeCells>
  <printOptions horizontalCentered="1"/>
  <pageMargins left="0.4" right="0.4" top="0.4" bottom="0.4" header="0.3" footer="0.3"/>
  <pageSetup scale="47" fitToHeight="0" orientation="landscape" r:id="rId1"/>
  <headerFooter differentFirst="1">
    <oddFooter>Page &amp;P of &amp;N</oddFooter>
  </headerFooter>
  <ignoredErrors>
    <ignoredError sqref="H7:H8" calculatedColumn="1"/>
  </ignoredErrors>
  <drawing r:id="rId2"/>
  <tableParts count="2"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3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'JM-10Study,StrategyFORECAST2024'!D14:O14</xm:f>
              <xm:sqref>Q14</xm:sqref>
            </x14:sparkline>
            <x14:sparkline>
              <xm:f>'JM-10Study,StrategyFORECAST2024'!D15:O15</xm:f>
              <xm:sqref>Q15</xm:sqref>
            </x14:sparkline>
            <x14:sparkline>
              <xm:f>'JM-10Study,StrategyFORECAST2024'!D16:O16</xm:f>
              <xm:sqref>Q16</xm:sqref>
            </x14:sparkline>
            <x14:sparkline>
              <xm:f>'JM-10Study,StrategyFORECAST2024'!D17:O17</xm:f>
              <xm:sqref>Q17</xm:sqref>
            </x14:sparkline>
            <x14:sparkline>
              <xm:f>'JM-10Study,StrategyFORECAST2024'!D18:O18</xm:f>
              <xm:sqref>Q18</xm:sqref>
            </x14:sparkline>
            <x14:sparkline>
              <xm:f>'JM-10Study,StrategyFORECAST2024'!D19:O19</xm:f>
              <xm:sqref>Q19</xm:sqref>
            </x14:sparkline>
          </x14:sparklines>
        </x14:sparklineGroup>
        <x14:sparklineGroup displayEmptyCellsAs="gap" high="1" low="1" xr2:uid="{00000000-0003-0000-03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'JM-10Study,StrategyFORECAST2024'!D11:O11</xm:f>
              <xm:sqref>Q11</xm:sqref>
            </x14:sparkline>
          </x14:sparklines>
        </x14:sparklineGroup>
        <x14:sparklineGroup displayEmptyCellsAs="gap" high="1" low="1" xr2:uid="{00000000-0003-0000-03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'JM-10Study,StrategyFORECAST2024'!D7:O7</xm:f>
              <xm:sqref>Q7</xm:sqref>
            </x14:sparkline>
            <x14:sparkline>
              <xm:f>'JM-10Study,StrategyFORECAST2024'!D8:O8</xm:f>
              <xm:sqref>Q8</xm:sqref>
            </x14:sparkline>
            <x14:sparkline>
              <xm:f>'JM-10Study,StrategyFORECAST2024'!D9:O9</xm:f>
              <xm:sqref>Q9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tabSelected="1" workbookViewId="0">
      <pane xSplit="1" topLeftCell="B1" activePane="topRight" state="frozen"/>
      <selection activeCell="F23" sqref="F23"/>
      <selection pane="topRight" activeCell="F23" sqref="F23"/>
    </sheetView>
  </sheetViews>
  <sheetFormatPr defaultRowHeight="15" x14ac:dyDescent="0.25"/>
  <cols>
    <col min="1" max="1" width="26.140625" customWidth="1"/>
    <col min="2" max="2" width="21" style="5" customWidth="1"/>
    <col min="3" max="14" width="12.42578125" bestFit="1" customWidth="1"/>
    <col min="15" max="15" width="14.28515625" bestFit="1" customWidth="1"/>
  </cols>
  <sheetData>
    <row r="1" spans="1:15" ht="29.45" customHeight="1" thickBot="1" x14ac:dyDescent="0.75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3.25" customHeight="1" thickBot="1" x14ac:dyDescent="0.3">
      <c r="A2" s="9"/>
      <c r="B2" s="10"/>
      <c r="C2" s="31">
        <v>45292</v>
      </c>
      <c r="D2" s="31">
        <v>45323</v>
      </c>
      <c r="E2" s="31">
        <v>45352</v>
      </c>
      <c r="F2" s="31">
        <v>45383</v>
      </c>
      <c r="G2" s="31">
        <v>45413</v>
      </c>
      <c r="H2" s="31">
        <v>45444</v>
      </c>
      <c r="I2" s="31">
        <v>45474</v>
      </c>
      <c r="J2" s="2">
        <v>45505</v>
      </c>
      <c r="K2" s="2">
        <v>45536</v>
      </c>
      <c r="L2" s="2">
        <v>45566</v>
      </c>
      <c r="M2" s="2">
        <v>45597</v>
      </c>
      <c r="N2" s="2">
        <v>45627</v>
      </c>
      <c r="O2" s="7" t="s">
        <v>1</v>
      </c>
    </row>
    <row r="3" spans="1:15" x14ac:dyDescent="0.25">
      <c r="A3" s="125" t="s">
        <v>2</v>
      </c>
      <c r="B3" s="11" t="s">
        <v>43</v>
      </c>
      <c r="C3" s="30">
        <v>259953.42</v>
      </c>
      <c r="D3" s="30">
        <v>414068.13</v>
      </c>
      <c r="E3" s="30">
        <v>0</v>
      </c>
      <c r="F3" s="30">
        <v>453536.85</v>
      </c>
      <c r="G3" s="30">
        <v>688004.72</v>
      </c>
      <c r="H3" s="30">
        <v>0</v>
      </c>
      <c r="I3" s="30">
        <v>389099.89</v>
      </c>
      <c r="J3" s="89">
        <v>300000</v>
      </c>
      <c r="K3" s="89">
        <v>300000</v>
      </c>
      <c r="L3" s="89">
        <v>300000</v>
      </c>
      <c r="M3" s="89">
        <v>300000</v>
      </c>
      <c r="N3" s="89">
        <v>300000</v>
      </c>
      <c r="O3" s="127">
        <f>SUM(C3:N3)</f>
        <v>3704663.01</v>
      </c>
    </row>
    <row r="4" spans="1:15" x14ac:dyDescent="0.25">
      <c r="A4" s="125"/>
      <c r="B4" s="11" t="s">
        <v>4</v>
      </c>
      <c r="C4" s="30">
        <v>206</v>
      </c>
      <c r="D4" s="30">
        <v>206</v>
      </c>
      <c r="E4" s="30">
        <v>206</v>
      </c>
      <c r="F4" s="30">
        <v>206</v>
      </c>
      <c r="G4" s="30">
        <v>206</v>
      </c>
      <c r="H4" s="30">
        <v>206</v>
      </c>
      <c r="I4" s="30">
        <v>206</v>
      </c>
      <c r="J4" s="18">
        <v>206</v>
      </c>
      <c r="K4" s="18">
        <v>206</v>
      </c>
      <c r="L4" s="18">
        <v>206</v>
      </c>
      <c r="M4" s="18">
        <v>206</v>
      </c>
      <c r="N4" s="18">
        <v>206</v>
      </c>
      <c r="O4" s="128"/>
    </row>
    <row r="5" spans="1:15" x14ac:dyDescent="0.25">
      <c r="A5" s="125"/>
      <c r="B5" s="11" t="s">
        <v>6</v>
      </c>
      <c r="C5" s="29">
        <v>1059</v>
      </c>
      <c r="D5" s="29">
        <v>1247</v>
      </c>
      <c r="E5" s="29">
        <v>1315</v>
      </c>
      <c r="F5" s="29">
        <v>1200</v>
      </c>
      <c r="G5" s="29">
        <v>1150</v>
      </c>
      <c r="H5" s="29">
        <v>700</v>
      </c>
      <c r="I5" s="29">
        <v>541</v>
      </c>
      <c r="J5" s="14">
        <v>550</v>
      </c>
      <c r="K5" s="14">
        <v>700</v>
      </c>
      <c r="L5" s="14">
        <v>700</v>
      </c>
      <c r="M5" s="14">
        <v>500</v>
      </c>
      <c r="N5" s="14">
        <v>500</v>
      </c>
      <c r="O5" s="128"/>
    </row>
    <row r="6" spans="1:15" ht="6.95" customHeight="1" x14ac:dyDescent="0.25">
      <c r="A6" s="1"/>
      <c r="B6" s="12"/>
      <c r="C6" s="3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5" x14ac:dyDescent="0.25">
      <c r="A7" s="125" t="s">
        <v>7</v>
      </c>
      <c r="B7" s="11" t="s">
        <v>43</v>
      </c>
      <c r="C7" s="30">
        <v>612600</v>
      </c>
      <c r="D7" s="30">
        <v>301800</v>
      </c>
      <c r="E7" s="30">
        <v>337208.57</v>
      </c>
      <c r="F7" s="30">
        <v>357000</v>
      </c>
      <c r="G7" s="30">
        <v>442400</v>
      </c>
      <c r="H7" s="30">
        <v>537400</v>
      </c>
      <c r="I7" s="30">
        <v>685241.37</v>
      </c>
      <c r="J7" s="18">
        <v>700000</v>
      </c>
      <c r="K7" s="86">
        <v>0</v>
      </c>
      <c r="L7" s="86">
        <v>0</v>
      </c>
      <c r="M7" s="86">
        <v>0</v>
      </c>
      <c r="N7" s="86">
        <v>0</v>
      </c>
      <c r="O7" s="128">
        <f>SUM(C7:N7)</f>
        <v>3973649.9400000004</v>
      </c>
    </row>
    <row r="8" spans="1:15" x14ac:dyDescent="0.25">
      <c r="A8" s="125"/>
      <c r="B8" s="11" t="s">
        <v>4</v>
      </c>
      <c r="C8" s="30" t="s">
        <v>8</v>
      </c>
      <c r="D8" s="30" t="s">
        <v>8</v>
      </c>
      <c r="E8" s="30" t="s">
        <v>8</v>
      </c>
      <c r="F8" s="30" t="s">
        <v>8</v>
      </c>
      <c r="G8" s="30" t="s">
        <v>8</v>
      </c>
      <c r="H8" s="30" t="s">
        <v>8</v>
      </c>
      <c r="I8" s="30" t="s">
        <v>8</v>
      </c>
      <c r="J8" s="18" t="s">
        <v>8</v>
      </c>
      <c r="K8" s="18" t="s">
        <v>8</v>
      </c>
      <c r="L8" s="18" t="s">
        <v>8</v>
      </c>
      <c r="M8" s="18" t="s">
        <v>8</v>
      </c>
      <c r="N8" s="18" t="s">
        <v>8</v>
      </c>
      <c r="O8" s="128"/>
    </row>
    <row r="9" spans="1:15" x14ac:dyDescent="0.25">
      <c r="A9" s="125"/>
      <c r="B9" s="11" t="s">
        <v>6</v>
      </c>
      <c r="C9" s="29">
        <v>172</v>
      </c>
      <c r="D9" s="29">
        <v>91</v>
      </c>
      <c r="E9" s="29">
        <v>107</v>
      </c>
      <c r="F9" s="29">
        <v>120</v>
      </c>
      <c r="G9" s="29">
        <v>144</v>
      </c>
      <c r="H9" s="29">
        <v>174</v>
      </c>
      <c r="I9" s="29">
        <v>224</v>
      </c>
      <c r="J9" s="14">
        <v>148</v>
      </c>
      <c r="K9" s="14">
        <v>0</v>
      </c>
      <c r="L9" s="14">
        <v>0</v>
      </c>
      <c r="M9" s="14">
        <v>0</v>
      </c>
      <c r="N9" s="14">
        <v>0</v>
      </c>
      <c r="O9" s="128"/>
    </row>
    <row r="10" spans="1:15" ht="6.95" customHeight="1" x14ac:dyDescent="0.25">
      <c r="A10" s="1"/>
      <c r="B10" s="12"/>
      <c r="C10" s="3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1:15" x14ac:dyDescent="0.25">
      <c r="A11" s="125" t="s">
        <v>9</v>
      </c>
      <c r="B11" s="11" t="s">
        <v>43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0">
        <v>161739.61000000002</v>
      </c>
      <c r="I11" s="30">
        <v>105753.7</v>
      </c>
      <c r="J11" s="18">
        <v>400000</v>
      </c>
      <c r="K11" s="18">
        <v>500000</v>
      </c>
      <c r="L11" s="18">
        <v>400000</v>
      </c>
      <c r="M11" s="22">
        <v>300000</v>
      </c>
      <c r="N11" s="18">
        <v>140000</v>
      </c>
      <c r="O11" s="126">
        <f>SUM(C11:N11)</f>
        <v>2007493.31</v>
      </c>
    </row>
    <row r="12" spans="1:15" x14ac:dyDescent="0.25">
      <c r="A12" s="125"/>
      <c r="B12" s="11" t="s">
        <v>4</v>
      </c>
      <c r="C12" s="34" t="s">
        <v>5</v>
      </c>
      <c r="D12" s="34" t="s">
        <v>5</v>
      </c>
      <c r="E12" s="85">
        <v>40000</v>
      </c>
      <c r="F12" s="85">
        <v>40000</v>
      </c>
      <c r="G12" s="85">
        <v>40000</v>
      </c>
      <c r="H12" s="85">
        <v>40000</v>
      </c>
      <c r="I12" s="85">
        <v>40000</v>
      </c>
      <c r="J12" s="22">
        <v>40000</v>
      </c>
      <c r="K12" s="22">
        <v>40000</v>
      </c>
      <c r="L12" s="22">
        <v>40000</v>
      </c>
      <c r="M12" s="22">
        <v>40000</v>
      </c>
      <c r="N12" s="22">
        <v>40000</v>
      </c>
      <c r="O12" s="126"/>
    </row>
    <row r="13" spans="1:15" x14ac:dyDescent="0.25">
      <c r="A13" s="125"/>
      <c r="B13" s="11" t="s">
        <v>6</v>
      </c>
      <c r="C13" s="34">
        <v>0</v>
      </c>
      <c r="D13" s="34">
        <v>0</v>
      </c>
      <c r="E13" s="34">
        <f>E11/E12</f>
        <v>0</v>
      </c>
      <c r="F13" s="34">
        <f t="shared" ref="F13:N13" si="0">F11/F12</f>
        <v>0</v>
      </c>
      <c r="G13" s="34">
        <f t="shared" si="0"/>
        <v>0</v>
      </c>
      <c r="H13" s="34">
        <v>7</v>
      </c>
      <c r="I13" s="34">
        <v>3</v>
      </c>
      <c r="J13" s="15">
        <f t="shared" si="0"/>
        <v>10</v>
      </c>
      <c r="K13" s="15">
        <f t="shared" si="0"/>
        <v>12.5</v>
      </c>
      <c r="L13" s="15">
        <f t="shared" si="0"/>
        <v>10</v>
      </c>
      <c r="M13" s="15">
        <f t="shared" si="0"/>
        <v>7.5</v>
      </c>
      <c r="N13" s="15">
        <f t="shared" si="0"/>
        <v>3.5</v>
      </c>
      <c r="O13" s="126"/>
    </row>
    <row r="14" spans="1:15" ht="6.95" customHeight="1" x14ac:dyDescent="0.25">
      <c r="A14" s="1"/>
      <c r="B14" s="12"/>
      <c r="C14" s="3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x14ac:dyDescent="0.25">
      <c r="A15" s="125" t="s">
        <v>10</v>
      </c>
      <c r="B15" s="11" t="s">
        <v>43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86">
        <v>0</v>
      </c>
      <c r="K15" s="21">
        <v>40000</v>
      </c>
      <c r="L15" s="21">
        <v>80000</v>
      </c>
      <c r="M15" s="21">
        <v>40000</v>
      </c>
      <c r="N15" s="21">
        <v>0</v>
      </c>
      <c r="O15" s="126">
        <f t="shared" ref="O15:O19" si="1">SUM(C15:N15)</f>
        <v>160000</v>
      </c>
    </row>
    <row r="16" spans="1:15" x14ac:dyDescent="0.25">
      <c r="A16" s="125"/>
      <c r="B16" s="11" t="s">
        <v>4</v>
      </c>
      <c r="C16" s="34" t="s">
        <v>5</v>
      </c>
      <c r="D16" s="34" t="s">
        <v>5</v>
      </c>
      <c r="E16" s="30">
        <v>50000</v>
      </c>
      <c r="F16" s="34" t="s">
        <v>5</v>
      </c>
      <c r="G16" s="30">
        <v>50000</v>
      </c>
      <c r="H16" s="34" t="s">
        <v>5</v>
      </c>
      <c r="I16" s="34" t="s">
        <v>5</v>
      </c>
      <c r="J16" s="87" t="s">
        <v>5</v>
      </c>
      <c r="K16" s="15" t="s">
        <v>5</v>
      </c>
      <c r="L16" s="15" t="s">
        <v>5</v>
      </c>
      <c r="M16" s="15" t="s">
        <v>5</v>
      </c>
      <c r="N16" s="15" t="s">
        <v>5</v>
      </c>
      <c r="O16" s="126"/>
    </row>
    <row r="17" spans="1:15" x14ac:dyDescent="0.25">
      <c r="A17" s="125"/>
      <c r="B17" s="11" t="s">
        <v>6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87">
        <v>0</v>
      </c>
      <c r="K17" s="15">
        <v>1</v>
      </c>
      <c r="L17" s="15">
        <v>2</v>
      </c>
      <c r="M17" s="15">
        <v>1</v>
      </c>
      <c r="N17" s="15">
        <v>0</v>
      </c>
      <c r="O17" s="126"/>
    </row>
    <row r="18" spans="1:15" ht="6.95" customHeight="1" x14ac:dyDescent="0.25">
      <c r="A18" s="1"/>
      <c r="B18" s="12"/>
      <c r="C18" s="3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15" x14ac:dyDescent="0.25">
      <c r="A19" s="125" t="s">
        <v>11</v>
      </c>
      <c r="B19" s="11" t="s">
        <v>43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23">
        <v>60000</v>
      </c>
      <c r="K19" s="21">
        <v>60000</v>
      </c>
      <c r="L19" s="21">
        <v>0</v>
      </c>
      <c r="M19" s="21">
        <v>0</v>
      </c>
      <c r="N19" s="21">
        <v>40000</v>
      </c>
      <c r="O19" s="126">
        <f t="shared" si="1"/>
        <v>160000</v>
      </c>
    </row>
    <row r="20" spans="1:15" x14ac:dyDescent="0.25">
      <c r="A20" s="125"/>
      <c r="B20" s="11" t="s">
        <v>4</v>
      </c>
      <c r="C20" s="34" t="s">
        <v>5</v>
      </c>
      <c r="D20" s="34" t="s">
        <v>5</v>
      </c>
      <c r="E20" s="34" t="s">
        <v>5</v>
      </c>
      <c r="F20" s="34" t="s">
        <v>5</v>
      </c>
      <c r="G20" s="34" t="s">
        <v>5</v>
      </c>
      <c r="H20" s="34" t="s">
        <v>5</v>
      </c>
      <c r="I20" s="34" t="s">
        <v>5</v>
      </c>
      <c r="J20" s="23">
        <v>200000</v>
      </c>
      <c r="K20" s="15" t="s">
        <v>5</v>
      </c>
      <c r="L20" s="15" t="s">
        <v>5</v>
      </c>
      <c r="M20" s="15" t="s">
        <v>5</v>
      </c>
      <c r="N20" s="15" t="s">
        <v>5</v>
      </c>
      <c r="O20" s="126"/>
    </row>
    <row r="21" spans="1:15" x14ac:dyDescent="0.25">
      <c r="A21" s="125"/>
      <c r="B21" s="11" t="s">
        <v>6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26"/>
    </row>
    <row r="22" spans="1:15" ht="6.95" customHeight="1" x14ac:dyDescent="0.25">
      <c r="A22" s="1"/>
      <c r="B22" s="12"/>
      <c r="C22" s="3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30" x14ac:dyDescent="0.25">
      <c r="A23" s="6" t="s">
        <v>12</v>
      </c>
      <c r="B23" s="11" t="s">
        <v>43</v>
      </c>
      <c r="C23" s="35">
        <v>16679</v>
      </c>
      <c r="D23" s="35">
        <v>10515</v>
      </c>
      <c r="E23" s="35">
        <v>11083</v>
      </c>
      <c r="F23" s="35">
        <v>30550</v>
      </c>
      <c r="G23" s="35">
        <v>30448</v>
      </c>
      <c r="H23" s="35">
        <v>11480</v>
      </c>
      <c r="I23" s="35">
        <v>27483</v>
      </c>
      <c r="J23" s="16">
        <v>17800</v>
      </c>
      <c r="K23" s="16">
        <v>17500</v>
      </c>
      <c r="L23" s="16">
        <v>17500</v>
      </c>
      <c r="M23" s="16">
        <v>17500</v>
      </c>
      <c r="N23" s="16">
        <v>17500</v>
      </c>
      <c r="O23" s="8">
        <f>SUM(C23:N23)</f>
        <v>226038</v>
      </c>
    </row>
    <row r="24" spans="1:15" ht="6.95" customHeight="1" x14ac:dyDescent="0.25">
      <c r="A24" s="1"/>
      <c r="B24" s="12"/>
      <c r="C24" s="3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 x14ac:dyDescent="0.25">
      <c r="A25" s="3" t="s">
        <v>13</v>
      </c>
      <c r="B25" s="11" t="s">
        <v>43</v>
      </c>
      <c r="C25" s="33">
        <v>0</v>
      </c>
      <c r="D25" s="33">
        <v>0</v>
      </c>
      <c r="E25" s="33">
        <v>0</v>
      </c>
      <c r="F25" s="88">
        <v>5750.45</v>
      </c>
      <c r="G25" s="88">
        <v>17513.52</v>
      </c>
      <c r="H25" s="88">
        <v>12773.78</v>
      </c>
      <c r="I25" s="33">
        <v>51885.73</v>
      </c>
      <c r="J25" s="89">
        <v>30800</v>
      </c>
      <c r="K25" s="89">
        <v>30800</v>
      </c>
      <c r="L25" s="89">
        <v>6000</v>
      </c>
      <c r="M25" s="21">
        <v>0</v>
      </c>
      <c r="N25" s="21">
        <v>0</v>
      </c>
      <c r="O25" s="8">
        <f t="shared" ref="O25" si="2">SUM(C25:N25)</f>
        <v>155523.48000000001</v>
      </c>
    </row>
    <row r="26" spans="1:15" ht="6.95" customHeight="1" x14ac:dyDescent="0.25">
      <c r="A26" s="1"/>
      <c r="B26" s="12"/>
      <c r="C26" s="3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</row>
    <row r="27" spans="1:15" ht="15.75" thickBot="1" x14ac:dyDescent="0.3">
      <c r="A27" s="4" t="s">
        <v>14</v>
      </c>
      <c r="B27" s="13" t="s">
        <v>43</v>
      </c>
      <c r="C27" s="36">
        <f t="shared" ref="C27:N27" si="3">SUM(C3,C7,C11,C15,C19,C23,C25)</f>
        <v>889232.42</v>
      </c>
      <c r="D27" s="36">
        <f t="shared" si="3"/>
        <v>726383.13</v>
      </c>
      <c r="E27" s="36">
        <f t="shared" si="3"/>
        <v>348291.57</v>
      </c>
      <c r="F27" s="36">
        <f t="shared" si="3"/>
        <v>846837.29999999993</v>
      </c>
      <c r="G27" s="36">
        <f t="shared" si="3"/>
        <v>1178366.24</v>
      </c>
      <c r="H27" s="36">
        <f t="shared" si="3"/>
        <v>723393.39</v>
      </c>
      <c r="I27" s="36">
        <f t="shared" si="3"/>
        <v>1259463.69</v>
      </c>
      <c r="J27" s="25">
        <f t="shared" si="3"/>
        <v>1508600</v>
      </c>
      <c r="K27" s="25">
        <f t="shared" si="3"/>
        <v>948300</v>
      </c>
      <c r="L27" s="25">
        <f t="shared" si="3"/>
        <v>803500</v>
      </c>
      <c r="M27" s="25">
        <f t="shared" si="3"/>
        <v>657500</v>
      </c>
      <c r="N27" s="25">
        <f t="shared" si="3"/>
        <v>497500</v>
      </c>
      <c r="O27" s="17">
        <f>SUM(C27:N27)</f>
        <v>10387367.74</v>
      </c>
    </row>
    <row r="30" spans="1:15" x14ac:dyDescent="0.25">
      <c r="O30" s="81"/>
    </row>
    <row r="32" spans="1:15" x14ac:dyDescent="0.25">
      <c r="O32" s="27"/>
    </row>
  </sheetData>
  <mergeCells count="11">
    <mergeCell ref="A1:O1"/>
    <mergeCell ref="A15:A17"/>
    <mergeCell ref="A19:A21"/>
    <mergeCell ref="O3:O5"/>
    <mergeCell ref="O7:O9"/>
    <mergeCell ref="O11:O13"/>
    <mergeCell ref="O15:O17"/>
    <mergeCell ref="O19:O21"/>
    <mergeCell ref="A3:A5"/>
    <mergeCell ref="A7:A9"/>
    <mergeCell ref="A11:A1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8D28F4-4AC1-4CBC-A414-3144CF778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22F79E-0CDC-4533-AE86-21E612728868}"/>
</file>

<file path=customXml/itemProps3.xml><?xml version="1.0" encoding="utf-8"?>
<ds:datastoreItem xmlns:ds="http://schemas.openxmlformats.org/officeDocument/2006/customXml" ds:itemID="{57705F86-8FE0-4982-A100-E76C43C72D21}">
  <ds:schemaRefs>
    <ds:schemaRef ds:uri="http://purl.org/dc/dcmitype/"/>
    <ds:schemaRef ds:uri="a4cca705-ae65-4e19-b3d9-57c6252bf639"/>
    <ds:schemaRef ds:uri="http://purl.org/dc/elements/1.1/"/>
    <ds:schemaRef ds:uri="http://schemas.microsoft.com/office/2006/metadata/properties"/>
    <ds:schemaRef ds:uri="http://schemas.microsoft.com/office/2006/documentManagement/types"/>
    <ds:schemaRef ds:uri="a598ba64-da8d-4596-8e01-b9874a90f71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112FF11-63CD-41AB-B0BA-0C92D8CAC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JM-10 Summary</vt:lpstr>
      <vt:lpstr>JM-10 StudyStrategy ACTUALS2023</vt:lpstr>
      <vt:lpstr>JM-10 Pilot 2023 Actuals</vt:lpstr>
      <vt:lpstr>JM-10Study,StrategyFORECAST2024</vt:lpstr>
      <vt:lpstr>JM-10 Pilot 2024 Forecast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Lacy, Megan</dc:creator>
  <cp:keywords/>
  <dc:description/>
  <cp:lastModifiedBy>Mullins, Kimball (SEA)</cp:lastModifiedBy>
  <cp:revision/>
  <cp:lastPrinted>2024-09-13T00:04:17Z</cp:lastPrinted>
  <dcterms:created xsi:type="dcterms:W3CDTF">2024-02-28T19:28:00Z</dcterms:created>
  <dcterms:modified xsi:type="dcterms:W3CDTF">2024-09-13T00:05:20Z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SIP_Label_b689cc04-6351-41d8-9f1d-a834e5351c1d_Enabled">
    <vt:lpwstr>true</vt:lpwstr>
  </property>
  <property fmtid="{D5CDD505-2E9C-101B-9397-08002B2CF9AE}" pid="4" name="MSIP_Label_b689cc04-6351-41d8-9f1d-a834e5351c1d_SetDate">
    <vt:lpwstr>2024-08-22T16:34:23Z</vt:lpwstr>
  </property>
  <property fmtid="{D5CDD505-2E9C-101B-9397-08002B2CF9AE}" pid="5" name="MSIP_Label_b689cc04-6351-41d8-9f1d-a834e5351c1d_Method">
    <vt:lpwstr>Standard</vt:lpwstr>
  </property>
  <property fmtid="{D5CDD505-2E9C-101B-9397-08002B2CF9AE}" pid="6" name="MSIP_Label_b689cc04-6351-41d8-9f1d-a834e5351c1d_Name">
    <vt:lpwstr>Internal Use Only</vt:lpwstr>
  </property>
  <property fmtid="{D5CDD505-2E9C-101B-9397-08002B2CF9AE}" pid="7" name="MSIP_Label_b689cc04-6351-41d8-9f1d-a834e5351c1d_SiteId">
    <vt:lpwstr>58e8b525-6212-4087-a0d0-fa755583444b</vt:lpwstr>
  </property>
  <property fmtid="{D5CDD505-2E9C-101B-9397-08002B2CF9AE}" pid="8" name="MSIP_Label_b689cc04-6351-41d8-9f1d-a834e5351c1d_ActionId">
    <vt:lpwstr>8f9cc286-f0cd-43aa-87c5-062303ffc650</vt:lpwstr>
  </property>
  <property fmtid="{D5CDD505-2E9C-101B-9397-08002B2CF9AE}" pid="9" name="MSIP_Label_b689cc04-6351-41d8-9f1d-a834e5351c1d_ContentBits">
    <vt:lpwstr>0</vt:lpwstr>
  </property>
  <property fmtid="{D5CDD505-2E9C-101B-9397-08002B2CF9AE}" pid="10" name="_docset_NoMedatataSyncRequired">
    <vt:lpwstr>False</vt:lpwstr>
  </property>
</Properties>
</file>