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22BF6710-3394-4C44-85F6-88535B0ED0A6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19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3" l="1"/>
  <c r="C3" i="4" l="1"/>
  <c r="F17" i="3" l="1"/>
  <c r="G15" i="1" l="1"/>
  <c r="E22" i="1" l="1"/>
  <c r="E5" i="1"/>
  <c r="H43" i="4" l="1"/>
  <c r="G43" i="4"/>
  <c r="B45" i="4" l="1"/>
  <c r="B42" i="4"/>
  <c r="B30" i="4"/>
  <c r="B1" i="4"/>
  <c r="A19" i="3"/>
  <c r="K1" i="3"/>
  <c r="B39" i="4" l="1"/>
  <c r="B41" i="4"/>
  <c r="K2" i="3"/>
  <c r="B16" i="3" s="1"/>
  <c r="D16" i="3" s="1"/>
  <c r="E14" i="1" l="1"/>
  <c r="E11" i="1"/>
  <c r="E10" i="1"/>
  <c r="E13" i="1"/>
  <c r="E12" i="1"/>
  <c r="H10" i="1" l="1"/>
  <c r="B36" i="4" l="1"/>
  <c r="B8" i="3"/>
  <c r="G2" i="3"/>
  <c r="B1" i="3"/>
  <c r="B3" i="3"/>
  <c r="D2" i="4"/>
  <c r="B3" i="4"/>
  <c r="B38" i="4" l="1"/>
  <c r="B40" i="4"/>
  <c r="B28" i="4" l="1"/>
  <c r="B21" i="4"/>
  <c r="B14" i="4"/>
  <c r="B5" i="4" l="1"/>
  <c r="C5" i="4" s="1"/>
  <c r="B4" i="4"/>
  <c r="C4" i="4" s="1"/>
  <c r="E4" i="4" l="1"/>
  <c r="B4" i="3"/>
  <c r="B10" i="3"/>
  <c r="C4" i="3" l="1"/>
  <c r="B35" i="4"/>
  <c r="B6" i="4" l="1"/>
  <c r="C6" i="4" s="1"/>
  <c r="C12" i="3" l="1"/>
  <c r="D4" i="3"/>
  <c r="B37" i="4" l="1"/>
  <c r="B34" i="4" l="1"/>
  <c r="B9" i="4"/>
  <c r="B10" i="4"/>
  <c r="B11" i="4"/>
  <c r="B12" i="4"/>
  <c r="B13" i="4"/>
  <c r="B15" i="4"/>
  <c r="B16" i="4"/>
  <c r="B17" i="4"/>
  <c r="B18" i="4"/>
  <c r="B19" i="4"/>
  <c r="B20" i="4"/>
  <c r="B22" i="4"/>
  <c r="B23" i="4"/>
  <c r="B24" i="4"/>
  <c r="B25" i="4"/>
  <c r="B26" i="4"/>
  <c r="B27" i="4"/>
  <c r="B29" i="4"/>
  <c r="B31" i="4"/>
  <c r="B32" i="4"/>
  <c r="B33" i="4"/>
  <c r="B8" i="4"/>
  <c r="B7" i="4"/>
  <c r="C7" i="4" s="1"/>
  <c r="B14" i="3"/>
  <c r="C14" i="3" s="1"/>
  <c r="B13" i="3"/>
  <c r="C13" i="3" s="1"/>
  <c r="B11" i="3"/>
  <c r="C11" i="3" s="1"/>
  <c r="C10" i="3"/>
  <c r="B9" i="3"/>
  <c r="C9" i="3" s="1"/>
  <c r="B7" i="3"/>
  <c r="C7" i="3" s="1"/>
  <c r="C8" i="3"/>
  <c r="B5" i="3"/>
  <c r="B6" i="3"/>
  <c r="C6" i="3" s="1"/>
  <c r="B43" i="4" l="1"/>
  <c r="E20" i="1" s="1"/>
  <c r="B17" i="3"/>
  <c r="C5" i="3"/>
  <c r="B19" i="3"/>
  <c r="E21" i="1" l="1"/>
  <c r="E7" i="4" l="1"/>
  <c r="E8" i="4"/>
  <c r="E11" i="4"/>
  <c r="E12" i="4"/>
  <c r="E15" i="4"/>
  <c r="E16" i="4"/>
  <c r="E19" i="4"/>
  <c r="E20" i="4"/>
  <c r="E23" i="4"/>
  <c r="E24" i="4"/>
  <c r="E27" i="4"/>
  <c r="E28" i="4"/>
  <c r="E31" i="4"/>
  <c r="E32" i="4"/>
  <c r="E34" i="4"/>
  <c r="E35" i="4"/>
  <c r="E36" i="4"/>
  <c r="E39" i="4"/>
  <c r="E40" i="4"/>
  <c r="E5" i="4"/>
  <c r="E6" i="4"/>
  <c r="E9" i="4"/>
  <c r="E10" i="4"/>
  <c r="E13" i="4"/>
  <c r="E14" i="4"/>
  <c r="E17" i="4"/>
  <c r="E18" i="4"/>
  <c r="E21" i="4"/>
  <c r="E22" i="4"/>
  <c r="E25" i="4"/>
  <c r="E26" i="4"/>
  <c r="E29" i="4"/>
  <c r="E30" i="4"/>
  <c r="E33" i="4"/>
  <c r="E37" i="4"/>
  <c r="E38" i="4"/>
  <c r="D5" i="3"/>
  <c r="D6" i="3"/>
  <c r="D7" i="3"/>
  <c r="D8" i="3"/>
  <c r="D9" i="3"/>
  <c r="D10" i="3"/>
  <c r="D11" i="3"/>
  <c r="D12" i="3"/>
  <c r="D13" i="3"/>
  <c r="D14" i="3"/>
  <c r="D17" i="3" l="1"/>
  <c r="E43" i="4"/>
  <c r="G20" i="1" s="1"/>
  <c r="I20" i="1" s="1"/>
  <c r="H12" i="1" l="1"/>
  <c r="H13" i="1"/>
  <c r="H14" i="1"/>
  <c r="H24" i="1" l="1"/>
  <c r="H11" i="1" l="1"/>
  <c r="G21" i="1" l="1"/>
  <c r="I21" i="1" s="1"/>
  <c r="I22" i="1" s="1"/>
  <c r="G22" i="1" l="1"/>
  <c r="H22" i="1" s="1"/>
  <c r="F21" i="1"/>
  <c r="F20" i="1"/>
</calcChain>
</file>

<file path=xl/sharedStrings.xml><?xml version="1.0" encoding="utf-8"?>
<sst xmlns="http://schemas.openxmlformats.org/spreadsheetml/2006/main" count="159" uniqueCount="115">
  <si>
    <t>Resource</t>
  </si>
  <si>
    <t xml:space="preserve">Fuel Mix </t>
  </si>
  <si>
    <t>WA Dept. of Commerce Fuel Mix Report =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</si>
  <si>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</si>
  <si>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</si>
  <si>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</si>
  <si>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</si>
  <si>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</si>
  <si>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</si>
  <si>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</si>
  <si>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</si>
  <si>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</si>
  <si>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</si>
  <si>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</si>
  <si>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</si>
  <si>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</si>
  <si>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</si>
  <si>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</si>
  <si>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</si>
  <si>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</si>
  <si>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</si>
  <si>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</si>
  <si>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</si>
  <si>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</si>
  <si>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</si>
  <si>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</si>
  <si>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</si>
  <si>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</si>
  <si>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</si>
  <si>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</si>
  <si>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</si>
  <si>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</si>
  <si>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</si>
  <si>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</si>
  <si>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</si>
  <si>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</si>
  <si>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</si>
  <si>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</si>
  <si>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</si>
  <si>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</si>
  <si>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</si>
  <si>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</si>
  <si>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</si>
  <si>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</si>
  <si>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</si>
  <si>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</si>
  <si>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</si>
  <si>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</si>
  <si>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</si>
  <si>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Douglas PUD Settlement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</si>
  <si>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</si>
  <si>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</si>
  <si>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</si>
  <si>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</si>
  <si>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</si>
  <si>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</si>
  <si>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</si>
  <si>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</si>
  <si>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</si>
  <si>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</si>
  <si>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</si>
  <si>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</si>
  <si>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</si>
  <si>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</si>
  <si>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</si>
  <si>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</si>
  <si>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</si>
  <si>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</si>
  <si>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</si>
  <si>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</si>
  <si>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</si>
  <si>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</si>
  <si>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</si>
  <si>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</si>
  <si>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</si>
  <si>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Douglas County PUD - Wells </t>
  </si>
  <si>
    <t>Grant PUD - Wanapum</t>
  </si>
  <si>
    <t>Grant PUD - Priest Rapids</t>
  </si>
  <si>
    <t>Yakima Tieton</t>
  </si>
  <si>
    <t>Coal</t>
  </si>
  <si>
    <t>Gas</t>
  </si>
  <si>
    <t>Wind</t>
  </si>
  <si>
    <t>Hydro</t>
  </si>
  <si>
    <t>Cogen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</si>
  <si>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</si>
  <si>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</si>
  <si>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</si>
  <si>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</si>
  <si>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</si>
  <si>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</si>
  <si>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</si>
  <si>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</si>
  <si>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Other Firm Purchases (1)</t>
  </si>
  <si>
    <t>(1) Third party imbalance , transmission losses, misc exchanges. Per FERC accounting booked to purchase power</t>
  </si>
  <si>
    <t xml:space="preserve">Hermiston </t>
  </si>
  <si>
    <t>CAGW</t>
  </si>
  <si>
    <t>CAEW</t>
  </si>
  <si>
    <t>WA Situs</t>
  </si>
  <si>
    <t>EIM Sales</t>
  </si>
  <si>
    <t>EIM Export/Sales</t>
  </si>
  <si>
    <r>
      <t xml:space="preserve">EIM </t>
    </r>
    <r>
      <rPr>
        <sz val="11"/>
        <rFont val="Calibri"/>
        <family val="2"/>
      </rPr>
      <t>Import/Purchase from PACE to PACW</t>
    </r>
  </si>
  <si>
    <t>Cowlitz Swift #2 - Purchase and Exchange Agreement</t>
  </si>
  <si>
    <t>SCL Stateline - Purchase and Exchange Agreement</t>
  </si>
  <si>
    <t>Summary Energy and Emissions Intensity Report - 2019</t>
  </si>
  <si>
    <t>Updated 5/10/2021</t>
  </si>
  <si>
    <t>2019 Washington - WCA Allocation Factor</t>
  </si>
  <si>
    <t>Annual (Unallocated) MWh 2019</t>
  </si>
  <si>
    <t>TOTAL GHG Content</t>
  </si>
  <si>
    <t>Transmission Loss Factor</t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</si>
  <si>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</t>
    </r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</si>
  <si>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</si>
  <si>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t>MT CO2e / MWh</t>
  </si>
  <si>
    <t>MT to lbs Converstion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</si>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</sst>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_(* #,##0.00000_);_(* \(#,##0.00000\);_(* &quot;-&quot;??_);_(@_)"/>
    <numFmt numFmtId="178" formatCode="0.000%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67" fontId="15" fillId="0" borderId="0" applyFont="0" applyFill="0" applyBorder="0" applyProtection="0">
      <alignment horizontal="right"/>
    </xf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8" fontId="16" fillId="0" borderId="0" applyNumberFormat="0" applyFill="0" applyBorder="0" applyAlignment="0" applyProtection="0"/>
    <xf numFmtId="0" fontId="17" fillId="0" borderId="35" applyNumberFormat="0" applyBorder="0" applyAlignment="0"/>
    <xf numFmtId="12" fontId="14" fillId="3" borderId="20">
      <alignment horizontal="left"/>
    </xf>
    <xf numFmtId="37" fontId="17" fillId="4" borderId="0" applyNumberFormat="0" applyBorder="0" applyAlignment="0" applyProtection="0"/>
    <xf numFmtId="37" fontId="17" fillId="0" borderId="0"/>
    <xf numFmtId="3" fontId="18" fillId="5" borderId="36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2" fillId="0" borderId="0"/>
    <xf numFmtId="169" fontId="21" fillId="0" borderId="0"/>
    <xf numFmtId="0" fontId="20" fillId="0" borderId="0"/>
    <xf numFmtId="0" fontId="12" fillId="0" borderId="0"/>
    <xf numFmtId="0" fontId="1" fillId="0" borderId="0"/>
    <xf numFmtId="0" fontId="22" fillId="0" borderId="0"/>
    <xf numFmtId="0" fontId="12" fillId="0" borderId="0"/>
    <xf numFmtId="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43" fontId="19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5" fillId="0" borderId="0" applyFont="0" applyFill="0" applyBorder="0" applyAlignment="0" applyProtection="0">
      <alignment horizontal="left"/>
    </xf>
    <xf numFmtId="0" fontId="26" fillId="0" borderId="0" applyNumberFormat="0" applyFill="0" applyBorder="0" applyAlignment="0" applyProtection="0">
      <alignment vertical="top"/>
      <protection locked="0"/>
    </xf>
    <xf numFmtId="165" fontId="27" fillId="0" borderId="0" applyFont="0" applyAlignment="0" applyProtection="0"/>
    <xf numFmtId="0" fontId="19" fillId="0" borderId="0"/>
    <xf numFmtId="0" fontId="19" fillId="0" borderId="0"/>
    <xf numFmtId="0" fontId="1" fillId="0" borderId="0"/>
    <xf numFmtId="0" fontId="28" fillId="0" borderId="0" applyNumberFormat="0" applyFill="0" applyBorder="0" applyAlignment="0" applyProtection="0"/>
    <xf numFmtId="170" fontId="29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1" fillId="0" borderId="0" applyNumberFormat="0" applyFill="0" applyBorder="0" applyAlignment="0">
      <protection locked="0"/>
    </xf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2" fillId="0" borderId="0"/>
    <xf numFmtId="41" fontId="13" fillId="0" borderId="0"/>
    <xf numFmtId="43" fontId="1" fillId="0" borderId="0" applyFont="0" applyFill="0" applyBorder="0" applyAlignment="0" applyProtection="0"/>
    <xf numFmtId="0" fontId="19" fillId="0" borderId="0"/>
    <xf numFmtId="0" fontId="12" fillId="0" borderId="0">
      <alignment wrapText="1"/>
    </xf>
    <xf numFmtId="0" fontId="12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72" fontId="12" fillId="0" borderId="0"/>
    <xf numFmtId="1" fontId="4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4" fillId="0" borderId="0"/>
    <xf numFmtId="0" fontId="44" fillId="0" borderId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7" fontId="12" fillId="0" borderId="0" applyFill="0" applyBorder="0" applyAlignment="0" applyProtection="0"/>
    <xf numFmtId="0" fontId="44" fillId="0" borderId="0"/>
    <xf numFmtId="5" fontId="44" fillId="0" borderId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0" fontId="44" fillId="0" borderId="0"/>
    <xf numFmtId="14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173" fontId="12" fillId="0" borderId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38" fontId="17" fillId="33" borderId="0" applyNumberFormat="0" applyBorder="0" applyAlignment="0" applyProtection="0"/>
    <xf numFmtId="0" fontId="45" fillId="0" borderId="0"/>
    <xf numFmtId="0" fontId="14" fillId="0" borderId="40" applyNumberFormat="0" applyAlignment="0" applyProtection="0">
      <alignment horizontal="left" vertical="center"/>
    </xf>
    <xf numFmtId="0" fontId="14" fillId="0" borderId="34">
      <alignment horizontal="left" vertical="center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17" fillId="34" borderId="2" applyNumberFormat="0" applyBorder="0" applyAlignment="0" applyProtection="0"/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31" fillId="0" borderId="0" applyNumberFormat="0" applyFill="0" applyBorder="0" applyAlignment="0">
      <protection locked="0"/>
    </xf>
    <xf numFmtId="0" fontId="17" fillId="0" borderId="35" applyNumberFormat="0" applyBorder="0" applyAlignment="0"/>
    <xf numFmtId="0" fontId="17" fillId="0" borderId="35" applyNumberFormat="0" applyBorder="0" applyAlignment="0"/>
    <xf numFmtId="0" fontId="17" fillId="0" borderId="35" applyNumberFormat="0" applyBorder="0" applyAlignment="0"/>
    <xf numFmtId="174" fontId="12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2" fillId="0" borderId="0"/>
    <xf numFmtId="0" fontId="12" fillId="0" borderId="0"/>
    <xf numFmtId="41" fontId="12" fillId="0" borderId="0"/>
    <xf numFmtId="0" fontId="12" fillId="0" borderId="0"/>
    <xf numFmtId="0" fontId="12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41" fontId="12" fillId="0" borderId="0"/>
    <xf numFmtId="0" fontId="1" fillId="0" borderId="0"/>
    <xf numFmtId="41" fontId="12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0" fontId="1" fillId="0" borderId="0"/>
    <xf numFmtId="41" fontId="12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" fillId="0" borderId="0"/>
    <xf numFmtId="41" fontId="12" fillId="0" borderId="0"/>
    <xf numFmtId="41" fontId="12" fillId="0" borderId="0"/>
    <xf numFmtId="0" fontId="1" fillId="0" borderId="0"/>
    <xf numFmtId="41" fontId="12" fillId="0" borderId="0"/>
    <xf numFmtId="0" fontId="46" fillId="0" borderId="0"/>
    <xf numFmtId="0" fontId="12" fillId="0" borderId="0"/>
    <xf numFmtId="0" fontId="35" fillId="0" borderId="0"/>
    <xf numFmtId="37" fontId="44" fillId="0" borderId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44" fillId="0" borderId="0"/>
    <xf numFmtId="0" fontId="44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/>
    <xf numFmtId="37" fontId="48" fillId="35" borderId="0" applyNumberFormat="0" applyFont="0" applyBorder="0" applyAlignment="0" applyProtection="0"/>
    <xf numFmtId="176" fontId="12" fillId="0" borderId="4">
      <alignment horizontal="justify" vertical="top" wrapText="1"/>
    </xf>
    <xf numFmtId="0" fontId="33" fillId="0" borderId="2">
      <alignment horizontal="center" vertical="center" wrapText="1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4" fillId="0" borderId="41"/>
    <xf numFmtId="0" fontId="44" fillId="0" borderId="42"/>
    <xf numFmtId="38" fontId="19" fillId="0" borderId="43" applyFill="0" applyBorder="0" applyAlignment="0" applyProtection="0">
      <protection locked="0"/>
    </xf>
    <xf numFmtId="37" fontId="17" fillId="4" borderId="0" applyNumberFormat="0" applyBorder="0" applyAlignment="0" applyProtection="0"/>
    <xf numFmtId="37" fontId="17" fillId="4" borderId="0" applyNumberFormat="0" applyBorder="0" applyAlignment="0" applyProtection="0"/>
    <xf numFmtId="37" fontId="17" fillId="4" borderId="0" applyNumberFormat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2" fillId="0" borderId="21" xfId="0" applyFont="1" applyBorder="1" applyAlignment="1">
      <alignment horizontal="center"/>
    </xf>
    <xf numFmtId="0" fontId="0" fillId="0" borderId="13" xfId="0" applyBorder="1"/>
    <xf numFmtId="0" fontId="0" fillId="0" borderId="22" xfId="0" applyBorder="1"/>
    <xf numFmtId="166" fontId="2" fillId="0" borderId="2" xfId="2" applyNumberFormat="1" applyFont="1" applyBorder="1" applyAlignment="1">
      <alignment horizontal="center"/>
    </xf>
    <xf numFmtId="0" fontId="11" fillId="0" borderId="0" xfId="0" applyFont="1"/>
    <xf numFmtId="0" fontId="0" fillId="0" borderId="23" xfId="0" applyBorder="1"/>
    <xf numFmtId="0" fontId="0" fillId="0" borderId="24" xfId="0" applyBorder="1"/>
    <xf numFmtId="0" fontId="0" fillId="2" borderId="25" xfId="0" applyFill="1" applyBorder="1"/>
    <xf numFmtId="0" fontId="0" fillId="2" borderId="28" xfId="0" applyFill="1" applyBorder="1"/>
    <xf numFmtId="165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9" xfId="0" applyBorder="1"/>
    <xf numFmtId="0" fontId="0" fillId="0" borderId="33" xfId="0" applyBorder="1"/>
    <xf numFmtId="166" fontId="0" fillId="0" borderId="19" xfId="2" applyNumberFormat="1" applyFont="1" applyBorder="1"/>
    <xf numFmtId="3" fontId="0" fillId="2" borderId="4" xfId="1" applyNumberFormat="1" applyFont="1" applyFill="1" applyBorder="1"/>
    <xf numFmtId="3" fontId="0" fillId="0" borderId="20" xfId="0" applyNumberForma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0" fillId="0" borderId="27" xfId="0" applyBorder="1"/>
    <xf numFmtId="165" fontId="0" fillId="0" borderId="0" xfId="0" applyNumberFormat="1"/>
    <xf numFmtId="0" fontId="0" fillId="0" borderId="37" xfId="0" applyBorder="1"/>
    <xf numFmtId="0" fontId="34" fillId="2" borderId="2" xfId="0" applyFont="1" applyFill="1" applyBorder="1"/>
    <xf numFmtId="165" fontId="34" fillId="2" borderId="2" xfId="1" applyNumberFormat="1" applyFont="1" applyFill="1" applyBorder="1"/>
    <xf numFmtId="165" fontId="0" fillId="0" borderId="0" xfId="0" applyNumberFormat="1" applyAlignment="1">
      <alignment horizontal="center"/>
    </xf>
    <xf numFmtId="0" fontId="8" fillId="0" borderId="0" xfId="3" applyFont="1" applyAlignment="1"/>
    <xf numFmtId="165" fontId="34" fillId="2" borderId="2" xfId="1" applyNumberFormat="1" applyFont="1" applyFill="1" applyBorder="1" applyAlignment="1"/>
    <xf numFmtId="0" fontId="0" fillId="0" borderId="5" xfId="0" applyBorder="1"/>
    <xf numFmtId="165" fontId="0" fillId="0" borderId="6" xfId="1" applyNumberFormat="1" applyFont="1" applyBorder="1" applyAlignment="1"/>
    <xf numFmtId="165" fontId="0" fillId="0" borderId="38" xfId="1" applyNumberFormat="1" applyFont="1" applyBorder="1" applyAlignment="1"/>
    <xf numFmtId="165" fontId="0" fillId="0" borderId="6" xfId="0" applyNumberFormat="1" applyBorder="1"/>
    <xf numFmtId="165" fontId="34" fillId="0" borderId="2" xfId="1" applyNumberFormat="1" applyFont="1" applyBorder="1"/>
    <xf numFmtId="0" fontId="36" fillId="0" borderId="1" xfId="0" applyFont="1" applyBorder="1"/>
    <xf numFmtId="0" fontId="37" fillId="0" borderId="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4" fillId="0" borderId="0" xfId="0" applyFont="1"/>
    <xf numFmtId="165" fontId="34" fillId="0" borderId="2" xfId="1" applyNumberFormat="1" applyFont="1" applyBorder="1" applyAlignment="1"/>
    <xf numFmtId="1" fontId="34" fillId="0" borderId="2" xfId="0" applyNumberFormat="1" applyFont="1" applyBorder="1"/>
    <xf numFmtId="3" fontId="49" fillId="0" borderId="20" xfId="0" applyNumberFormat="1" applyFont="1" applyBorder="1" applyAlignment="1">
      <alignment horizontal="center"/>
    </xf>
    <xf numFmtId="43" fontId="2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/>
    <xf numFmtId="37" fontId="0" fillId="0" borderId="6" xfId="0" applyNumberFormat="1" applyBorder="1" applyAlignment="1">
      <alignment horizontal="center"/>
    </xf>
    <xf numFmtId="165" fontId="34" fillId="2" borderId="5" xfId="1" applyNumberFormat="1" applyFont="1" applyFill="1" applyBorder="1"/>
    <xf numFmtId="43" fontId="0" fillId="0" borderId="0" xfId="0" applyNumberFormat="1"/>
    <xf numFmtId="43" fontId="0" fillId="0" borderId="16" xfId="0" applyNumberFormat="1" applyBorder="1"/>
    <xf numFmtId="10" fontId="0" fillId="0" borderId="0" xfId="0" applyNumberFormat="1"/>
    <xf numFmtId="10" fontId="2" fillId="0" borderId="31" xfId="2" applyNumberFormat="1" applyFont="1" applyBorder="1" applyAlignment="1"/>
    <xf numFmtId="10" fontId="0" fillId="0" borderId="0" xfId="2" applyNumberFormat="1" applyFont="1" applyAlignment="1"/>
    <xf numFmtId="165" fontId="0" fillId="0" borderId="0" xfId="1" applyNumberFormat="1" applyFont="1"/>
    <xf numFmtId="171" fontId="0" fillId="0" borderId="10" xfId="2" applyNumberFormat="1" applyFont="1" applyBorder="1"/>
    <xf numFmtId="171" fontId="0" fillId="0" borderId="22" xfId="2" applyNumberFormat="1" applyFont="1" applyBorder="1"/>
    <xf numFmtId="171" fontId="0" fillId="0" borderId="18" xfId="2" applyNumberFormat="1" applyFont="1" applyBorder="1"/>
    <xf numFmtId="0" fontId="0" fillId="0" borderId="44" xfId="0" applyBorder="1"/>
    <xf numFmtId="41" fontId="0" fillId="0" borderId="0" xfId="0" applyNumberFormat="1"/>
    <xf numFmtId="165" fontId="0" fillId="0" borderId="0" xfId="1" applyNumberFormat="1" applyFont="1" applyBorder="1" applyAlignment="1"/>
    <xf numFmtId="165" fontId="0" fillId="0" borderId="0" xfId="1" applyNumberFormat="1" applyFont="1" applyBorder="1"/>
    <xf numFmtId="0" fontId="0" fillId="0" borderId="0" xfId="0" applyAlignment="1">
      <alignment horizontal="center" vertical="center" wrapText="1"/>
    </xf>
    <xf numFmtId="37" fontId="34" fillId="36" borderId="2" xfId="1" applyNumberFormat="1" applyFont="1" applyFill="1" applyBorder="1" applyAlignment="1">
      <alignment horizontal="center" vertical="center"/>
    </xf>
    <xf numFmtId="171" fontId="0" fillId="0" borderId="22" xfId="2" applyNumberFormat="1" applyFont="1" applyFill="1" applyBorder="1"/>
    <xf numFmtId="171" fontId="34" fillId="0" borderId="0" xfId="31" applyNumberFormat="1" applyFont="1" applyFill="1" applyBorder="1" applyAlignment="1"/>
    <xf numFmtId="9" fontId="0" fillId="0" borderId="0" xfId="2" applyFont="1" applyAlignment="1"/>
    <xf numFmtId="177" fontId="0" fillId="0" borderId="0" xfId="0" applyNumberFormat="1"/>
    <xf numFmtId="165" fontId="0" fillId="0" borderId="0" xfId="1" applyNumberFormat="1" applyFont="1" applyFill="1" applyAlignment="1">
      <alignment horizontal="right"/>
    </xf>
    <xf numFmtId="171" fontId="34" fillId="37" borderId="0" xfId="31" applyNumberFormat="1" applyFont="1" applyFill="1" applyBorder="1" applyAlignment="1"/>
    <xf numFmtId="166" fontId="0" fillId="2" borderId="2" xfId="2" applyNumberFormat="1" applyFont="1" applyFill="1" applyBorder="1" applyAlignment="1">
      <alignment horizontal="center"/>
    </xf>
    <xf numFmtId="37" fontId="34" fillId="38" borderId="2" xfId="1" applyNumberFormat="1" applyFont="1" applyFill="1" applyBorder="1" applyAlignment="1">
      <alignment horizontal="center" vertical="center"/>
    </xf>
    <xf numFmtId="37" fontId="34" fillId="39" borderId="2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165" fontId="2" fillId="40" borderId="29" xfId="0" applyNumberFormat="1" applyFont="1" applyFill="1" applyBorder="1"/>
    <xf numFmtId="178" fontId="2" fillId="0" borderId="4" xfId="2" applyNumberFormat="1" applyFont="1" applyBorder="1" applyAlignment="1">
      <alignment horizontal="center" wrapText="1"/>
    </xf>
    <xf numFmtId="165" fontId="34" fillId="2" borderId="46" xfId="1" applyNumberFormat="1" applyFont="1" applyFill="1" applyBorder="1"/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65" fontId="0" fillId="0" borderId="48" xfId="1" applyNumberFormat="1" applyFont="1" applyBorder="1" applyAlignment="1">
      <alignment horizontal="center"/>
    </xf>
    <xf numFmtId="165" fontId="2" fillId="0" borderId="48" xfId="1" applyNumberFormat="1" applyFont="1" applyBorder="1" applyAlignment="1">
      <alignment horizontal="center"/>
    </xf>
    <xf numFmtId="165" fontId="2" fillId="0" borderId="49" xfId="0" applyNumberFormat="1" applyFont="1" applyBorder="1"/>
    <xf numFmtId="0" fontId="0" fillId="0" borderId="3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mmerce.wa.gov/Programs/Energy/Office/Utilities/Pages/FuelMix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32"/>
  <sheetViews>
    <sheetView tabSelected="1" zoomScale="90" zoomScaleNormal="9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8" ht="18.75">
      <c r="B1" s="1" t="s">
        <v>103</v>
      </c>
    </row>
    <row r="2" spans="2:8" ht="15.75" thickBot="1"/>
    <row r="3" spans="2:8">
      <c r="B3" s="36"/>
      <c r="C3" s="37" t="s">
        <v>12</v>
      </c>
      <c r="D3" s="38" t="s">
        <v>40</v>
      </c>
      <c r="E3" s="39"/>
      <c r="F3" s="2"/>
    </row>
    <row r="4" spans="2:8">
      <c r="B4" s="119" t="s">
        <v>13</v>
      </c>
      <c r="C4" s="121"/>
      <c r="D4" s="22">
        <v>2019</v>
      </c>
      <c r="E4" s="41" t="s">
        <v>36</v>
      </c>
      <c r="F4" s="2"/>
    </row>
    <row r="5" spans="2:8" ht="15.75" thickBot="1">
      <c r="B5" s="116" t="s">
        <v>18</v>
      </c>
      <c r="C5" s="118"/>
      <c r="D5" s="70">
        <v>305829</v>
      </c>
      <c r="E5" s="71">
        <f>+E15/D5</f>
        <v>14.90856744543855</v>
      </c>
    </row>
    <row r="6" spans="2:8">
      <c r="D6" s="12"/>
      <c r="F6" s="11"/>
    </row>
    <row r="7" spans="2:8" ht="19.5" thickBot="1">
      <c r="C7" s="35" t="s">
        <v>33</v>
      </c>
      <c r="D7" s="12"/>
      <c r="F7" s="11"/>
    </row>
    <row r="8" spans="2:8">
      <c r="B8" s="25"/>
      <c r="C8" s="26"/>
      <c r="D8" s="26"/>
      <c r="E8" s="26"/>
      <c r="F8" s="26"/>
      <c r="G8" s="27" t="s">
        <v>17</v>
      </c>
      <c r="H8" s="48" t="s">
        <v>37</v>
      </c>
    </row>
    <row r="9" spans="2:8">
      <c r="B9" s="28"/>
      <c r="C9" s="7"/>
      <c r="D9" s="7"/>
      <c r="E9" s="9" t="s">
        <v>11</v>
      </c>
      <c r="F9" s="18" t="s">
        <v>25</v>
      </c>
      <c r="G9" s="14" t="s">
        <v>32</v>
      </c>
      <c r="H9" s="49" t="s">
        <v>17</v>
      </c>
    </row>
    <row r="10" spans="2:8">
      <c r="B10" s="119" t="s">
        <v>9</v>
      </c>
      <c r="C10" s="120"/>
      <c r="D10" s="121"/>
      <c r="E10" s="46">
        <f>+$E$15*F10</f>
        <v>1820292.0796668127</v>
      </c>
      <c r="F10" s="104">
        <v>0.39923306263707375</v>
      </c>
      <c r="G10" s="46">
        <v>110178</v>
      </c>
      <c r="H10" s="84">
        <f>+E10/G10</f>
        <v>16.521375226150525</v>
      </c>
    </row>
    <row r="11" spans="2:8">
      <c r="B11" s="119" t="s">
        <v>14</v>
      </c>
      <c r="C11" s="120"/>
      <c r="D11" s="121"/>
      <c r="E11" s="46">
        <f t="shared" ref="E11:E14" si="0">+$E$15*F11</f>
        <v>1701312.6691736877</v>
      </c>
      <c r="F11" s="104">
        <v>0.37313806668971</v>
      </c>
      <c r="G11" s="46">
        <v>16359</v>
      </c>
      <c r="H11" s="50">
        <f>+E11/G11</f>
        <v>103.99857382319749</v>
      </c>
    </row>
    <row r="12" spans="2:8">
      <c r="B12" s="119" t="s">
        <v>15</v>
      </c>
      <c r="C12" s="120"/>
      <c r="D12" s="121"/>
      <c r="E12" s="46">
        <f t="shared" si="0"/>
        <v>854840.49013256666</v>
      </c>
      <c r="F12" s="104">
        <v>0.18748671751858087</v>
      </c>
      <c r="G12" s="46">
        <v>480</v>
      </c>
      <c r="H12" s="50">
        <f>+E12/G12</f>
        <v>1780.9176877761806</v>
      </c>
    </row>
    <row r="13" spans="2:8">
      <c r="B13" s="119" t="s">
        <v>38</v>
      </c>
      <c r="C13" s="120"/>
      <c r="D13" s="121"/>
      <c r="E13" s="46">
        <f t="shared" si="0"/>
        <v>174616.25156203879</v>
      </c>
      <c r="F13" s="104">
        <v>3.8297469772037185E-2</v>
      </c>
      <c r="G13" s="46">
        <v>5039</v>
      </c>
      <c r="H13" s="50">
        <f>+E13/G13</f>
        <v>34.652957245889816</v>
      </c>
    </row>
    <row r="14" spans="2:8">
      <c r="B14" s="122" t="s">
        <v>39</v>
      </c>
      <c r="C14" s="123"/>
      <c r="D14" s="124"/>
      <c r="E14" s="46">
        <f t="shared" si="0"/>
        <v>8410.7827359210914</v>
      </c>
      <c r="F14" s="104">
        <v>1.8446833825983735E-3</v>
      </c>
      <c r="G14" s="46">
        <v>234</v>
      </c>
      <c r="H14" s="50">
        <f>+E14/G14</f>
        <v>35.943515965474752</v>
      </c>
    </row>
    <row r="15" spans="2:8" ht="15.75" thickBot="1">
      <c r="B15" s="30"/>
      <c r="C15" s="43" t="s">
        <v>10</v>
      </c>
      <c r="D15" s="44"/>
      <c r="E15" s="40">
        <v>4559472.2732710261</v>
      </c>
      <c r="F15" s="45"/>
      <c r="G15" s="47">
        <f>SUM(G10:G14)</f>
        <v>132290</v>
      </c>
      <c r="H15" s="51"/>
    </row>
    <row r="17" spans="2:11" ht="19.5" thickBot="1">
      <c r="C17" s="35" t="s">
        <v>34</v>
      </c>
    </row>
    <row r="18" spans="2:11">
      <c r="B18" s="25"/>
      <c r="C18" s="26"/>
      <c r="D18" s="26"/>
      <c r="E18" s="26"/>
      <c r="F18" s="27" t="s">
        <v>26</v>
      </c>
      <c r="G18" s="31" t="s">
        <v>4</v>
      </c>
      <c r="H18" s="32"/>
      <c r="I18" s="111" t="s">
        <v>113</v>
      </c>
    </row>
    <row r="19" spans="2:11" ht="18">
      <c r="B19" s="33"/>
      <c r="E19" s="18" t="s">
        <v>16</v>
      </c>
      <c r="F19" s="14" t="s">
        <v>27</v>
      </c>
      <c r="G19" s="10" t="s">
        <v>114</v>
      </c>
      <c r="H19" s="29"/>
      <c r="I19" s="112" t="s">
        <v>114</v>
      </c>
    </row>
    <row r="20" spans="2:11" ht="15.75" thickBot="1">
      <c r="B20" s="119" t="s">
        <v>30</v>
      </c>
      <c r="C20" s="120"/>
      <c r="D20" s="121"/>
      <c r="E20" s="73">
        <f>'Known Resources'!B43</f>
        <v>3642260.3339564176</v>
      </c>
      <c r="F20" s="8">
        <f>+E20/(E20+E21)</f>
        <v>0.82804886218362905</v>
      </c>
      <c r="G20" s="73">
        <f>'Known Resources'!E43</f>
        <v>2870155.6129042599</v>
      </c>
      <c r="H20" s="72"/>
      <c r="I20" s="113">
        <f>G20*0.907185</f>
        <v>2603762.119692551</v>
      </c>
    </row>
    <row r="21" spans="2:11" ht="18">
      <c r="B21" s="119" t="s">
        <v>31</v>
      </c>
      <c r="C21" s="120"/>
      <c r="D21" s="121"/>
      <c r="E21" s="74">
        <f>'Unknown Resources'!B17</f>
        <v>756345.23184497072</v>
      </c>
      <c r="F21" s="34">
        <f>+E21/(E20+E21)</f>
        <v>0.17195113781637092</v>
      </c>
      <c r="G21" s="75">
        <f>'Unknown Resources'!D17</f>
        <v>364338.66076906788</v>
      </c>
      <c r="H21" s="42" t="s">
        <v>35</v>
      </c>
      <c r="I21" s="114">
        <f>G21*0.907185</f>
        <v>330522.56796978688</v>
      </c>
      <c r="J21" s="102"/>
      <c r="K21" s="101"/>
    </row>
    <row r="22" spans="2:11" ht="18.75" thickBot="1">
      <c r="B22" s="116" t="s">
        <v>107</v>
      </c>
      <c r="C22" s="117"/>
      <c r="D22" s="118"/>
      <c r="E22" s="43">
        <f>D4</f>
        <v>2019</v>
      </c>
      <c r="F22" s="80" t="s">
        <v>109</v>
      </c>
      <c r="G22" s="108">
        <f>SUM(G20:G21)</f>
        <v>3234494.2736733276</v>
      </c>
      <c r="H22" s="86">
        <f>+G22/H24</f>
        <v>1.3482238900416441</v>
      </c>
      <c r="I22" s="115">
        <f>SUM(I20:I21)</f>
        <v>2934284.6876623379</v>
      </c>
      <c r="J22" s="13"/>
      <c r="K22" s="101"/>
    </row>
    <row r="23" spans="2:11">
      <c r="E23" s="2"/>
    </row>
    <row r="24" spans="2:11" ht="18">
      <c r="E24" s="52"/>
      <c r="G24" s="13" t="s">
        <v>24</v>
      </c>
      <c r="H24" s="19">
        <f>H30</f>
        <v>2399078</v>
      </c>
      <c r="I24" s="17"/>
    </row>
    <row r="26" spans="2:11">
      <c r="F26" s="17" t="s">
        <v>19</v>
      </c>
      <c r="G26" s="15"/>
      <c r="H26" s="15"/>
    </row>
    <row r="27" spans="2:11">
      <c r="F27" s="15"/>
      <c r="G27" s="15"/>
      <c r="H27" s="76" t="s">
        <v>23</v>
      </c>
    </row>
    <row r="28" spans="2:11" ht="18">
      <c r="F28" s="15"/>
      <c r="G28" s="15"/>
      <c r="H28" s="77" t="s">
        <v>3</v>
      </c>
    </row>
    <row r="29" spans="2:11">
      <c r="F29" s="15"/>
      <c r="G29" s="16" t="s">
        <v>20</v>
      </c>
      <c r="H29" s="78">
        <v>1131957</v>
      </c>
    </row>
    <row r="30" spans="2:11">
      <c r="F30" s="15"/>
      <c r="G30" s="16" t="s">
        <v>21</v>
      </c>
      <c r="H30" s="78">
        <v>2399078</v>
      </c>
    </row>
    <row r="31" spans="2:11">
      <c r="F31" s="15"/>
      <c r="G31" s="16" t="s">
        <v>22</v>
      </c>
      <c r="H31" s="78">
        <v>6946064</v>
      </c>
    </row>
    <row r="32" spans="2:11">
      <c r="H32" s="79"/>
    </row>
  </sheetData>
  <mergeCells count="10">
    <mergeCell ref="B22:D22"/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7"/>
  <sheetViews>
    <sheetView view="pageBreakPreview" zoomScale="60" zoomScaleNormal="90" workbookViewId="0"/>
  </sheetViews>
  <sheetFormatPr defaultRowHeight="15"/>
  <cols>
    <col min="1" max="1" width="47.5703125" customWidth="1"/>
    <col min="2" max="5" width="14.85546875" customWidth="1"/>
    <col min="6" max="6" width="23.85546875" style="2" customWidth="1"/>
    <col min="7" max="7" width="31.42578125" style="2" customWidth="1"/>
    <col min="8" max="8" width="13" style="2" customWidth="1"/>
    <col min="9" max="9" width="10.5703125" customWidth="1"/>
  </cols>
  <sheetData>
    <row r="1" spans="1:10" ht="18.75">
      <c r="A1" s="1" t="s">
        <v>8</v>
      </c>
      <c r="B1" s="21">
        <f>'Summary 2019'!D4</f>
        <v>2019</v>
      </c>
      <c r="I1" s="89">
        <v>0.23110854783698145</v>
      </c>
      <c r="J1" s="32" t="s">
        <v>96</v>
      </c>
    </row>
    <row r="2" spans="1:10" ht="30.75">
      <c r="A2" s="1"/>
      <c r="B2" s="5" t="s">
        <v>28</v>
      </c>
      <c r="C2" s="107" t="s">
        <v>108</v>
      </c>
      <c r="D2" s="5">
        <f>B1</f>
        <v>2019</v>
      </c>
      <c r="E2" s="5" t="s">
        <v>4</v>
      </c>
      <c r="G2" s="2" t="s">
        <v>104</v>
      </c>
      <c r="I2" s="90">
        <v>0.23032324453347164</v>
      </c>
      <c r="J2" s="29" t="s">
        <v>95</v>
      </c>
    </row>
    <row r="3" spans="1:10" ht="20.25" thickBot="1">
      <c r="A3" s="3" t="s">
        <v>0</v>
      </c>
      <c r="B3" s="6">
        <f>B1</f>
        <v>2019</v>
      </c>
      <c r="C3" s="109">
        <f>3.503%</f>
        <v>3.5029999999999999E-2</v>
      </c>
      <c r="D3" s="6" t="s">
        <v>110</v>
      </c>
      <c r="E3" s="6" t="s">
        <v>6</v>
      </c>
      <c r="F3" s="4"/>
      <c r="G3" s="2" t="s">
        <v>106</v>
      </c>
      <c r="H3" s="2" t="s">
        <v>98</v>
      </c>
      <c r="I3" s="91">
        <v>1</v>
      </c>
      <c r="J3" s="92" t="s">
        <v>97</v>
      </c>
    </row>
    <row r="4" spans="1:10">
      <c r="A4" s="54" t="s">
        <v>45</v>
      </c>
      <c r="B4" s="55">
        <f>G4*$I$1</f>
        <v>120306.51306262753</v>
      </c>
      <c r="C4" s="55">
        <f>B4*(1+$C$3)</f>
        <v>124520.85021521137</v>
      </c>
      <c r="D4" s="55">
        <v>2348.0250346987682</v>
      </c>
      <c r="E4" s="63">
        <f t="shared" ref="E4:E40" si="0">(+B4*D4)/2000</f>
        <v>141241.35225418193</v>
      </c>
      <c r="F4" s="2" t="s">
        <v>79</v>
      </c>
      <c r="G4" s="97">
        <v>520562.80128370208</v>
      </c>
      <c r="H4" s="97"/>
      <c r="I4" s="95"/>
    </row>
    <row r="5" spans="1:10">
      <c r="A5" s="54" t="s">
        <v>44</v>
      </c>
      <c r="B5" s="55">
        <f>G5*$I$1</f>
        <v>2073872.6325424206</v>
      </c>
      <c r="C5" s="55">
        <f t="shared" ref="C5:C7" si="1">B5*(1+$C$3)</f>
        <v>2146520.3908603815</v>
      </c>
      <c r="D5" s="55">
        <v>2266.8681551830391</v>
      </c>
      <c r="E5" s="63">
        <f t="shared" si="0"/>
        <v>2350597.9143080148</v>
      </c>
      <c r="F5" s="2" t="s">
        <v>79</v>
      </c>
      <c r="G5" s="106">
        <v>8973586.8792065699</v>
      </c>
      <c r="H5" s="106">
        <v>7248.14649852</v>
      </c>
      <c r="I5" s="95"/>
    </row>
    <row r="6" spans="1:10">
      <c r="A6" s="54" t="s">
        <v>43</v>
      </c>
      <c r="B6" s="55">
        <f>G6*$I$1</f>
        <v>531197.86202232202</v>
      </c>
      <c r="C6" s="55">
        <f t="shared" si="1"/>
        <v>549805.72312896396</v>
      </c>
      <c r="D6" s="55">
        <v>882.78143638016093</v>
      </c>
      <c r="E6" s="63">
        <f t="shared" si="0"/>
        <v>234465.80581906799</v>
      </c>
      <c r="F6" s="2" t="s">
        <v>80</v>
      </c>
      <c r="G6" s="106">
        <v>2298477.7802204727</v>
      </c>
      <c r="H6" s="106">
        <v>133058.21977952722</v>
      </c>
      <c r="I6" s="95"/>
    </row>
    <row r="7" spans="1:10">
      <c r="A7" s="54" t="s">
        <v>94</v>
      </c>
      <c r="B7" s="55">
        <f t="shared" ref="B7" si="2">G7*$I$1</f>
        <v>324244.32769418141</v>
      </c>
      <c r="C7" s="55">
        <f t="shared" si="1"/>
        <v>335602.60649330856</v>
      </c>
      <c r="D7" s="55">
        <v>887.29719064612868</v>
      </c>
      <c r="E7" s="63">
        <f t="shared" si="0"/>
        <v>143850.54052299497</v>
      </c>
      <c r="F7" s="2" t="s">
        <v>80</v>
      </c>
      <c r="G7" s="106">
        <v>1402995.8248143021</v>
      </c>
      <c r="H7" s="106">
        <v>108536.17518569794</v>
      </c>
      <c r="I7" s="95"/>
    </row>
    <row r="8" spans="1:10">
      <c r="A8" s="54" t="s">
        <v>41</v>
      </c>
      <c r="B8" s="55">
        <f>G8*$I$2</f>
        <v>11047.454424047966</v>
      </c>
      <c r="C8" s="55"/>
      <c r="D8" s="55">
        <v>0</v>
      </c>
      <c r="E8" s="63">
        <f t="shared" si="0"/>
        <v>0</v>
      </c>
      <c r="F8" s="2" t="s">
        <v>81</v>
      </c>
      <c r="G8" s="97">
        <v>47965</v>
      </c>
      <c r="H8" s="97"/>
      <c r="I8" s="95"/>
    </row>
    <row r="9" spans="1:10">
      <c r="A9" s="54" t="s">
        <v>42</v>
      </c>
      <c r="B9" s="55">
        <f t="shared" ref="B9:B33" si="3">G9*$I$2</f>
        <v>22608.299360161043</v>
      </c>
      <c r="C9" s="55"/>
      <c r="D9" s="55">
        <v>0</v>
      </c>
      <c r="E9" s="63">
        <f t="shared" si="0"/>
        <v>0</v>
      </c>
      <c r="F9" s="2" t="s">
        <v>81</v>
      </c>
      <c r="G9" s="97">
        <v>98159</v>
      </c>
      <c r="H9" s="97"/>
      <c r="I9" s="95"/>
    </row>
    <row r="10" spans="1:10">
      <c r="A10" s="54" t="s">
        <v>46</v>
      </c>
      <c r="B10" s="55">
        <f t="shared" si="3"/>
        <v>54064.696482319931</v>
      </c>
      <c r="C10" s="55"/>
      <c r="D10" s="55">
        <v>0</v>
      </c>
      <c r="E10" s="63">
        <f t="shared" si="0"/>
        <v>0</v>
      </c>
      <c r="F10" s="2" t="s">
        <v>81</v>
      </c>
      <c r="G10" s="97">
        <v>234734</v>
      </c>
      <c r="H10" s="97"/>
      <c r="I10" s="95"/>
    </row>
    <row r="11" spans="1:10">
      <c r="A11" s="54" t="s">
        <v>52</v>
      </c>
      <c r="B11" s="55">
        <f t="shared" si="3"/>
        <v>359.07393822768228</v>
      </c>
      <c r="C11" s="55"/>
      <c r="D11" s="55">
        <v>0</v>
      </c>
      <c r="E11" s="63">
        <f t="shared" si="0"/>
        <v>0</v>
      </c>
      <c r="F11" s="2" t="s">
        <v>82</v>
      </c>
      <c r="G11" s="97">
        <v>1559</v>
      </c>
      <c r="H11" s="97"/>
      <c r="I11" s="95"/>
    </row>
    <row r="12" spans="1:10">
      <c r="A12" s="54" t="s">
        <v>53</v>
      </c>
      <c r="B12" s="55">
        <f t="shared" si="3"/>
        <v>6070.3994329241787</v>
      </c>
      <c r="C12" s="55"/>
      <c r="D12" s="55">
        <v>0</v>
      </c>
      <c r="E12" s="63">
        <f t="shared" si="0"/>
        <v>0</v>
      </c>
      <c r="F12" s="2" t="s">
        <v>82</v>
      </c>
      <c r="G12" s="97">
        <v>26356</v>
      </c>
      <c r="H12" s="97"/>
      <c r="I12" s="95"/>
    </row>
    <row r="13" spans="1:10">
      <c r="A13" s="54" t="s">
        <v>54</v>
      </c>
      <c r="B13" s="55">
        <f t="shared" si="3"/>
        <v>8250.408942433487</v>
      </c>
      <c r="C13" s="55"/>
      <c r="D13" s="55">
        <v>0</v>
      </c>
      <c r="E13" s="63">
        <f t="shared" si="0"/>
        <v>0</v>
      </c>
      <c r="F13" s="2" t="s">
        <v>82</v>
      </c>
      <c r="G13" s="97">
        <v>35821</v>
      </c>
      <c r="H13" s="97"/>
      <c r="I13" s="95"/>
    </row>
    <row r="14" spans="1:10">
      <c r="A14" s="54" t="s">
        <v>55</v>
      </c>
      <c r="B14" s="55">
        <f>G14*$I$2</f>
        <v>19771.17763399774</v>
      </c>
      <c r="C14" s="55"/>
      <c r="D14" s="55">
        <v>0</v>
      </c>
      <c r="E14" s="63">
        <f t="shared" si="0"/>
        <v>0</v>
      </c>
      <c r="F14" s="2" t="s">
        <v>82</v>
      </c>
      <c r="G14" s="97">
        <v>85841</v>
      </c>
      <c r="H14" s="97"/>
      <c r="I14" s="95"/>
    </row>
    <row r="15" spans="1:10">
      <c r="A15" s="54" t="s">
        <v>56</v>
      </c>
      <c r="B15" s="55">
        <f t="shared" si="3"/>
        <v>25009.649507667018</v>
      </c>
      <c r="C15" s="55"/>
      <c r="D15" s="55">
        <v>0</v>
      </c>
      <c r="E15" s="63">
        <f t="shared" si="0"/>
        <v>0</v>
      </c>
      <c r="F15" s="2" t="s">
        <v>82</v>
      </c>
      <c r="G15" s="97">
        <v>108585</v>
      </c>
      <c r="H15" s="97"/>
      <c r="I15" s="95"/>
    </row>
    <row r="16" spans="1:10">
      <c r="A16" s="54" t="s">
        <v>57</v>
      </c>
      <c r="B16" s="55">
        <f t="shared" si="3"/>
        <v>3872.1943870967252</v>
      </c>
      <c r="C16" s="55"/>
      <c r="D16" s="55">
        <v>0</v>
      </c>
      <c r="E16" s="63">
        <f t="shared" si="0"/>
        <v>0</v>
      </c>
      <c r="F16" s="2" t="s">
        <v>82</v>
      </c>
      <c r="G16" s="97">
        <v>16812</v>
      </c>
      <c r="H16" s="97"/>
      <c r="I16" s="95"/>
    </row>
    <row r="17" spans="1:9">
      <c r="A17" s="54" t="s">
        <v>58</v>
      </c>
      <c r="B17" s="55">
        <f t="shared" si="3"/>
        <v>1392.5343364493694</v>
      </c>
      <c r="C17" s="55"/>
      <c r="D17" s="55">
        <v>0</v>
      </c>
      <c r="E17" s="63">
        <f t="shared" si="0"/>
        <v>0</v>
      </c>
      <c r="F17" s="2" t="s">
        <v>82</v>
      </c>
      <c r="G17" s="97">
        <v>6046</v>
      </c>
      <c r="H17" s="97"/>
      <c r="I17" s="95"/>
    </row>
    <row r="18" spans="1:9">
      <c r="A18" s="54" t="s">
        <v>59</v>
      </c>
      <c r="B18" s="55">
        <f t="shared" si="3"/>
        <v>4816.2893664394251</v>
      </c>
      <c r="C18" s="55"/>
      <c r="D18" s="55">
        <v>0</v>
      </c>
      <c r="E18" s="63">
        <f t="shared" si="0"/>
        <v>0</v>
      </c>
      <c r="F18" s="2" t="s">
        <v>82</v>
      </c>
      <c r="G18" s="97">
        <v>20911</v>
      </c>
      <c r="H18" s="97"/>
      <c r="I18" s="95"/>
    </row>
    <row r="19" spans="1:9">
      <c r="A19" s="54" t="s">
        <v>60</v>
      </c>
      <c r="B19" s="55">
        <f t="shared" si="3"/>
        <v>23347.406651868954</v>
      </c>
      <c r="C19" s="55"/>
      <c r="D19" s="55">
        <v>0</v>
      </c>
      <c r="E19" s="63">
        <f t="shared" si="0"/>
        <v>0</v>
      </c>
      <c r="F19" s="2" t="s">
        <v>82</v>
      </c>
      <c r="G19" s="97">
        <v>101368</v>
      </c>
      <c r="H19" s="97"/>
      <c r="I19" s="95"/>
    </row>
    <row r="20" spans="1:9">
      <c r="A20" s="54" t="s">
        <v>61</v>
      </c>
      <c r="B20" s="55">
        <f t="shared" si="3"/>
        <v>52521.991390434741</v>
      </c>
      <c r="C20" s="55"/>
      <c r="D20" s="55">
        <v>0</v>
      </c>
      <c r="E20" s="63">
        <f t="shared" si="0"/>
        <v>0</v>
      </c>
      <c r="F20" s="2" t="s">
        <v>82</v>
      </c>
      <c r="G20" s="97">
        <v>228036</v>
      </c>
      <c r="H20" s="97"/>
      <c r="I20" s="95"/>
    </row>
    <row r="21" spans="1:9">
      <c r="A21" s="54" t="s">
        <v>62</v>
      </c>
      <c r="B21" s="55">
        <f>G21*$I$2</f>
        <v>26366.714064458232</v>
      </c>
      <c r="C21" s="55"/>
      <c r="D21" s="55">
        <v>0</v>
      </c>
      <c r="E21" s="63">
        <f t="shared" si="0"/>
        <v>0</v>
      </c>
      <c r="F21" s="2" t="s">
        <v>82</v>
      </c>
      <c r="G21" s="97">
        <v>114477</v>
      </c>
      <c r="H21" s="97"/>
      <c r="I21" s="95"/>
    </row>
    <row r="22" spans="1:9">
      <c r="A22" s="54" t="s">
        <v>63</v>
      </c>
      <c r="B22" s="55">
        <f t="shared" si="3"/>
        <v>33040.099751571041</v>
      </c>
      <c r="C22" s="55"/>
      <c r="D22" s="55">
        <v>0</v>
      </c>
      <c r="E22" s="63">
        <f t="shared" si="0"/>
        <v>0</v>
      </c>
      <c r="F22" s="2" t="s">
        <v>82</v>
      </c>
      <c r="G22" s="97">
        <v>143451</v>
      </c>
      <c r="H22" s="97"/>
      <c r="I22" s="95"/>
    </row>
    <row r="23" spans="1:9">
      <c r="A23" s="54" t="s">
        <v>64</v>
      </c>
      <c r="B23" s="55">
        <f t="shared" si="3"/>
        <v>34165.919770850647</v>
      </c>
      <c r="C23" s="55"/>
      <c r="D23" s="55">
        <v>0</v>
      </c>
      <c r="E23" s="63">
        <f t="shared" si="0"/>
        <v>0</v>
      </c>
      <c r="F23" s="2" t="s">
        <v>82</v>
      </c>
      <c r="G23" s="106">
        <v>148339</v>
      </c>
      <c r="H23" s="106">
        <v>188695</v>
      </c>
      <c r="I23" s="95"/>
    </row>
    <row r="24" spans="1:9">
      <c r="A24" s="54" t="s">
        <v>65</v>
      </c>
      <c r="B24" s="55">
        <f t="shared" si="3"/>
        <v>1960.2811342243772</v>
      </c>
      <c r="C24" s="55"/>
      <c r="D24" s="55">
        <v>0</v>
      </c>
      <c r="E24" s="63">
        <f t="shared" si="0"/>
        <v>0</v>
      </c>
      <c r="F24" s="2" t="s">
        <v>82</v>
      </c>
      <c r="G24" s="97">
        <v>8511</v>
      </c>
      <c r="H24" s="97"/>
      <c r="I24" s="95"/>
    </row>
    <row r="25" spans="1:9">
      <c r="A25" s="54" t="s">
        <v>74</v>
      </c>
      <c r="B25" s="55">
        <f t="shared" si="3"/>
        <v>43833.968283387658</v>
      </c>
      <c r="C25" s="55"/>
      <c r="D25" s="55">
        <v>0</v>
      </c>
      <c r="E25" s="63">
        <f t="shared" si="0"/>
        <v>0</v>
      </c>
      <c r="F25" s="2" t="s">
        <v>82</v>
      </c>
      <c r="G25" s="97">
        <v>190315</v>
      </c>
      <c r="H25" s="97"/>
      <c r="I25" s="95"/>
    </row>
    <row r="26" spans="1:9">
      <c r="A26" s="54" t="s">
        <v>73</v>
      </c>
      <c r="B26" s="55">
        <f t="shared" si="3"/>
        <v>5441.156328858734</v>
      </c>
      <c r="C26" s="55"/>
      <c r="D26" s="55">
        <v>0</v>
      </c>
      <c r="E26" s="63">
        <f t="shared" si="0"/>
        <v>0</v>
      </c>
      <c r="F26" s="2" t="s">
        <v>82</v>
      </c>
      <c r="G26" s="97">
        <v>23624</v>
      </c>
      <c r="H26" s="97"/>
      <c r="I26" s="95"/>
    </row>
    <row r="27" spans="1:9">
      <c r="A27" s="54" t="s">
        <v>72</v>
      </c>
      <c r="B27" s="55">
        <f t="shared" si="3"/>
        <v>418.49733531731795</v>
      </c>
      <c r="C27" s="55"/>
      <c r="D27" s="55">
        <v>0</v>
      </c>
      <c r="E27" s="63">
        <f t="shared" si="0"/>
        <v>0</v>
      </c>
      <c r="F27" s="2" t="s">
        <v>82</v>
      </c>
      <c r="G27" s="97">
        <v>1817</v>
      </c>
      <c r="H27" s="97"/>
      <c r="I27" s="95"/>
    </row>
    <row r="28" spans="1:9">
      <c r="A28" s="54" t="s">
        <v>71</v>
      </c>
      <c r="B28" s="55">
        <f>G28*$I$2</f>
        <v>10657.286847808266</v>
      </c>
      <c r="C28" s="55"/>
      <c r="D28" s="55">
        <v>0</v>
      </c>
      <c r="E28" s="63">
        <f t="shared" si="0"/>
        <v>0</v>
      </c>
      <c r="F28" s="2" t="s">
        <v>82</v>
      </c>
      <c r="G28" s="97">
        <v>46271</v>
      </c>
      <c r="H28" s="97"/>
      <c r="I28" s="95"/>
    </row>
    <row r="29" spans="1:9">
      <c r="A29" s="54" t="s">
        <v>70</v>
      </c>
      <c r="B29" s="55">
        <f t="shared" si="3"/>
        <v>8775.5459399698029</v>
      </c>
      <c r="C29" s="55"/>
      <c r="D29" s="55">
        <v>0</v>
      </c>
      <c r="E29" s="63">
        <f t="shared" si="0"/>
        <v>0</v>
      </c>
      <c r="F29" s="2" t="s">
        <v>82</v>
      </c>
      <c r="G29" s="97">
        <v>38101</v>
      </c>
      <c r="H29" s="97"/>
      <c r="I29" s="95"/>
    </row>
    <row r="30" spans="1:9">
      <c r="A30" s="54" t="s">
        <v>69</v>
      </c>
      <c r="B30" s="55">
        <f>G30*$I$2</f>
        <v>44355.416259751364</v>
      </c>
      <c r="C30" s="55"/>
      <c r="D30" s="55">
        <v>0</v>
      </c>
      <c r="E30" s="63">
        <f t="shared" si="0"/>
        <v>0</v>
      </c>
      <c r="F30" s="2" t="s">
        <v>82</v>
      </c>
      <c r="G30" s="106">
        <v>192578.98328757449</v>
      </c>
      <c r="H30" s="106">
        <v>176505.01671242551</v>
      </c>
      <c r="I30" s="95"/>
    </row>
    <row r="31" spans="1:9">
      <c r="A31" s="54" t="s">
        <v>68</v>
      </c>
      <c r="B31" s="55">
        <f t="shared" si="3"/>
        <v>44534.381270013939</v>
      </c>
      <c r="C31" s="55"/>
      <c r="D31" s="55">
        <v>0</v>
      </c>
      <c r="E31" s="63">
        <f t="shared" si="0"/>
        <v>0</v>
      </c>
      <c r="F31" s="2" t="s">
        <v>82</v>
      </c>
      <c r="G31" s="97">
        <v>193356</v>
      </c>
      <c r="H31" s="97"/>
      <c r="I31" s="95"/>
    </row>
    <row r="32" spans="1:9">
      <c r="A32" s="54" t="s">
        <v>67</v>
      </c>
      <c r="B32" s="55">
        <f t="shared" si="3"/>
        <v>632.23730624437962</v>
      </c>
      <c r="C32" s="55"/>
      <c r="D32" s="55">
        <v>0</v>
      </c>
      <c r="E32" s="63">
        <f t="shared" si="0"/>
        <v>0</v>
      </c>
      <c r="F32" s="2" t="s">
        <v>82</v>
      </c>
      <c r="G32" s="97">
        <v>2745</v>
      </c>
      <c r="H32" s="97"/>
      <c r="I32" s="95"/>
    </row>
    <row r="33" spans="1:9">
      <c r="A33" s="54" t="s">
        <v>66</v>
      </c>
      <c r="B33" s="55">
        <f t="shared" si="3"/>
        <v>66752.354884918008</v>
      </c>
      <c r="C33" s="55"/>
      <c r="D33" s="55">
        <v>0</v>
      </c>
      <c r="E33" s="63">
        <f t="shared" si="0"/>
        <v>0</v>
      </c>
      <c r="F33" s="2" t="s">
        <v>82</v>
      </c>
      <c r="G33" s="106">
        <v>289820.31327375316</v>
      </c>
      <c r="H33" s="106">
        <v>80202.686726246844</v>
      </c>
      <c r="I33" s="95"/>
    </row>
    <row r="34" spans="1:9">
      <c r="A34" s="54" t="s">
        <v>78</v>
      </c>
      <c r="B34" s="55">
        <f>G34</f>
        <v>5436.5369999999994</v>
      </c>
      <c r="C34" s="55"/>
      <c r="D34" s="55">
        <v>0</v>
      </c>
      <c r="E34" s="63">
        <f t="shared" si="0"/>
        <v>0</v>
      </c>
      <c r="F34" s="2" t="s">
        <v>82</v>
      </c>
      <c r="G34" s="105">
        <v>5436.5369999999994</v>
      </c>
      <c r="H34" s="105"/>
      <c r="I34" s="95"/>
    </row>
    <row r="35" spans="1:9">
      <c r="A35" s="54" t="s">
        <v>75</v>
      </c>
      <c r="B35" s="55">
        <f>(G35*$I$1*0.7)+(G35*$I$2*0.3)</f>
        <v>0</v>
      </c>
      <c r="C35" s="55"/>
      <c r="D35" s="55">
        <v>0</v>
      </c>
      <c r="E35" s="63">
        <f t="shared" si="0"/>
        <v>0</v>
      </c>
      <c r="F35" s="2" t="s">
        <v>82</v>
      </c>
      <c r="G35" s="105">
        <v>0</v>
      </c>
      <c r="H35" s="105"/>
      <c r="I35" s="95"/>
    </row>
    <row r="36" spans="1:9">
      <c r="A36" s="54" t="s">
        <v>76</v>
      </c>
      <c r="B36" s="55">
        <f>(G36*$I$1*0.7)+(G36*$I$2*0.3)</f>
        <v>18373.054604164467</v>
      </c>
      <c r="C36" s="55"/>
      <c r="D36" s="55">
        <v>0</v>
      </c>
      <c r="E36" s="63">
        <f t="shared" si="0"/>
        <v>0</v>
      </c>
      <c r="F36" s="2" t="s">
        <v>82</v>
      </c>
      <c r="G36" s="105">
        <v>79580.800000000003</v>
      </c>
      <c r="H36" s="105"/>
      <c r="I36" s="95"/>
    </row>
    <row r="37" spans="1:9">
      <c r="A37" s="54" t="s">
        <v>77</v>
      </c>
      <c r="B37" s="55">
        <f t="shared" ref="B37" si="4">(G37*$I$1*0.7)+(G37*$I$2*0.3)</f>
        <v>0</v>
      </c>
      <c r="C37" s="55"/>
      <c r="D37" s="55">
        <v>0</v>
      </c>
      <c r="E37" s="63">
        <f t="shared" si="0"/>
        <v>0</v>
      </c>
      <c r="F37" s="2" t="s">
        <v>82</v>
      </c>
      <c r="G37" s="105">
        <v>0</v>
      </c>
      <c r="H37" s="105"/>
      <c r="I37" s="95"/>
    </row>
    <row r="38" spans="1:9">
      <c r="A38" s="54" t="s">
        <v>48</v>
      </c>
      <c r="B38" s="55">
        <f>G38*I2</f>
        <v>20524.297561579828</v>
      </c>
      <c r="C38" s="55"/>
      <c r="D38" s="55">
        <v>0</v>
      </c>
      <c r="E38" s="63">
        <f t="shared" si="0"/>
        <v>0</v>
      </c>
      <c r="F38" s="2" t="s">
        <v>82</v>
      </c>
      <c r="G38" s="105">
        <v>89110.839000000022</v>
      </c>
      <c r="H38" s="105"/>
      <c r="I38" s="95"/>
    </row>
    <row r="39" spans="1:9">
      <c r="A39" s="54" t="s">
        <v>50</v>
      </c>
      <c r="B39" s="55">
        <f>G39*I2</f>
        <v>0</v>
      </c>
      <c r="C39" s="55"/>
      <c r="D39" s="55">
        <v>0</v>
      </c>
      <c r="E39" s="63">
        <f t="shared" si="0"/>
        <v>0</v>
      </c>
      <c r="F39" s="2" t="s">
        <v>83</v>
      </c>
      <c r="G39" s="105">
        <v>0</v>
      </c>
      <c r="H39" s="105"/>
      <c r="I39" s="95"/>
    </row>
    <row r="40" spans="1:9">
      <c r="A40" s="54" t="s">
        <v>51</v>
      </c>
      <c r="B40" s="55">
        <f>(G40*I1*79.264%)+(G40*I2*20.736%)</f>
        <v>2775.8819523627499</v>
      </c>
      <c r="C40" s="55"/>
      <c r="D40" s="55">
        <v>0</v>
      </c>
      <c r="E40" s="63">
        <f t="shared" si="0"/>
        <v>0</v>
      </c>
      <c r="F40" s="2" t="s">
        <v>82</v>
      </c>
      <c r="G40" s="105">
        <v>12019.63</v>
      </c>
      <c r="H40" s="105"/>
      <c r="I40" s="95"/>
    </row>
    <row r="41" spans="1:9">
      <c r="A41" s="54" t="s">
        <v>101</v>
      </c>
      <c r="B41" s="55">
        <f>G41*I2</f>
        <v>-476.99943942881976</v>
      </c>
      <c r="C41" s="55"/>
      <c r="D41" s="55"/>
      <c r="E41" s="63"/>
      <c r="F41" s="2" t="s">
        <v>82</v>
      </c>
      <c r="G41" s="105">
        <v>-2071</v>
      </c>
      <c r="H41" s="105"/>
      <c r="I41" s="95"/>
    </row>
    <row r="42" spans="1:9" ht="15.75" thickBot="1">
      <c r="A42" s="54" t="s">
        <v>102</v>
      </c>
      <c r="B42" s="55">
        <f>G42*I2</f>
        <v>-8059.2080752540705</v>
      </c>
      <c r="C42" s="55"/>
      <c r="D42" s="55"/>
      <c r="E42" s="63"/>
      <c r="F42" s="2" t="s">
        <v>81</v>
      </c>
      <c r="G42" s="105">
        <v>-34990.858571735989</v>
      </c>
      <c r="H42" s="105"/>
      <c r="I42" s="95"/>
    </row>
    <row r="43" spans="1:9" ht="16.5" thickTop="1" thickBot="1">
      <c r="B43" s="62">
        <f>SUM(B4:B42)</f>
        <v>3642260.3339564176</v>
      </c>
      <c r="E43" s="62">
        <f>SUM(E4:E42)</f>
        <v>2870155.6129042599</v>
      </c>
      <c r="F43"/>
      <c r="G43" s="81">
        <f>SUM(G4:G42)</f>
        <v>15750308.529514642</v>
      </c>
      <c r="H43" s="81">
        <f>SUM(H4:H42)</f>
        <v>694245.24490241753</v>
      </c>
      <c r="I43" s="52"/>
    </row>
    <row r="44" spans="1:9">
      <c r="F44"/>
      <c r="G44"/>
      <c r="H44"/>
    </row>
    <row r="45" spans="1:9">
      <c r="A45" t="s">
        <v>105</v>
      </c>
      <c r="B45" s="103">
        <f>0.75*I1+0.25*I2</f>
        <v>0.23091222201110401</v>
      </c>
      <c r="F45"/>
      <c r="G45"/>
      <c r="H45"/>
    </row>
    <row r="46" spans="1:9">
      <c r="F46" s="56"/>
      <c r="G46" s="56"/>
      <c r="H46" s="56"/>
    </row>
    <row r="47" spans="1:9">
      <c r="A47" s="52"/>
      <c r="G47" s="56"/>
      <c r="H47" s="56"/>
    </row>
  </sheetData>
  <phoneticPr fontId="51" type="noConversion"/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3"/>
  <sheetViews>
    <sheetView zoomScaleNormal="10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5.28515625" customWidth="1"/>
    <col min="7" max="7" width="11.28515625" bestFit="1" customWidth="1"/>
    <col min="8" max="8" width="15.42578125" customWidth="1"/>
    <col min="9" max="9" width="22" bestFit="1" customWidth="1"/>
    <col min="10" max="10" width="9.7109375" bestFit="1" customWidth="1"/>
    <col min="11" max="11" width="10.140625" bestFit="1" customWidth="1"/>
    <col min="14" max="14" width="14" bestFit="1" customWidth="1"/>
  </cols>
  <sheetData>
    <row r="1" spans="1:14" ht="19.5">
      <c r="A1" s="1" t="s">
        <v>29</v>
      </c>
      <c r="B1" s="1">
        <f>'Known Resources'!B1</f>
        <v>2019</v>
      </c>
      <c r="D1" s="57" t="s">
        <v>2</v>
      </c>
      <c r="H1" s="110">
        <f>M1*M2</f>
        <v>963.41893999999991</v>
      </c>
      <c r="I1" t="s">
        <v>5</v>
      </c>
      <c r="K1" s="98">
        <f>'Known Resources'!I1</f>
        <v>0.23110854783698145</v>
      </c>
      <c r="L1" s="32" t="s">
        <v>96</v>
      </c>
      <c r="M1">
        <v>0.437</v>
      </c>
      <c r="N1" s="52" t="s">
        <v>111</v>
      </c>
    </row>
    <row r="2" spans="1:14" ht="18.75">
      <c r="A2" s="1"/>
      <c r="B2" s="5" t="s">
        <v>28</v>
      </c>
      <c r="C2" s="5" t="s">
        <v>1</v>
      </c>
      <c r="D2" s="5" t="s">
        <v>4</v>
      </c>
      <c r="E2" s="2"/>
      <c r="F2" s="23" t="s">
        <v>7</v>
      </c>
      <c r="G2" s="22">
        <f>'Known Resources'!B1</f>
        <v>2019</v>
      </c>
      <c r="H2" s="24"/>
      <c r="K2" s="98">
        <f>'Known Resources'!I2</f>
        <v>0.23032324453347164</v>
      </c>
      <c r="L2" s="29" t="s">
        <v>95</v>
      </c>
      <c r="M2">
        <v>2204.62</v>
      </c>
      <c r="N2" s="52" t="s">
        <v>112</v>
      </c>
    </row>
    <row r="3" spans="1:14" ht="45.75" thickBot="1">
      <c r="A3" s="64" t="s">
        <v>0</v>
      </c>
      <c r="B3" s="65">
        <f>'Known Resources'!B1</f>
        <v>2019</v>
      </c>
      <c r="C3" s="65" t="s">
        <v>89</v>
      </c>
      <c r="D3" s="65" t="s">
        <v>90</v>
      </c>
      <c r="E3" s="66"/>
      <c r="F3" s="96" t="s">
        <v>106</v>
      </c>
      <c r="K3" s="91">
        <v>1</v>
      </c>
      <c r="L3" s="92" t="s">
        <v>97</v>
      </c>
    </row>
    <row r="4" spans="1:14">
      <c r="A4" s="54" t="s">
        <v>87</v>
      </c>
      <c r="B4" s="58">
        <f>F4*$K$2</f>
        <v>13276.292461398372</v>
      </c>
      <c r="C4" s="69">
        <f>IF(B4&lt;&gt;0,$H$1,0)</f>
        <v>963.41893999999991</v>
      </c>
      <c r="D4" s="68">
        <f>(+B4*C4)/2000</f>
        <v>6395.3158051452046</v>
      </c>
      <c r="E4" s="67"/>
      <c r="F4" s="58">
        <v>57642</v>
      </c>
      <c r="J4" s="52"/>
    </row>
    <row r="5" spans="1:14">
      <c r="A5" s="54" t="s">
        <v>85</v>
      </c>
      <c r="B5" s="58">
        <f t="shared" ref="B5:B6" si="0">F5*$K$2</f>
        <v>7082.6700926487865</v>
      </c>
      <c r="C5" s="69">
        <f t="shared" ref="C5:C13" si="1">IF(B5&lt;&gt;0,$H$1,0)</f>
        <v>963.41893999999991</v>
      </c>
      <c r="D5" s="68">
        <f t="shared" ref="D5:D16" si="2">(+B5*C5)/2000</f>
        <v>3411.7892565146972</v>
      </c>
      <c r="E5" s="67"/>
      <c r="F5" s="58">
        <v>30751</v>
      </c>
      <c r="J5" s="52"/>
    </row>
    <row r="6" spans="1:14">
      <c r="A6" s="54" t="s">
        <v>86</v>
      </c>
      <c r="B6" s="58">
        <f t="shared" si="0"/>
        <v>918464.58808148291</v>
      </c>
      <c r="C6" s="69">
        <f t="shared" si="1"/>
        <v>963.41893999999991</v>
      </c>
      <c r="D6" s="68">
        <f t="shared" si="2"/>
        <v>442433.08993849938</v>
      </c>
      <c r="E6" s="67"/>
      <c r="F6" s="58">
        <v>3987719.9105190937</v>
      </c>
      <c r="J6" s="52"/>
    </row>
    <row r="7" spans="1:14">
      <c r="A7" s="54" t="s">
        <v>91</v>
      </c>
      <c r="B7" s="58">
        <f>F7*$K$2</f>
        <v>103.64546004006223</v>
      </c>
      <c r="C7" s="69">
        <f t="shared" si="1"/>
        <v>963.41893999999991</v>
      </c>
      <c r="D7" s="68">
        <f t="shared" si="2"/>
        <v>49.926999623804548</v>
      </c>
      <c r="E7" s="67"/>
      <c r="F7" s="58">
        <v>450</v>
      </c>
      <c r="J7" s="52"/>
      <c r="N7" s="52"/>
    </row>
    <row r="8" spans="1:14">
      <c r="A8" s="54" t="s">
        <v>88</v>
      </c>
      <c r="B8" s="58">
        <f>F8*$K$2</f>
        <v>28717.623421411379</v>
      </c>
      <c r="C8" s="69">
        <f t="shared" si="1"/>
        <v>963.41893999999991</v>
      </c>
      <c r="D8" s="68">
        <f t="shared" si="2"/>
        <v>13833.551157987662</v>
      </c>
      <c r="E8" s="67"/>
      <c r="F8" s="58">
        <v>124684</v>
      </c>
      <c r="J8" s="52"/>
      <c r="N8" s="52"/>
    </row>
    <row r="9" spans="1:14">
      <c r="A9" s="54" t="s">
        <v>92</v>
      </c>
      <c r="B9" s="58">
        <f>F9*$K$2</f>
        <v>114643.98050358423</v>
      </c>
      <c r="C9" s="69">
        <f t="shared" si="1"/>
        <v>963.41893999999991</v>
      </c>
      <c r="D9" s="68">
        <f t="shared" si="2"/>
        <v>55225.091087071887</v>
      </c>
      <c r="E9" s="67"/>
      <c r="F9" s="58">
        <v>497752.54224036273</v>
      </c>
      <c r="J9" s="52"/>
      <c r="N9" s="52"/>
    </row>
    <row r="10" spans="1:14">
      <c r="A10" s="54" t="s">
        <v>49</v>
      </c>
      <c r="B10" s="58">
        <f>(F10*K1*0.7)+(F10*K2*0.3)</f>
        <v>0</v>
      </c>
      <c r="C10" s="69">
        <f t="shared" si="1"/>
        <v>0</v>
      </c>
      <c r="D10" s="68">
        <f t="shared" si="2"/>
        <v>0</v>
      </c>
      <c r="E10" s="67"/>
      <c r="F10" s="58">
        <v>0</v>
      </c>
      <c r="J10" s="52"/>
      <c r="N10" s="88"/>
    </row>
    <row r="11" spans="1:14">
      <c r="A11" s="54" t="s">
        <v>47</v>
      </c>
      <c r="B11" s="58">
        <f>F11*$K$2</f>
        <v>-440551.39969768631</v>
      </c>
      <c r="C11" s="69">
        <f t="shared" si="1"/>
        <v>963.41893999999991</v>
      </c>
      <c r="D11" s="68">
        <f t="shared" si="2"/>
        <v>-212217.78125613061</v>
      </c>
      <c r="E11" s="67"/>
      <c r="F11" s="58">
        <v>-1912752.664586849</v>
      </c>
      <c r="J11" s="52"/>
      <c r="N11" s="52"/>
    </row>
    <row r="12" spans="1:14">
      <c r="A12" s="54" t="s">
        <v>84</v>
      </c>
      <c r="B12" s="58"/>
      <c r="C12" s="69">
        <f t="shared" si="1"/>
        <v>0</v>
      </c>
      <c r="D12" s="68">
        <f t="shared" si="2"/>
        <v>0</v>
      </c>
      <c r="E12" s="67"/>
      <c r="F12" s="58">
        <v>0</v>
      </c>
    </row>
    <row r="13" spans="1:14">
      <c r="A13" s="54" t="s">
        <v>100</v>
      </c>
      <c r="B13" s="58">
        <f>F13*K2</f>
        <v>97488.365402407348</v>
      </c>
      <c r="C13" s="69">
        <f t="shared" si="1"/>
        <v>963.41893999999991</v>
      </c>
      <c r="D13" s="68">
        <f t="shared" si="2"/>
        <v>46961.068829159973</v>
      </c>
      <c r="E13" s="67"/>
      <c r="F13" s="58">
        <v>423267.59333333327</v>
      </c>
      <c r="J13" s="52"/>
      <c r="N13" s="93"/>
    </row>
    <row r="14" spans="1:14">
      <c r="A14" s="54" t="s">
        <v>99</v>
      </c>
      <c r="B14" s="58">
        <f>F14*$K$2</f>
        <v>17119.466119683879</v>
      </c>
      <c r="C14" s="69">
        <f>IF(B14&lt;&gt;0,$H$1,0)</f>
        <v>963.41893999999991</v>
      </c>
      <c r="D14" s="68">
        <f>(+B14*C14)/2000</f>
        <v>8246.6089511958762</v>
      </c>
      <c r="E14" s="67"/>
      <c r="F14" s="58">
        <v>74328</v>
      </c>
      <c r="J14" s="52"/>
    </row>
    <row r="15" spans="1:14">
      <c r="A15" s="54"/>
      <c r="B15" s="58"/>
      <c r="C15" s="69"/>
      <c r="D15" s="68"/>
      <c r="E15" s="67"/>
      <c r="F15" s="58"/>
      <c r="J15" s="52"/>
    </row>
    <row r="16" spans="1:14" ht="15.75" thickBot="1">
      <c r="A16" s="20"/>
      <c r="B16" s="58">
        <f t="shared" ref="B16" si="3">F16*$K$2</f>
        <v>0</v>
      </c>
      <c r="C16" s="59">
        <v>0</v>
      </c>
      <c r="D16" s="68">
        <f t="shared" si="2"/>
        <v>0</v>
      </c>
      <c r="F16" s="82"/>
      <c r="J16" s="52"/>
      <c r="N16" s="83"/>
    </row>
    <row r="17" spans="1:10" ht="16.5" thickTop="1" thickBot="1">
      <c r="A17" s="53"/>
      <c r="B17" s="60">
        <f>SUM(B4:B16)</f>
        <v>756345.23184497072</v>
      </c>
      <c r="C17" s="61"/>
      <c r="D17" s="62">
        <f>SUM(D4:D16)</f>
        <v>364338.66076906788</v>
      </c>
      <c r="F17" s="62">
        <f>SUM(F4:F16)</f>
        <v>3283842.3815059401</v>
      </c>
      <c r="J17" s="52"/>
    </row>
    <row r="19" spans="1:10">
      <c r="A19" t="str">
        <f>'Known Resources'!A45</f>
        <v>2019 Washington - WCA Allocation Factor</v>
      </c>
      <c r="B19" s="99">
        <f>'Known Resources'!B45</f>
        <v>0.23091222201110401</v>
      </c>
      <c r="D19" s="87"/>
      <c r="F19" s="83"/>
      <c r="J19" s="94"/>
    </row>
    <row r="20" spans="1:10">
      <c r="F20" s="83"/>
    </row>
    <row r="21" spans="1:10">
      <c r="B21" s="85"/>
      <c r="D21" s="100"/>
      <c r="E21" s="52"/>
    </row>
    <row r="22" spans="1:10">
      <c r="F22" s="83"/>
    </row>
    <row r="23" spans="1:10">
      <c r="A23" t="s">
        <v>93</v>
      </c>
    </row>
  </sheetData>
  <hyperlinks>
    <hyperlink ref="D1" r:id="rId1" xr:uid="{00000000-0004-0000-0200-000000000000}"/>
  </hyperlinks>
  <pageMargins left="0.7" right="0.7" top="0.75" bottom="0.75" header="0.3" footer="0.3"/>
  <pageSetup scale="3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51715F3-5B73-4BCF-9D76-F2B805A67E22}"/>
</file>

<file path=customXml/itemProps2.xml><?xml version="1.0" encoding="utf-8"?>
<ds:datastoreItem xmlns:ds="http://schemas.openxmlformats.org/officeDocument/2006/customXml" ds:itemID="{4BA63C7E-86E5-41DB-9528-C042BD91DEB1}"/>
</file>

<file path=customXml/itemProps3.xml><?xml version="1.0" encoding="utf-8"?>
<ds:datastoreItem xmlns:ds="http://schemas.openxmlformats.org/officeDocument/2006/customXml" ds:itemID="{90DC25E1-4D8D-40D8-8F07-1FB585F3AEEE}"/>
</file>

<file path=customXml/itemProps4.xml><?xml version="1.0" encoding="utf-8"?>
<ds:datastoreItem xmlns:ds="http://schemas.openxmlformats.org/officeDocument/2006/customXml" ds:itemID="{1D479746-7F75-48D1-A23C-E9354AB0C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2019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2025-05-28T14:56:25Z</dcterms:created>
  <dcterms:modified xsi:type="dcterms:W3CDTF">2025-05-28T14:56:36Z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