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Commodity Rebate Filings\2024\Ellensburg\"/>
    </mc:Choice>
  </mc:AlternateContent>
  <xr:revisionPtr revIDLastSave="0" documentId="13_ncr:1_{CCBA0ADF-5287-47C8-B863-8B5C63711D27}" xr6:coauthVersionLast="47" xr6:coauthVersionMax="47" xr10:uidLastSave="{00000000-0000-0000-0000-000000000000}"/>
  <bookViews>
    <workbookView xWindow="-120" yWindow="-120" windowWidth="25440" windowHeight="15390" activeTab="1" xr2:uid="{52A02B41-2519-40CA-864E-E1893FB90479}"/>
  </bookViews>
  <sheets>
    <sheet name="Rebate Calculation" sheetId="1" r:id="rId1"/>
    <sheet name="Recycling Revenue" sheetId="2" r:id="rId2"/>
    <sheet name="Customers" sheetId="3" r:id="rId3"/>
    <sheet name="CRC Price" sheetId="4" r:id="rId4"/>
    <sheet name="CRC Composition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F54" i="1" l="1"/>
  <c r="F56" i="1" s="1"/>
  <c r="A52" i="1"/>
  <c r="C41" i="1"/>
  <c r="E47" i="1" s="1"/>
  <c r="D40" i="1"/>
  <c r="E40" i="1" s="1"/>
  <c r="D39" i="1"/>
  <c r="E39" i="1" s="1"/>
  <c r="E41" i="1" s="1"/>
  <c r="E45" i="1" s="1"/>
  <c r="E10" i="2" l="1"/>
  <c r="E11" i="2" s="1"/>
  <c r="E12" i="2" s="1"/>
  <c r="E13" i="2" s="1"/>
  <c r="E14" i="2" s="1"/>
  <c r="E15" i="2" s="1"/>
  <c r="E16" i="2" s="1"/>
  <c r="E17" i="2" s="1"/>
  <c r="E18" i="2" s="1"/>
  <c r="E19" i="2" s="1"/>
  <c r="E9" i="2"/>
  <c r="E8" i="2"/>
  <c r="I19" i="2"/>
  <c r="I18" i="2"/>
  <c r="I17" i="2"/>
  <c r="I16" i="2"/>
  <c r="I9" i="2"/>
  <c r="I8" i="2"/>
  <c r="X44" i="5"/>
  <c r="V44" i="5"/>
  <c r="T44" i="5"/>
  <c r="R44" i="5"/>
  <c r="D44" i="5"/>
  <c r="B44" i="5"/>
  <c r="X42" i="5"/>
  <c r="X41" i="5"/>
  <c r="X40" i="5"/>
  <c r="X39" i="5"/>
  <c r="X38" i="5"/>
  <c r="X37" i="5"/>
  <c r="X36" i="5"/>
  <c r="X35" i="5"/>
  <c r="X34" i="5"/>
  <c r="X33" i="5"/>
  <c r="V42" i="5"/>
  <c r="V41" i="5"/>
  <c r="V40" i="5"/>
  <c r="V39" i="5"/>
  <c r="V38" i="5"/>
  <c r="V37" i="5"/>
  <c r="V36" i="5"/>
  <c r="V35" i="5"/>
  <c r="V34" i="5"/>
  <c r="V33" i="5"/>
  <c r="T42" i="5"/>
  <c r="T41" i="5"/>
  <c r="T40" i="5"/>
  <c r="T39" i="5"/>
  <c r="T38" i="5"/>
  <c r="T37" i="5"/>
  <c r="T36" i="5"/>
  <c r="T35" i="5"/>
  <c r="T34" i="5"/>
  <c r="T33" i="5"/>
  <c r="R42" i="5"/>
  <c r="R41" i="5"/>
  <c r="R40" i="5"/>
  <c r="R39" i="5"/>
  <c r="R38" i="5"/>
  <c r="R37" i="5"/>
  <c r="R36" i="5"/>
  <c r="R35" i="5"/>
  <c r="R34" i="5"/>
  <c r="R33" i="5"/>
  <c r="L42" i="5"/>
  <c r="D42" i="5"/>
  <c r="D41" i="5"/>
  <c r="D40" i="5"/>
  <c r="D39" i="5"/>
  <c r="D38" i="5"/>
  <c r="D37" i="5"/>
  <c r="D36" i="5"/>
  <c r="D35" i="5"/>
  <c r="D34" i="5"/>
  <c r="D33" i="5"/>
  <c r="B34" i="5"/>
  <c r="B35" i="5"/>
  <c r="B36" i="5"/>
  <c r="B37" i="5"/>
  <c r="B38" i="5"/>
  <c r="B39" i="5"/>
  <c r="B40" i="5"/>
  <c r="B41" i="5"/>
  <c r="B42" i="5"/>
  <c r="B33" i="5"/>
  <c r="X31" i="5"/>
  <c r="X30" i="5"/>
  <c r="X29" i="5"/>
  <c r="X28" i="5"/>
  <c r="X27" i="5"/>
  <c r="X26" i="5"/>
  <c r="X25" i="5"/>
  <c r="X24" i="5"/>
  <c r="X23" i="5"/>
  <c r="X22" i="5"/>
  <c r="V31" i="5"/>
  <c r="V30" i="5"/>
  <c r="V29" i="5"/>
  <c r="V28" i="5"/>
  <c r="V27" i="5"/>
  <c r="V26" i="5"/>
  <c r="V25" i="5"/>
  <c r="V24" i="5"/>
  <c r="V23" i="5"/>
  <c r="V22" i="5"/>
  <c r="T31" i="5"/>
  <c r="T30" i="5"/>
  <c r="T29" i="5"/>
  <c r="T28" i="5"/>
  <c r="T27" i="5"/>
  <c r="T26" i="5"/>
  <c r="T25" i="5"/>
  <c r="T24" i="5"/>
  <c r="T23" i="5"/>
  <c r="T22" i="5"/>
  <c r="R31" i="5"/>
  <c r="R30" i="5"/>
  <c r="R29" i="5"/>
  <c r="R28" i="5"/>
  <c r="R27" i="5"/>
  <c r="R26" i="5"/>
  <c r="R25" i="5"/>
  <c r="R24" i="5"/>
  <c r="R23" i="5"/>
  <c r="R22" i="5"/>
  <c r="P31" i="5"/>
  <c r="P30" i="5"/>
  <c r="P29" i="5"/>
  <c r="P28" i="5"/>
  <c r="P27" i="5"/>
  <c r="P26" i="5"/>
  <c r="P25" i="5"/>
  <c r="P24" i="5"/>
  <c r="P23" i="5"/>
  <c r="P22" i="5"/>
  <c r="N31" i="5"/>
  <c r="N30" i="5"/>
  <c r="N29" i="5"/>
  <c r="N28" i="5"/>
  <c r="N27" i="5"/>
  <c r="N26" i="5"/>
  <c r="N25" i="5"/>
  <c r="N24" i="5"/>
  <c r="N23" i="5"/>
  <c r="N22" i="5"/>
  <c r="L31" i="5"/>
  <c r="L30" i="5"/>
  <c r="L29" i="5"/>
  <c r="L28" i="5"/>
  <c r="L27" i="5"/>
  <c r="L26" i="5"/>
  <c r="L25" i="5"/>
  <c r="L24" i="5"/>
  <c r="L23" i="5"/>
  <c r="L22" i="5"/>
  <c r="J31" i="5"/>
  <c r="J30" i="5"/>
  <c r="J29" i="5"/>
  <c r="J28" i="5"/>
  <c r="J27" i="5"/>
  <c r="J26" i="5"/>
  <c r="J25" i="5"/>
  <c r="J24" i="5"/>
  <c r="J23" i="5"/>
  <c r="J22" i="5"/>
  <c r="H31" i="5"/>
  <c r="H30" i="5"/>
  <c r="H29" i="5"/>
  <c r="H28" i="5"/>
  <c r="H27" i="5"/>
  <c r="H26" i="5"/>
  <c r="H25" i="5"/>
  <c r="H24" i="5"/>
  <c r="H23" i="5"/>
  <c r="H22" i="5"/>
  <c r="F31" i="5"/>
  <c r="F30" i="5"/>
  <c r="F29" i="5"/>
  <c r="F28" i="5"/>
  <c r="F27" i="5"/>
  <c r="F26" i="5"/>
  <c r="F25" i="5"/>
  <c r="F24" i="5"/>
  <c r="F23" i="5"/>
  <c r="F22" i="5"/>
  <c r="D31" i="5"/>
  <c r="D30" i="5"/>
  <c r="D29" i="5"/>
  <c r="D28" i="5"/>
  <c r="D27" i="5"/>
  <c r="D26" i="5"/>
  <c r="D25" i="5"/>
  <c r="D24" i="5"/>
  <c r="D23" i="5"/>
  <c r="D22" i="5"/>
  <c r="B31" i="5"/>
  <c r="B30" i="5"/>
  <c r="B29" i="5"/>
  <c r="B28" i="5"/>
  <c r="B27" i="5"/>
  <c r="B26" i="5"/>
  <c r="B25" i="5"/>
  <c r="B24" i="5"/>
  <c r="B23" i="5"/>
  <c r="B22" i="5"/>
  <c r="F19" i="2" l="1"/>
  <c r="F18" i="2"/>
  <c r="F17" i="2"/>
  <c r="F16" i="2"/>
  <c r="F9" i="2"/>
  <c r="F8" i="2"/>
  <c r="X19" i="5"/>
  <c r="T19" i="5"/>
  <c r="U16" i="5" l="1"/>
  <c r="U11" i="5"/>
  <c r="U9" i="5"/>
  <c r="U17" i="5"/>
  <c r="U15" i="5"/>
  <c r="U14" i="5"/>
  <c r="U13" i="5"/>
  <c r="U10" i="5"/>
  <c r="U18" i="5"/>
  <c r="U12" i="5"/>
  <c r="U8" i="5"/>
  <c r="Y17" i="5"/>
  <c r="Y12" i="5"/>
  <c r="Y18" i="5"/>
  <c r="Y14" i="5"/>
  <c r="Y9" i="5"/>
  <c r="Y16" i="5"/>
  <c r="Y13" i="5"/>
  <c r="Y8" i="5"/>
  <c r="Y10" i="5"/>
  <c r="Y15" i="5"/>
  <c r="Y11" i="5"/>
  <c r="R19" i="5"/>
  <c r="S9" i="5" s="1"/>
  <c r="V19" i="5"/>
  <c r="W11" i="5" s="1"/>
  <c r="U19" i="5" l="1"/>
  <c r="S14" i="5"/>
  <c r="W14" i="5"/>
  <c r="W18" i="5"/>
  <c r="W12" i="5"/>
  <c r="W8" i="5"/>
  <c r="S16" i="5"/>
  <c r="S15" i="5"/>
  <c r="S8" i="5"/>
  <c r="S10" i="5"/>
  <c r="W9" i="5"/>
  <c r="S13" i="5"/>
  <c r="W10" i="5"/>
  <c r="W13" i="5"/>
  <c r="S18" i="5"/>
  <c r="S17" i="5"/>
  <c r="S12" i="5"/>
  <c r="S11" i="5"/>
  <c r="W15" i="5"/>
  <c r="W17" i="5"/>
  <c r="Y19" i="5"/>
  <c r="W16" i="5"/>
  <c r="S19" i="5" l="1"/>
  <c r="W19" i="5"/>
  <c r="B19" i="5" l="1"/>
  <c r="P18" i="5"/>
  <c r="N18" i="5"/>
  <c r="L18" i="5"/>
  <c r="J18" i="5"/>
  <c r="H18" i="5"/>
  <c r="F18" i="5"/>
  <c r="D18" i="5"/>
  <c r="D19" i="5" s="1"/>
  <c r="C18" i="5"/>
  <c r="P17" i="5"/>
  <c r="P42" i="5" s="1"/>
  <c r="N17" i="5"/>
  <c r="J17" i="5"/>
  <c r="J42" i="5" s="1"/>
  <c r="H17" i="5"/>
  <c r="H42" i="5" s="1"/>
  <c r="F17" i="5"/>
  <c r="F42" i="5" s="1"/>
  <c r="C17" i="5"/>
  <c r="P16" i="5"/>
  <c r="P41" i="5" s="1"/>
  <c r="N16" i="5"/>
  <c r="N41" i="5" s="1"/>
  <c r="L16" i="5"/>
  <c r="L41" i="5" s="1"/>
  <c r="J16" i="5"/>
  <c r="J41" i="5" s="1"/>
  <c r="H16" i="5"/>
  <c r="H41" i="5" s="1"/>
  <c r="F16" i="5"/>
  <c r="F41" i="5" s="1"/>
  <c r="C16" i="5"/>
  <c r="P15" i="5"/>
  <c r="P40" i="5" s="1"/>
  <c r="N15" i="5"/>
  <c r="L15" i="5"/>
  <c r="L40" i="5" s="1"/>
  <c r="J15" i="5"/>
  <c r="J40" i="5" s="1"/>
  <c r="H15" i="5"/>
  <c r="H40" i="5" s="1"/>
  <c r="F15" i="5"/>
  <c r="F40" i="5" s="1"/>
  <c r="C15" i="5"/>
  <c r="P14" i="5"/>
  <c r="P39" i="5" s="1"/>
  <c r="N14" i="5"/>
  <c r="N39" i="5" s="1"/>
  <c r="L14" i="5"/>
  <c r="L39" i="5" s="1"/>
  <c r="J14" i="5"/>
  <c r="J39" i="5" s="1"/>
  <c r="H14" i="5"/>
  <c r="H39" i="5" s="1"/>
  <c r="F14" i="5"/>
  <c r="F39" i="5" s="1"/>
  <c r="C14" i="5"/>
  <c r="P13" i="5"/>
  <c r="P38" i="5" s="1"/>
  <c r="N13" i="5"/>
  <c r="L13" i="5"/>
  <c r="L38" i="5" s="1"/>
  <c r="J13" i="5"/>
  <c r="J38" i="5" s="1"/>
  <c r="H13" i="5"/>
  <c r="H38" i="5" s="1"/>
  <c r="F13" i="5"/>
  <c r="F38" i="5" s="1"/>
  <c r="C13" i="5"/>
  <c r="P12" i="5"/>
  <c r="P37" i="5" s="1"/>
  <c r="N12" i="5"/>
  <c r="L12" i="5"/>
  <c r="L37" i="5" s="1"/>
  <c r="J12" i="5"/>
  <c r="J37" i="5" s="1"/>
  <c r="H12" i="5"/>
  <c r="H37" i="5" s="1"/>
  <c r="F12" i="5"/>
  <c r="F37" i="5" s="1"/>
  <c r="C12" i="5"/>
  <c r="P11" i="5"/>
  <c r="P36" i="5" s="1"/>
  <c r="N11" i="5"/>
  <c r="N36" i="5" s="1"/>
  <c r="L11" i="5"/>
  <c r="L36" i="5" s="1"/>
  <c r="J11" i="5"/>
  <c r="J36" i="5" s="1"/>
  <c r="H11" i="5"/>
  <c r="H36" i="5" s="1"/>
  <c r="F11" i="5"/>
  <c r="F36" i="5" s="1"/>
  <c r="C11" i="5"/>
  <c r="P10" i="5"/>
  <c r="P35" i="5" s="1"/>
  <c r="N10" i="5"/>
  <c r="L10" i="5"/>
  <c r="L35" i="5" s="1"/>
  <c r="J10" i="5"/>
  <c r="J35" i="5" s="1"/>
  <c r="H10" i="5"/>
  <c r="H35" i="5" s="1"/>
  <c r="F10" i="5"/>
  <c r="F35" i="5" s="1"/>
  <c r="C10" i="5"/>
  <c r="P9" i="5"/>
  <c r="P34" i="5" s="1"/>
  <c r="N9" i="5"/>
  <c r="L9" i="5"/>
  <c r="L34" i="5" s="1"/>
  <c r="J9" i="5"/>
  <c r="J34" i="5" s="1"/>
  <c r="H9" i="5"/>
  <c r="H34" i="5" s="1"/>
  <c r="F9" i="5"/>
  <c r="F34" i="5" s="1"/>
  <c r="C9" i="5"/>
  <c r="P8" i="5"/>
  <c r="P33" i="5" s="1"/>
  <c r="P44" i="5" s="1"/>
  <c r="I15" i="2" s="1"/>
  <c r="N8" i="5"/>
  <c r="N33" i="5" s="1"/>
  <c r="L8" i="5"/>
  <c r="L33" i="5" s="1"/>
  <c r="J8" i="5"/>
  <c r="J33" i="5" s="1"/>
  <c r="H8" i="5"/>
  <c r="H33" i="5" s="1"/>
  <c r="F8" i="5"/>
  <c r="F33" i="5" s="1"/>
  <c r="C8" i="5"/>
  <c r="K20" i="4"/>
  <c r="J20" i="4"/>
  <c r="I20" i="4"/>
  <c r="H20" i="4"/>
  <c r="G20" i="4"/>
  <c r="F20" i="4"/>
  <c r="E20" i="4"/>
  <c r="D20" i="4"/>
  <c r="C20" i="4"/>
  <c r="B20" i="4"/>
  <c r="F44" i="5" l="1"/>
  <c r="I10" i="2" s="1"/>
  <c r="L44" i="5"/>
  <c r="I13" i="2" s="1"/>
  <c r="H44" i="5"/>
  <c r="I11" i="2" s="1"/>
  <c r="J44" i="5"/>
  <c r="I12" i="2" s="1"/>
  <c r="Z13" i="5"/>
  <c r="AE13" i="5" s="1"/>
  <c r="N38" i="5"/>
  <c r="Z15" i="5"/>
  <c r="AE15" i="5" s="1"/>
  <c r="N40" i="5"/>
  <c r="Z12" i="5"/>
  <c r="AE12" i="5" s="1"/>
  <c r="N37" i="5"/>
  <c r="Z10" i="5"/>
  <c r="N35" i="5"/>
  <c r="Z17" i="5"/>
  <c r="AE17" i="5" s="1"/>
  <c r="N42" i="5"/>
  <c r="Z18" i="5"/>
  <c r="Z9" i="5"/>
  <c r="AE9" i="5" s="1"/>
  <c r="N34" i="5"/>
  <c r="Z14" i="5"/>
  <c r="Z11" i="5"/>
  <c r="Z8" i="5"/>
  <c r="Z16" i="5"/>
  <c r="AE16" i="5" s="1"/>
  <c r="L19" i="5"/>
  <c r="C19" i="5"/>
  <c r="J19" i="5"/>
  <c r="K17" i="5" s="1"/>
  <c r="E17" i="5"/>
  <c r="E13" i="5"/>
  <c r="E9" i="5"/>
  <c r="E10" i="5"/>
  <c r="E14" i="5"/>
  <c r="E8" i="5"/>
  <c r="E16" i="5"/>
  <c r="E12" i="5"/>
  <c r="E15" i="5"/>
  <c r="E11" i="5"/>
  <c r="AE11" i="5"/>
  <c r="N19" i="5"/>
  <c r="O12" i="5" s="1"/>
  <c r="F19" i="5"/>
  <c r="G12" i="5" s="1"/>
  <c r="H19" i="5"/>
  <c r="I18" i="5" s="1"/>
  <c r="F11" i="2" s="1"/>
  <c r="P19" i="5"/>
  <c r="Q9" i="5" s="1"/>
  <c r="E18" i="5"/>
  <c r="K9" i="5" l="1"/>
  <c r="K8" i="5"/>
  <c r="I9" i="5"/>
  <c r="K18" i="5"/>
  <c r="F12" i="2" s="1"/>
  <c r="K14" i="5"/>
  <c r="K11" i="5"/>
  <c r="K16" i="5"/>
  <c r="Z19" i="5"/>
  <c r="AC13" i="5" s="1"/>
  <c r="I8" i="5"/>
  <c r="I11" i="5"/>
  <c r="K15" i="5"/>
  <c r="I13" i="5"/>
  <c r="K10" i="5"/>
  <c r="N44" i="5"/>
  <c r="I14" i="2" s="1"/>
  <c r="AE10" i="5"/>
  <c r="M18" i="5"/>
  <c r="F13" i="2" s="1"/>
  <c r="M10" i="5"/>
  <c r="M17" i="5"/>
  <c r="M9" i="5"/>
  <c r="M16" i="5"/>
  <c r="M8" i="5"/>
  <c r="M15" i="5"/>
  <c r="M13" i="5"/>
  <c r="M14" i="5"/>
  <c r="M12" i="5"/>
  <c r="M11" i="5"/>
  <c r="K12" i="5"/>
  <c r="K13" i="5"/>
  <c r="Q8" i="5"/>
  <c r="Q17" i="5"/>
  <c r="I17" i="5"/>
  <c r="I15" i="5"/>
  <c r="G16" i="5"/>
  <c r="Q15" i="5"/>
  <c r="Q18" i="5"/>
  <c r="F15" i="2" s="1"/>
  <c r="Q13" i="5"/>
  <c r="O16" i="5"/>
  <c r="G18" i="5"/>
  <c r="F10" i="2" s="1"/>
  <c r="G11" i="5"/>
  <c r="G17" i="5"/>
  <c r="G9" i="5"/>
  <c r="G15" i="5"/>
  <c r="G13" i="5"/>
  <c r="G8" i="5"/>
  <c r="G14" i="5"/>
  <c r="E19" i="5"/>
  <c r="AE18" i="5"/>
  <c r="O18" i="5"/>
  <c r="F14" i="2" s="1"/>
  <c r="O13" i="5"/>
  <c r="O9" i="5"/>
  <c r="O15" i="5"/>
  <c r="O11" i="5"/>
  <c r="O8" i="5"/>
  <c r="O17" i="5"/>
  <c r="O10" i="5"/>
  <c r="O14" i="5"/>
  <c r="Q14" i="5"/>
  <c r="Q16" i="5"/>
  <c r="Q12" i="5"/>
  <c r="Q10" i="5"/>
  <c r="AE14" i="5"/>
  <c r="Q11" i="5"/>
  <c r="I10" i="5"/>
  <c r="I16" i="5"/>
  <c r="I12" i="5"/>
  <c r="I14" i="5"/>
  <c r="G10" i="5"/>
  <c r="AC15" i="5" l="1"/>
  <c r="AA13" i="5"/>
  <c r="AC12" i="5"/>
  <c r="AA14" i="5"/>
  <c r="AA11" i="5"/>
  <c r="AC10" i="5"/>
  <c r="K19" i="5"/>
  <c r="AC9" i="5"/>
  <c r="AC19" i="5" s="1"/>
  <c r="AC11" i="5"/>
  <c r="AA12" i="5"/>
  <c r="AC8" i="5"/>
  <c r="AC14" i="5"/>
  <c r="AA15" i="5"/>
  <c r="AA8" i="5"/>
  <c r="AC16" i="5"/>
  <c r="AA18" i="5"/>
  <c r="AA10" i="5"/>
  <c r="AA9" i="5"/>
  <c r="AA16" i="5"/>
  <c r="AA17" i="5"/>
  <c r="AC17" i="5"/>
  <c r="M19" i="5"/>
  <c r="I19" i="5"/>
  <c r="Q19" i="5"/>
  <c r="G19" i="5"/>
  <c r="O19" i="5"/>
  <c r="AA19" i="5" l="1"/>
  <c r="F18" i="3"/>
  <c r="F17" i="3"/>
  <c r="F16" i="3"/>
  <c r="F14" i="3"/>
  <c r="F13" i="3"/>
  <c r="F12" i="3"/>
  <c r="F11" i="3"/>
  <c r="F10" i="3"/>
  <c r="F9" i="3"/>
  <c r="E8" i="3"/>
  <c r="F8" i="3" s="1"/>
  <c r="E7" i="3"/>
  <c r="G19" i="2"/>
  <c r="H19" i="2" s="1"/>
  <c r="C19" i="2"/>
  <c r="G18" i="2"/>
  <c r="H18" i="2" s="1"/>
  <c r="C18" i="2"/>
  <c r="G17" i="2"/>
  <c r="H17" i="2" s="1"/>
  <c r="G16" i="2"/>
  <c r="H16" i="2" s="1"/>
  <c r="J16" i="2" s="1"/>
  <c r="C17" i="2"/>
  <c r="C16" i="2"/>
  <c r="G15" i="2"/>
  <c r="H15" i="2" s="1"/>
  <c r="J15" i="2" s="1"/>
  <c r="C15" i="2"/>
  <c r="G12" i="2"/>
  <c r="H12" i="2" s="1"/>
  <c r="J12" i="2" s="1"/>
  <c r="G11" i="2"/>
  <c r="H11" i="2" s="1"/>
  <c r="C11" i="2"/>
  <c r="G10" i="2"/>
  <c r="H10" i="2" s="1"/>
  <c r="J10" i="2" s="1"/>
  <c r="C10" i="2"/>
  <c r="G9" i="2"/>
  <c r="H9" i="2" s="1"/>
  <c r="J9" i="2" s="1"/>
  <c r="C9" i="2"/>
  <c r="G8" i="2"/>
  <c r="C8" i="2"/>
  <c r="E24" i="1"/>
  <c r="E10" i="1"/>
  <c r="D10" i="1"/>
  <c r="E11" i="1"/>
  <c r="D11" i="1"/>
  <c r="A23" i="1"/>
  <c r="J19" i="2" l="1"/>
  <c r="J17" i="2"/>
  <c r="J11" i="2"/>
  <c r="D19" i="3"/>
  <c r="C19" i="3"/>
  <c r="F7" i="3"/>
  <c r="F15" i="3"/>
  <c r="E19" i="3"/>
  <c r="C12" i="2"/>
  <c r="J18" i="2"/>
  <c r="E20" i="2"/>
  <c r="G14" i="2"/>
  <c r="H14" i="2" s="1"/>
  <c r="J14" i="2" s="1"/>
  <c r="H8" i="2"/>
  <c r="E12" i="1"/>
  <c r="E16" i="1"/>
  <c r="C12" i="1"/>
  <c r="F19" i="3" l="1"/>
  <c r="J8" i="2"/>
  <c r="C13" i="2"/>
  <c r="G13" i="2"/>
  <c r="E18" i="1"/>
  <c r="C14" i="2" l="1"/>
  <c r="C20" i="2" s="1"/>
  <c r="D20" i="2"/>
  <c r="H13" i="2"/>
  <c r="G20" i="2"/>
  <c r="F20" i="2" s="1"/>
  <c r="F23" i="2" s="1"/>
  <c r="G23" i="2" s="1"/>
  <c r="H23" i="2" s="1"/>
  <c r="J13" i="2" l="1"/>
  <c r="H20" i="2"/>
  <c r="J20" i="2" l="1"/>
  <c r="I20" i="2" l="1"/>
  <c r="I23" i="2" s="1"/>
  <c r="J23" i="2" s="1"/>
  <c r="K23" i="2" s="1"/>
  <c r="E23" i="1"/>
  <c r="F25" i="1" s="1"/>
  <c r="F27" i="1" s="1"/>
</calcChain>
</file>

<file path=xl/sharedStrings.xml><?xml version="1.0" encoding="utf-8"?>
<sst xmlns="http://schemas.openxmlformats.org/spreadsheetml/2006/main" count="154" uniqueCount="75">
  <si>
    <t>Residential</t>
  </si>
  <si>
    <t>Commodity</t>
  </si>
  <si>
    <t>Total</t>
  </si>
  <si>
    <t>Customers</t>
  </si>
  <si>
    <t>Credit</t>
  </si>
  <si>
    <t>Credits</t>
  </si>
  <si>
    <t xml:space="preserve">Actual Commodity Revenue </t>
  </si>
  <si>
    <t>Owe Customer (company)</t>
  </si>
  <si>
    <t>Total Customers</t>
  </si>
  <si>
    <t>Total Customers (annualized)</t>
  </si>
  <si>
    <t>Projected Value</t>
  </si>
  <si>
    <t>Residential Commodity Adjustment - as calculated</t>
  </si>
  <si>
    <t>Waste Management of Ellensburg</t>
  </si>
  <si>
    <t>2024 - 2025 Rebate Calculation</t>
  </si>
  <si>
    <t>Projected Revenue Oct. 2024- Sept. 2025</t>
  </si>
  <si>
    <t>Adjust for Under/(Over) payment in 2023-2024</t>
  </si>
  <si>
    <t>Tonnage</t>
  </si>
  <si>
    <t>Less:</t>
  </si>
  <si>
    <t>Residual</t>
  </si>
  <si>
    <t>Average</t>
  </si>
  <si>
    <t>Month</t>
  </si>
  <si>
    <t>Non-UTC</t>
  </si>
  <si>
    <t>UTC</t>
  </si>
  <si>
    <t>% Residual</t>
  </si>
  <si>
    <t>Sold</t>
  </si>
  <si>
    <t>Rate/ton</t>
  </si>
  <si>
    <t>Revenue</t>
  </si>
  <si>
    <t>Dec</t>
  </si>
  <si>
    <t>Jan., 2024</t>
  </si>
  <si>
    <t>Feb</t>
  </si>
  <si>
    <t>Mar</t>
  </si>
  <si>
    <t>Apr</t>
  </si>
  <si>
    <t>May</t>
  </si>
  <si>
    <t>Jun</t>
  </si>
  <si>
    <t>Jul</t>
  </si>
  <si>
    <t>Aug</t>
  </si>
  <si>
    <t>Oct</t>
  </si>
  <si>
    <t>Calculation of Recycling Revenue</t>
  </si>
  <si>
    <t>Sept., 2023</t>
  </si>
  <si>
    <t>Nov</t>
  </si>
  <si>
    <t>Recycling Customers - per Enspire</t>
  </si>
  <si>
    <t>%</t>
  </si>
  <si>
    <t>Cascade Recycling Center</t>
  </si>
  <si>
    <t>Monthly Price per ton of Commodities Sold</t>
  </si>
  <si>
    <t>Passback Price/ton schedule</t>
  </si>
  <si>
    <t>Natural</t>
  </si>
  <si>
    <t>Colored</t>
  </si>
  <si>
    <t>Mixed</t>
  </si>
  <si>
    <t>ONP 6</t>
  </si>
  <si>
    <t>Mixed Paper</t>
  </si>
  <si>
    <t>OCC</t>
  </si>
  <si>
    <t>Alum.</t>
  </si>
  <si>
    <t>Tin</t>
  </si>
  <si>
    <t>Glass</t>
  </si>
  <si>
    <t>PET</t>
  </si>
  <si>
    <t>HDPE</t>
  </si>
  <si>
    <t>Plastics 3-7</t>
  </si>
  <si>
    <t xml:space="preserve">Tonnage Delivered and Processed </t>
  </si>
  <si>
    <t>Stream Composition-CRC</t>
  </si>
  <si>
    <t xml:space="preserve">% </t>
  </si>
  <si>
    <t xml:space="preserve">Total </t>
  </si>
  <si>
    <t>Excluding</t>
  </si>
  <si>
    <t>Tons</t>
  </si>
  <si>
    <t>Residue</t>
  </si>
  <si>
    <t>Newspaper</t>
  </si>
  <si>
    <t>Mix Paper</t>
  </si>
  <si>
    <t>Aluminum</t>
  </si>
  <si>
    <t>Tin Cans</t>
  </si>
  <si>
    <t>HDPE Natl</t>
  </si>
  <si>
    <t>HDPE Col</t>
  </si>
  <si>
    <t>#3 - 7</t>
  </si>
  <si>
    <t>Average Rate</t>
  </si>
  <si>
    <t>1 Yard</t>
  </si>
  <si>
    <t>Weight Per Yard</t>
  </si>
  <si>
    <t>Rebate per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</si>
</sst>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1"/>
      <color rgb="FFFF0000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/>
      <sz val="1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u val="singleAccounting"/>
      <sz val="9"/>
      <color rgb="FFFF0000"/>
      <name val="Arial"/>
      <family val="2"/>
    </font>
    <font>
      <u/>
      <sz val="10"/>
      <color theme="1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6">
    <xf numFmtId="0" fontId="0" fillId="0" borderId="0" xfId="0"/>
    <xf numFmtId="0" fontId="4" fillId="2" borderId="1" xfId="0" applyFont="1" applyFill="1" applyBorder="1"/>
    <xf numFmtId="0" fontId="5" fillId="2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7" fillId="2" borderId="4" xfId="0" applyFont="1" applyFill="1" applyBorder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6" fillId="2" borderId="5" xfId="0" applyFont="1" applyFill="1" applyBorder="1"/>
    <xf numFmtId="15" fontId="7" fillId="2" borderId="4" xfId="0" applyNumberFormat="1" applyFont="1" applyFill="1" applyBorder="1"/>
    <xf numFmtId="15" fontId="7" fillId="2" borderId="0" xfId="0" applyNumberFormat="1" applyFont="1" applyFill="1"/>
    <xf numFmtId="0" fontId="6" fillId="2" borderId="4" xfId="0" applyFont="1" applyFill="1" applyBorder="1"/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6" xfId="0" applyFont="1" applyFill="1" applyBorder="1"/>
    <xf numFmtId="0" fontId="6" fillId="2" borderId="0" xfId="0" applyFont="1" applyFill="1" applyAlignment="1">
      <alignment horizontal="center"/>
    </xf>
    <xf numFmtId="41" fontId="6" fillId="2" borderId="0" xfId="0" applyNumberFormat="1" applyFont="1" applyFill="1"/>
    <xf numFmtId="44" fontId="13" fillId="2" borderId="0" xfId="4" applyFont="1" applyFill="1" applyBorder="1"/>
    <xf numFmtId="0" fontId="5" fillId="2" borderId="4" xfId="0" applyFont="1" applyFill="1" applyBorder="1"/>
    <xf numFmtId="0" fontId="5" fillId="2" borderId="0" xfId="0" applyFont="1" applyFill="1"/>
    <xf numFmtId="41" fontId="14" fillId="2" borderId="0" xfId="0" applyNumberFormat="1" applyFont="1" applyFill="1"/>
    <xf numFmtId="44" fontId="5" fillId="2" borderId="5" xfId="4" applyFont="1" applyFill="1" applyBorder="1"/>
    <xf numFmtId="164" fontId="5" fillId="2" borderId="0" xfId="4" applyNumberFormat="1" applyFont="1" applyFill="1" applyBorder="1"/>
    <xf numFmtId="44" fontId="14" fillId="2" borderId="5" xfId="4" applyFont="1" applyFill="1" applyBorder="1"/>
    <xf numFmtId="44" fontId="7" fillId="2" borderId="7" xfId="4" applyFont="1" applyFill="1" applyBorder="1"/>
    <xf numFmtId="44" fontId="7" fillId="2" borderId="5" xfId="4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4" fillId="0" borderId="11" xfId="0" quotePrefix="1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10" fontId="0" fillId="0" borderId="0" xfId="1" applyNumberFormat="1" applyFont="1"/>
    <xf numFmtId="43" fontId="0" fillId="0" borderId="0" xfId="0" applyNumberFormat="1"/>
    <xf numFmtId="44" fontId="0" fillId="0" borderId="0" xfId="0" applyNumberFormat="1"/>
    <xf numFmtId="164" fontId="0" fillId="0" borderId="0" xfId="2" applyNumberFormat="1" applyFont="1"/>
    <xf numFmtId="43" fontId="0" fillId="0" borderId="0" xfId="1" applyFont="1" applyFill="1"/>
    <xf numFmtId="43" fontId="2" fillId="0" borderId="0" xfId="1" applyFont="1" applyFill="1"/>
    <xf numFmtId="10" fontId="19" fillId="0" borderId="0" xfId="1" applyNumberFormat="1" applyFont="1"/>
    <xf numFmtId="43" fontId="20" fillId="0" borderId="0" xfId="1" applyFont="1"/>
    <xf numFmtId="43" fontId="21" fillId="0" borderId="0" xfId="1" applyFont="1" applyFill="1"/>
    <xf numFmtId="10" fontId="22" fillId="0" borderId="0" xfId="1" applyNumberFormat="1" applyFont="1"/>
    <xf numFmtId="43" fontId="20" fillId="0" borderId="0" xfId="0" applyNumberFormat="1" applyFont="1"/>
    <xf numFmtId="44" fontId="22" fillId="0" borderId="0" xfId="0" applyNumberFormat="1" applyFont="1"/>
    <xf numFmtId="164" fontId="20" fillId="0" borderId="0" xfId="2" applyNumberFormat="1" applyFont="1"/>
    <xf numFmtId="164" fontId="0" fillId="0" borderId="0" xfId="0" applyNumberFormat="1"/>
    <xf numFmtId="43" fontId="23" fillId="0" borderId="0" xfId="1" applyFont="1"/>
    <xf numFmtId="10" fontId="23" fillId="0" borderId="0" xfId="3" applyNumberFormat="1" applyFont="1"/>
    <xf numFmtId="44" fontId="23" fillId="0" borderId="0" xfId="2" applyFont="1"/>
    <xf numFmtId="164" fontId="23" fillId="0" borderId="0" xfId="2" applyNumberFormat="1" applyFont="1"/>
    <xf numFmtId="0" fontId="24" fillId="0" borderId="0" xfId="0" applyFont="1"/>
    <xf numFmtId="165" fontId="0" fillId="0" borderId="0" xfId="3" applyNumberFormat="1" applyFont="1"/>
    <xf numFmtId="166" fontId="2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21" fillId="0" borderId="0" xfId="1" applyNumberFormat="1" applyFont="1" applyFill="1"/>
    <xf numFmtId="166" fontId="20" fillId="0" borderId="0" xfId="1" applyNumberFormat="1" applyFont="1"/>
    <xf numFmtId="165" fontId="20" fillId="0" borderId="0" xfId="3" applyNumberFormat="1" applyFont="1"/>
    <xf numFmtId="166" fontId="23" fillId="0" borderId="0" xfId="1" applyNumberFormat="1" applyFont="1"/>
    <xf numFmtId="165" fontId="23" fillId="0" borderId="0" xfId="3" applyNumberFormat="1" applyFont="1"/>
    <xf numFmtId="0" fontId="25" fillId="0" borderId="0" xfId="0" applyFont="1"/>
    <xf numFmtId="0" fontId="0" fillId="0" borderId="12" xfId="0" applyBorder="1"/>
    <xf numFmtId="0" fontId="26" fillId="0" borderId="12" xfId="0" applyFont="1" applyBorder="1"/>
    <xf numFmtId="0" fontId="26" fillId="3" borderId="12" xfId="0" applyFont="1" applyFill="1" applyBorder="1"/>
    <xf numFmtId="0" fontId="0" fillId="3" borderId="12" xfId="0" applyFill="1" applyBorder="1"/>
    <xf numFmtId="0" fontId="26" fillId="3" borderId="12" xfId="0" applyFont="1" applyFill="1" applyBorder="1" applyAlignment="1">
      <alignment horizontal="center"/>
    </xf>
    <xf numFmtId="17" fontId="26" fillId="0" borderId="12" xfId="0" applyNumberFormat="1" applyFont="1" applyBorder="1" applyAlignment="1">
      <alignment horizontal="right"/>
    </xf>
    <xf numFmtId="44" fontId="27" fillId="0" borderId="12" xfId="2" applyFont="1" applyBorder="1" applyProtection="1">
      <protection locked="0"/>
    </xf>
    <xf numFmtId="44" fontId="27" fillId="0" borderId="12" xfId="2" applyFont="1" applyFill="1" applyBorder="1" applyProtection="1">
      <protection locked="0"/>
    </xf>
    <xf numFmtId="44" fontId="27" fillId="0" borderId="12" xfId="4" applyFont="1" applyFill="1" applyBorder="1" applyProtection="1">
      <protection locked="0"/>
    </xf>
    <xf numFmtId="0" fontId="28" fillId="0" borderId="0" xfId="0" applyFont="1"/>
    <xf numFmtId="44" fontId="29" fillId="0" borderId="0" xfId="0" applyNumberFormat="1" applyFont="1"/>
    <xf numFmtId="0" fontId="26" fillId="0" borderId="0" xfId="0" applyFont="1"/>
    <xf numFmtId="0" fontId="0" fillId="0" borderId="16" xfId="0" applyBorder="1"/>
    <xf numFmtId="0" fontId="0" fillId="0" borderId="17" xfId="0" applyBorder="1"/>
    <xf numFmtId="17" fontId="30" fillId="0" borderId="18" xfId="0" applyNumberFormat="1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30" fillId="0" borderId="21" xfId="0" applyFont="1" applyBorder="1" applyAlignment="1">
      <alignment horizontal="right"/>
    </xf>
    <xf numFmtId="0" fontId="0" fillId="0" borderId="22" xfId="0" applyBorder="1"/>
    <xf numFmtId="0" fontId="31" fillId="0" borderId="20" xfId="0" applyFont="1" applyBorder="1"/>
    <xf numFmtId="43" fontId="32" fillId="0" borderId="0" xfId="1" applyFont="1" applyBorder="1" applyAlignment="1" applyProtection="1">
      <alignment horizontal="right"/>
      <protection locked="0"/>
    </xf>
    <xf numFmtId="165" fontId="0" fillId="0" borderId="22" xfId="3" applyNumberFormat="1" applyFont="1" applyBorder="1"/>
    <xf numFmtId="43" fontId="32" fillId="0" borderId="0" xfId="1" applyFont="1" applyFill="1" applyBorder="1" applyAlignment="1" applyProtection="1">
      <alignment horizontal="right"/>
      <protection locked="0"/>
    </xf>
    <xf numFmtId="165" fontId="31" fillId="0" borderId="22" xfId="3" applyNumberFormat="1" applyFont="1" applyBorder="1"/>
    <xf numFmtId="43" fontId="12" fillId="0" borderId="21" xfId="6" applyFont="1" applyBorder="1" applyAlignment="1">
      <alignment horizontal="right"/>
    </xf>
    <xf numFmtId="165" fontId="12" fillId="0" borderId="22" xfId="7" applyNumberFormat="1" applyFont="1" applyBorder="1" applyAlignment="1">
      <alignment horizontal="right"/>
    </xf>
    <xf numFmtId="0" fontId="31" fillId="0" borderId="0" xfId="0" applyFont="1"/>
    <xf numFmtId="165" fontId="31" fillId="0" borderId="0" xfId="3" applyNumberFormat="1" applyFont="1"/>
    <xf numFmtId="43" fontId="32" fillId="0" borderId="0" xfId="1" applyFont="1" applyBorder="1" applyProtection="1">
      <protection locked="0"/>
    </xf>
    <xf numFmtId="43" fontId="33" fillId="0" borderId="0" xfId="1" applyFont="1" applyBorder="1" applyAlignment="1" applyProtection="1">
      <alignment horizontal="right"/>
      <protection locked="0"/>
    </xf>
    <xf numFmtId="165" fontId="20" fillId="0" borderId="22" xfId="3" applyNumberFormat="1" applyFont="1" applyBorder="1"/>
    <xf numFmtId="43" fontId="33" fillId="0" borderId="0" xfId="1" applyFont="1" applyFill="1" applyBorder="1" applyAlignment="1" applyProtection="1">
      <alignment horizontal="right"/>
      <protection locked="0"/>
    </xf>
    <xf numFmtId="43" fontId="33" fillId="0" borderId="0" xfId="1" applyFont="1" applyBorder="1" applyProtection="1">
      <protection locked="0"/>
    </xf>
    <xf numFmtId="165" fontId="34" fillId="0" borderId="0" xfId="3" applyNumberFormat="1" applyFont="1" applyBorder="1"/>
    <xf numFmtId="165" fontId="34" fillId="0" borderId="22" xfId="3" applyNumberFormat="1" applyFont="1" applyBorder="1"/>
    <xf numFmtId="43" fontId="35" fillId="0" borderId="21" xfId="6" applyFont="1" applyBorder="1" applyAlignment="1">
      <alignment horizontal="right"/>
    </xf>
    <xf numFmtId="165" fontId="36" fillId="0" borderId="22" xfId="7" applyNumberFormat="1" applyFont="1" applyBorder="1" applyAlignment="1">
      <alignment horizontal="right"/>
    </xf>
    <xf numFmtId="0" fontId="26" fillId="0" borderId="23" xfId="0" applyFont="1" applyBorder="1"/>
    <xf numFmtId="43" fontId="26" fillId="0" borderId="24" xfId="1" applyFont="1" applyBorder="1"/>
    <xf numFmtId="165" fontId="26" fillId="0" borderId="25" xfId="0" applyNumberFormat="1" applyFont="1" applyBorder="1"/>
    <xf numFmtId="43" fontId="37" fillId="0" borderId="24" xfId="1" applyFont="1" applyBorder="1" applyProtection="1">
      <protection locked="0"/>
    </xf>
    <xf numFmtId="9" fontId="26" fillId="0" borderId="25" xfId="0" applyNumberFormat="1" applyFont="1" applyBorder="1"/>
    <xf numFmtId="43" fontId="26" fillId="0" borderId="24" xfId="6" applyFont="1" applyBorder="1"/>
    <xf numFmtId="165" fontId="38" fillId="0" borderId="0" xfId="0" applyNumberFormat="1" applyFont="1"/>
    <xf numFmtId="44" fontId="0" fillId="0" borderId="0" xfId="2" applyFont="1"/>
    <xf numFmtId="0" fontId="31" fillId="0" borderId="0" xfId="0" applyFont="1" applyFill="1" applyBorder="1"/>
    <xf numFmtId="44" fontId="0" fillId="0" borderId="0" xfId="2" applyFont="1" applyFill="1" applyBorder="1"/>
    <xf numFmtId="43" fontId="0" fillId="0" borderId="0" xfId="0" applyNumberFormat="1" applyFont="1"/>
    <xf numFmtId="44" fontId="1" fillId="0" borderId="0" xfId="2" applyNumberFormat="1" applyFont="1"/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43" fontId="0" fillId="0" borderId="0" xfId="1" applyFont="1" applyAlignment="1">
      <alignment horizontal="right"/>
    </xf>
  </cellXfs>
  <cellStyles count="8">
    <cellStyle name="Comma" xfId="1" builtinId="3"/>
    <cellStyle name="Comma 2" xfId="6" xr:uid="{D65EE259-EDA6-4550-A6A1-8FAA346D02A7}"/>
    <cellStyle name="Currency" xfId="2" builtinId="4"/>
    <cellStyle name="Currency 2" xfId="4" xr:uid="{F7181390-2B3C-4ACA-93F9-3BBBE201C6A7}"/>
    <cellStyle name="Normal" xfId="0" builtinId="0"/>
    <cellStyle name="Normal 10 2 2" xfId="5" xr:uid="{EBEF5B1C-08A4-4D6C-BD31-5E69FCA64A0E}"/>
    <cellStyle name="Percent" xfId="3" builtinId="5"/>
    <cellStyle name="Percent 2" xfId="7" xr:uid="{FD010692-7C95-4959-9FF5-3D50B08CC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mgmt-my.sharepoint.com/personal/eburmest_wm_com/Documents/Documents/Ellensburg%20UTC%20Recycling%20Rate%20(C).xlsx" TargetMode="External"/><Relationship Id="rId1" Type="http://schemas.openxmlformats.org/officeDocument/2006/relationships/externalLinkPath" Target="https://wmgmt-my.sharepoint.com/personal/eburmest_wm_com/Documents/Documents/Ellensburg%20UTC%20Recycling%20Rate%20(C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0-2023\2023%20CRC%20Passback_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Evan%20Burmester/WUTC/Commodity%20Rebate%20Filings/2024/Wenatchee/Customer%20Counts/WEN%20CC%20November%2023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Evan%20Burmester/WUTC/Commodity%20Rebate%20Filings/2024/Wenatchee/Customer%20Counts/WEN%20CC%20December%2023.csv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kagit\2024%20Commodity%20Rebate%20Accounting%20Workpapers.xlsx" TargetMode="External"/><Relationship Id="rId1" Type="http://schemas.openxmlformats.org/officeDocument/2006/relationships/externalLinkPath" Target="/PUBLIC/Evan%20Burmester/WUTC/Commodity%20Rebate%20Filings/2024/Skagit/2024%20Commodity%20Rebate%20Accounting%20Workpape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2-2023\2023%20CRC%20Passback_Dec%20-%20update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rmest\AppData\Local\Microsoft\Windows\INetCache\Content.Outlook\UGAOJRTF\2024%20CRC%20Passback_Jan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3%20CRC%20Passback_2.2024%20v2%20Accounting.xlsx" TargetMode="External"/><Relationship Id="rId1" Type="http://schemas.openxmlformats.org/officeDocument/2006/relationships/externalLinkPath" Target="file:///C:\Users\eburmest\AppData\Local\Microsoft\Windows\INetCache\Content.Outlook\IC4FR9HZ\2023%20CRC%20Passback_2.2024%20v2%20Accounting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3.2024.xlsx" TargetMode="External"/><Relationship Id="rId1" Type="http://schemas.openxmlformats.org/officeDocument/2006/relationships/externalLinkPath" Target="file:///C:\Users\eburmest\Downloads\2023%20CRC%20Passback_3.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4.2024.xlsx" TargetMode="External"/><Relationship Id="rId1" Type="http://schemas.openxmlformats.org/officeDocument/2006/relationships/externalLinkPath" Target="file:///C:\Users\eburmest\Downloads\2023%20CRC%20Passback_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te Calculation"/>
      <sheetName val="Customer Summary"/>
      <sheetName val="Customer Detail"/>
      <sheetName val="MSW Route Stats"/>
      <sheetName val="Lurito Gallagher"/>
      <sheetName val="RS MSW"/>
      <sheetName val="Depreciation Summary"/>
      <sheetName val="Fixed Asset Listing"/>
      <sheetName val="MRF ROR Analysis"/>
      <sheetName val="CRC IS"/>
    </sheetNames>
    <sheetDataSet>
      <sheetData sheetId="0"/>
      <sheetData sheetId="1"/>
      <sheetData sheetId="2"/>
      <sheetData sheetId="3">
        <row r="14">
          <cell r="C14">
            <v>20.14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Fastlane RETI Inbound"/>
      <sheetName val="Prices"/>
      <sheetName val="Journal Entry"/>
      <sheetName val="SMART Info"/>
      <sheetName val="JMK Inbound"/>
      <sheetName val="WM of Marysville"/>
      <sheetName val="WM of Eastmont"/>
      <sheetName val="WM of Skagit"/>
    </sheetNames>
    <sheetDataSet>
      <sheetData sheetId="0"/>
      <sheetData sheetId="1">
        <row r="15">
          <cell r="T15">
            <v>63.322207131465511</v>
          </cell>
        </row>
        <row r="16">
          <cell r="T16">
            <v>17.143595334632554</v>
          </cell>
        </row>
        <row r="17">
          <cell r="T17">
            <v>0.27171460894065852</v>
          </cell>
        </row>
        <row r="18">
          <cell r="T18">
            <v>0</v>
          </cell>
        </row>
        <row r="20">
          <cell r="T20">
            <v>1257.2915407321723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N CC November 23"/>
    </sheetNames>
    <sheetDataSet>
      <sheetData sheetId="0">
        <row r="3">
          <cell r="D3">
            <v>3914</v>
          </cell>
          <cell r="I3">
            <v>21186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N CC December 23"/>
    </sheetNames>
    <sheetDataSet>
      <sheetData sheetId="0">
        <row r="3">
          <cell r="D3">
            <v>3918</v>
          </cell>
          <cell r="J3">
            <v>21235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bate Analysis"/>
      <sheetName val="Commodity Revenue"/>
      <sheetName val="Tonnages Collected"/>
      <sheetName val="CRC Prices"/>
      <sheetName val="CRC Composition"/>
      <sheetName val="Customers"/>
    </sheetNames>
    <sheetDataSet>
      <sheetData sheetId="0" refreshError="1"/>
      <sheetData sheetId="1">
        <row r="20">
          <cell r="AA20">
            <v>28.078553697755954</v>
          </cell>
          <cell r="AB20">
            <v>50.07002628060097</v>
          </cell>
          <cell r="AC20">
            <v>129.00266096510651</v>
          </cell>
          <cell r="AD20">
            <v>1240.3107223300706</v>
          </cell>
          <cell r="AE20">
            <v>193.17427356336626</v>
          </cell>
          <cell r="AF20">
            <v>-35.489653400134877</v>
          </cell>
          <cell r="AG20">
            <v>120.2941311462241</v>
          </cell>
          <cell r="AH20">
            <v>659.97138092865555</v>
          </cell>
          <cell r="AI20">
            <v>183.76517314507802</v>
          </cell>
          <cell r="AJ20">
            <v>-148.53775845325015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Fastlane RETI Inbound"/>
      <sheetName val="Prices"/>
      <sheetName val="Journal Entry"/>
      <sheetName val="SMART Info"/>
      <sheetName val="WM of Marysville"/>
      <sheetName val="WM of Eastmont"/>
      <sheetName val="WM of Skagit"/>
    </sheetNames>
    <sheetDataSet>
      <sheetData sheetId="0" refreshError="1"/>
      <sheetData sheetId="1">
        <row r="6">
          <cell r="T6">
            <v>0</v>
          </cell>
          <cell r="V6">
            <v>0</v>
          </cell>
          <cell r="X6">
            <v>0</v>
          </cell>
        </row>
        <row r="7">
          <cell r="V7">
            <v>1803.2334966220142</v>
          </cell>
          <cell r="X7">
            <v>1997.5333716396417</v>
          </cell>
        </row>
        <row r="8">
          <cell r="V8">
            <v>1872.3141222985232</v>
          </cell>
          <cell r="X8">
            <v>2488.4380760602344</v>
          </cell>
        </row>
        <row r="9">
          <cell r="V9">
            <v>58.768153470290088</v>
          </cell>
          <cell r="X9">
            <v>101.66489955057499</v>
          </cell>
        </row>
        <row r="10">
          <cell r="V10">
            <v>1832.6070095369178</v>
          </cell>
          <cell r="X10">
            <v>2529.6700381910337</v>
          </cell>
        </row>
        <row r="11">
          <cell r="V11">
            <v>160.89571153383318</v>
          </cell>
          <cell r="X11">
            <v>115.67688981431989</v>
          </cell>
        </row>
        <row r="12">
          <cell r="V12">
            <v>4.8262753227492681</v>
          </cell>
          <cell r="X12">
            <v>57.748796671371991</v>
          </cell>
        </row>
        <row r="13">
          <cell r="V13">
            <v>27.981778750235076</v>
          </cell>
          <cell r="X13">
            <v>12.10712844060062</v>
          </cell>
        </row>
        <row r="14">
          <cell r="V14">
            <v>22.458835197864342</v>
          </cell>
          <cell r="X14">
            <v>37.646774226293665</v>
          </cell>
        </row>
        <row r="15">
          <cell r="V15">
            <v>47.025607052424512</v>
          </cell>
          <cell r="X15">
            <v>63.058098410562295</v>
          </cell>
        </row>
        <row r="16">
          <cell r="V16">
            <v>16.919945381623201</v>
          </cell>
          <cell r="X16">
            <v>21.880765067864665</v>
          </cell>
        </row>
        <row r="17">
          <cell r="V17">
            <v>0.2285084276254673</v>
          </cell>
          <cell r="X17">
            <v>0.33788910239881198</v>
          </cell>
        </row>
        <row r="18">
          <cell r="V18">
            <v>0</v>
          </cell>
          <cell r="X18">
            <v>27.961377695934715</v>
          </cell>
        </row>
        <row r="19">
          <cell r="V19">
            <v>104.63028155714703</v>
          </cell>
          <cell r="X19">
            <v>36.643509553036083</v>
          </cell>
        </row>
        <row r="20">
          <cell r="V20">
            <v>1013.0602748487527</v>
          </cell>
          <cell r="X20">
            <v>1298.7523855761324</v>
          </cell>
        </row>
      </sheetData>
      <sheetData sheetId="2" refreshError="1"/>
      <sheetData sheetId="3">
        <row r="13">
          <cell r="B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Fastlane RETI Inbound"/>
      <sheetName val="Composition"/>
      <sheetName val="Prices"/>
      <sheetName val="Journal Entry"/>
      <sheetName val="SMART Info"/>
      <sheetName val="WM of Marysville"/>
      <sheetName val="WM of Eastmont"/>
      <sheetName val="WM of Skagit"/>
    </sheetNames>
    <sheetDataSet>
      <sheetData sheetId="0" refreshError="1"/>
      <sheetData sheetId="1" refreshError="1"/>
      <sheetData sheetId="2">
        <row r="6">
          <cell r="B6">
            <v>127.65897038718192</v>
          </cell>
        </row>
        <row r="7">
          <cell r="B7">
            <v>2270.9588914147898</v>
          </cell>
        </row>
        <row r="8">
          <cell r="B8">
            <v>1989.3248116547325</v>
          </cell>
        </row>
        <row r="9">
          <cell r="B9">
            <v>102.23430282561857</v>
          </cell>
        </row>
        <row r="10">
          <cell r="B10">
            <v>1659.6676762938514</v>
          </cell>
        </row>
        <row r="11">
          <cell r="B11">
            <v>211.95506106717576</v>
          </cell>
        </row>
        <row r="12">
          <cell r="B12">
            <v>31.038443685051622</v>
          </cell>
        </row>
        <row r="13">
          <cell r="B13">
            <v>22.788483339938335</v>
          </cell>
        </row>
        <row r="14">
          <cell r="B14">
            <v>11.84212449212272</v>
          </cell>
        </row>
        <row r="15">
          <cell r="B15">
            <v>18.108390013487231</v>
          </cell>
        </row>
        <row r="16">
          <cell r="B16">
            <v>0</v>
          </cell>
        </row>
        <row r="17">
          <cell r="B17">
            <v>0.25243969530087379</v>
          </cell>
        </row>
        <row r="18">
          <cell r="B18">
            <v>0</v>
          </cell>
        </row>
        <row r="19">
          <cell r="B19">
            <v>21.690537112495125</v>
          </cell>
        </row>
        <row r="20">
          <cell r="B20">
            <v>838.0698680182544</v>
          </cell>
        </row>
      </sheetData>
      <sheetData sheetId="3">
        <row r="4">
          <cell r="B4">
            <v>104.39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2.2024"/>
      <sheetName val="OPUS PIVOT - Eastern WA"/>
    </sheetNames>
    <sheetDataSet>
      <sheetData sheetId="0"/>
      <sheetData sheetId="1">
        <row r="6">
          <cell r="D6">
            <v>296.33</v>
          </cell>
        </row>
        <row r="7">
          <cell r="D7">
            <v>3340.49</v>
          </cell>
        </row>
        <row r="8">
          <cell r="D8">
            <v>1999.8300000000002</v>
          </cell>
        </row>
        <row r="9">
          <cell r="D9">
            <v>163.2235</v>
          </cell>
        </row>
        <row r="10">
          <cell r="D10">
            <v>2306.9699999999998</v>
          </cell>
        </row>
        <row r="11">
          <cell r="D11">
            <v>314.61</v>
          </cell>
        </row>
        <row r="12">
          <cell r="D12">
            <v>54.39</v>
          </cell>
        </row>
        <row r="13">
          <cell r="D13">
            <v>68.62</v>
          </cell>
        </row>
        <row r="15">
          <cell r="D15">
            <v>22.912499999999994</v>
          </cell>
        </row>
        <row r="16">
          <cell r="D16">
            <v>30.439999999999998</v>
          </cell>
        </row>
        <row r="19">
          <cell r="D19">
            <v>158.19000000000003</v>
          </cell>
        </row>
        <row r="20">
          <cell r="D20">
            <v>1131.1199999999999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3.2024"/>
      <sheetName val="OPUS PIVOT - Eastern WA"/>
    </sheetNames>
    <sheetDataSet>
      <sheetData sheetId="0"/>
      <sheetData sheetId="1">
        <row r="6">
          <cell r="D6">
            <v>296.33</v>
          </cell>
          <cell r="F6">
            <v>819.9</v>
          </cell>
        </row>
        <row r="7">
          <cell r="F7">
            <v>2319.38</v>
          </cell>
        </row>
        <row r="8">
          <cell r="F8">
            <v>2050.4450000000002</v>
          </cell>
        </row>
        <row r="9">
          <cell r="F9">
            <v>164.964</v>
          </cell>
        </row>
        <row r="10">
          <cell r="F10">
            <v>1481.9550000000002</v>
          </cell>
        </row>
        <row r="11">
          <cell r="F11">
            <v>337.18500000000006</v>
          </cell>
        </row>
        <row r="12">
          <cell r="F12">
            <v>48.17</v>
          </cell>
        </row>
        <row r="13">
          <cell r="F13">
            <v>79.28</v>
          </cell>
        </row>
        <row r="14">
          <cell r="F14"/>
        </row>
        <row r="15">
          <cell r="F15">
            <v>68.867500000000007</v>
          </cell>
        </row>
        <row r="16">
          <cell r="F16">
            <v>22.729999999999997</v>
          </cell>
        </row>
        <row r="19">
          <cell r="F19">
            <v>139.94</v>
          </cell>
        </row>
        <row r="20">
          <cell r="F20">
            <v>1717.6399999999999</v>
          </cell>
        </row>
      </sheetData>
      <sheetData sheetId="2"/>
      <sheetData sheetId="3">
        <row r="5">
          <cell r="B5">
            <v>93.21</v>
          </cell>
        </row>
      </sheetData>
      <sheetData sheetId="4"/>
      <sheetData sheetId="5"/>
      <sheetData sheetId="6"/>
      <sheetData sheetId="7">
        <row r="9">
          <cell r="D9">
            <v>953.27999999999975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4.2024"/>
      <sheetName val="OPUS PIVOT - Eastern WA"/>
    </sheetNames>
    <sheetDataSet>
      <sheetData sheetId="0" refreshError="1"/>
      <sheetData sheetId="1">
        <row r="6">
          <cell r="H6">
            <v>1714.72</v>
          </cell>
        </row>
        <row r="7">
          <cell r="H7">
            <v>1560.01</v>
          </cell>
        </row>
        <row r="8">
          <cell r="H8">
            <v>2346.75</v>
          </cell>
        </row>
        <row r="9">
          <cell r="H9">
            <v>192.3</v>
          </cell>
        </row>
        <row r="10">
          <cell r="H10">
            <v>1601.49</v>
          </cell>
        </row>
        <row r="11">
          <cell r="H11">
            <v>343.04</v>
          </cell>
        </row>
        <row r="12">
          <cell r="H12">
            <v>50.92</v>
          </cell>
        </row>
        <row r="13">
          <cell r="H13">
            <v>85.07</v>
          </cell>
        </row>
        <row r="14">
          <cell r="H14"/>
        </row>
        <row r="15">
          <cell r="H15">
            <v>61.29</v>
          </cell>
        </row>
        <row r="16">
          <cell r="H16">
            <v>31.7</v>
          </cell>
        </row>
        <row r="18">
          <cell r="H18">
            <v>99.48</v>
          </cell>
        </row>
        <row r="19">
          <cell r="H19">
            <v>193.47</v>
          </cell>
        </row>
        <row r="20">
          <cell r="H20">
            <v>1852.1</v>
          </cell>
        </row>
      </sheetData>
      <sheetData sheetId="2" refreshError="1"/>
      <sheetData sheetId="3">
        <row r="5">
          <cell r="B5">
            <v>93.21</v>
          </cell>
        </row>
      </sheetData>
      <sheetData sheetId="4" refreshError="1"/>
      <sheetData sheetId="5" refreshError="1"/>
      <sheetData sheetId="6" refreshError="1"/>
      <sheetData sheetId="7">
        <row r="7">
          <cell r="D7">
            <v>1001.8699999999997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DA5E-3DD4-4EC0-94B8-1ADFC989EE44}">
  <dimension ref="A1:F58"/>
  <sheetViews>
    <sheetView topLeftCell="A19" workbookViewId="0">
      <selection activeCell="E52" sqref="E52"/>
    </sheetView>
  </sheetViews>
  <sheetFormatPr defaultRowHeight="14.5" x14ac:dyDescent="0.35"/>
  <cols>
    <col min="1" max="1" width="54.54296875" bestFit="1" customWidth="1"/>
    <col min="3" max="3" width="12.26953125" bestFit="1" customWidth="1"/>
    <col min="4" max="4" width="13.08984375" bestFit="1" customWidth="1"/>
    <col min="5" max="5" width="11.7265625" bestFit="1" customWidth="1"/>
    <col min="6" max="6" width="8.26953125" bestFit="1" customWidth="1"/>
  </cols>
  <sheetData>
    <row r="1" spans="1:6" ht="23" x14ac:dyDescent="0.5">
      <c r="A1" s="1" t="s">
        <v>12</v>
      </c>
      <c r="B1" s="2"/>
      <c r="C1" s="3"/>
      <c r="D1" s="3"/>
      <c r="E1" s="3"/>
      <c r="F1" s="4"/>
    </row>
    <row r="2" spans="1:6" ht="15.5" x14ac:dyDescent="0.35">
      <c r="A2" s="5" t="s">
        <v>13</v>
      </c>
      <c r="B2" s="6"/>
      <c r="C2" s="7"/>
      <c r="D2" s="8"/>
      <c r="E2" s="8"/>
      <c r="F2" s="9"/>
    </row>
    <row r="3" spans="1:6" ht="15.5" x14ac:dyDescent="0.35">
      <c r="A3" s="10"/>
      <c r="B3" s="11"/>
      <c r="C3" s="8"/>
      <c r="D3" s="8"/>
      <c r="E3" s="8"/>
      <c r="F3" s="9"/>
    </row>
    <row r="4" spans="1:6" ht="15.5" x14ac:dyDescent="0.35">
      <c r="A4" s="12"/>
      <c r="B4" s="8"/>
      <c r="C4" s="8"/>
      <c r="D4" s="8"/>
      <c r="E4" s="8"/>
      <c r="F4" s="9"/>
    </row>
    <row r="5" spans="1:6" ht="15.5" x14ac:dyDescent="0.35">
      <c r="A5" s="118" t="s">
        <v>0</v>
      </c>
      <c r="B5" s="119"/>
      <c r="C5" s="119"/>
      <c r="D5" s="119"/>
      <c r="E5" s="119"/>
      <c r="F5" s="120"/>
    </row>
    <row r="6" spans="1:6" ht="15.5" x14ac:dyDescent="0.35">
      <c r="A6" s="12"/>
      <c r="B6" s="8"/>
      <c r="C6" s="8"/>
      <c r="D6" s="13"/>
      <c r="E6" s="8"/>
      <c r="F6" s="9"/>
    </row>
    <row r="7" spans="1:6" ht="15.5" x14ac:dyDescent="0.35">
      <c r="A7" s="12"/>
      <c r="B7" s="8"/>
      <c r="C7" s="14"/>
      <c r="D7" s="14" t="s">
        <v>1</v>
      </c>
      <c r="E7" s="14" t="s">
        <v>2</v>
      </c>
      <c r="F7" s="9"/>
    </row>
    <row r="8" spans="1:6" ht="15.5" x14ac:dyDescent="0.35">
      <c r="A8" s="12"/>
      <c r="B8" s="8"/>
      <c r="C8" s="15" t="s">
        <v>3</v>
      </c>
      <c r="D8" s="15" t="s">
        <v>4</v>
      </c>
      <c r="E8" s="15" t="s">
        <v>5</v>
      </c>
      <c r="F8" s="9"/>
    </row>
    <row r="9" spans="1:6" ht="15.5" x14ac:dyDescent="0.35">
      <c r="A9" s="16" t="s">
        <v>14</v>
      </c>
      <c r="B9" s="6"/>
      <c r="C9" s="17"/>
      <c r="D9" s="17"/>
      <c r="E9" s="17"/>
      <c r="F9" s="9"/>
    </row>
    <row r="10" spans="1:6" ht="15.5" x14ac:dyDescent="0.35">
      <c r="A10" s="12"/>
      <c r="B10" s="8"/>
      <c r="C10" s="18"/>
      <c r="D10" s="19">
        <f>+J11</f>
        <v>0</v>
      </c>
      <c r="E10" s="18">
        <f>C10*D10</f>
        <v>0</v>
      </c>
      <c r="F10" s="9"/>
    </row>
    <row r="11" spans="1:6" ht="18.5" x14ac:dyDescent="0.65">
      <c r="A11" s="20"/>
      <c r="B11" s="21"/>
      <c r="C11" s="22"/>
      <c r="D11" s="19">
        <f>+L25</f>
        <v>0</v>
      </c>
      <c r="E11" s="22">
        <f>C11*D11</f>
        <v>0</v>
      </c>
      <c r="F11" s="9"/>
    </row>
    <row r="12" spans="1:6" ht="15.5" x14ac:dyDescent="0.35">
      <c r="A12" s="12" t="s">
        <v>2</v>
      </c>
      <c r="B12" s="8"/>
      <c r="C12" s="18">
        <f>SUM(C10:C11)</f>
        <v>0</v>
      </c>
      <c r="D12" s="8"/>
      <c r="E12" s="18">
        <f>SUM(E10:E11)</f>
        <v>0</v>
      </c>
      <c r="F12" s="9"/>
    </row>
    <row r="13" spans="1:6" ht="15.5" x14ac:dyDescent="0.35">
      <c r="A13" s="12"/>
      <c r="B13" s="8"/>
      <c r="C13" s="8"/>
      <c r="D13" s="8"/>
      <c r="E13" s="8"/>
      <c r="F13" s="9"/>
    </row>
    <row r="14" spans="1:6" ht="15.5" x14ac:dyDescent="0.35">
      <c r="A14" s="5" t="s">
        <v>6</v>
      </c>
      <c r="B14" s="8"/>
      <c r="C14" s="8"/>
      <c r="D14" s="8"/>
      <c r="E14" s="18"/>
      <c r="F14" s="9"/>
    </row>
    <row r="15" spans="1:6" ht="15.5" x14ac:dyDescent="0.35">
      <c r="A15" s="12"/>
      <c r="B15" s="8"/>
      <c r="C15" s="8"/>
      <c r="D15" s="8"/>
      <c r="E15" s="8"/>
      <c r="F15" s="9"/>
    </row>
    <row r="16" spans="1:6" ht="15.5" x14ac:dyDescent="0.35">
      <c r="A16" s="12" t="s">
        <v>7</v>
      </c>
      <c r="B16" s="8"/>
      <c r="C16" s="8"/>
      <c r="D16" s="8"/>
      <c r="E16" s="18">
        <f>E14-E12</f>
        <v>0</v>
      </c>
      <c r="F16" s="9"/>
    </row>
    <row r="17" spans="1:6" ht="15.5" x14ac:dyDescent="0.35">
      <c r="A17" s="12"/>
      <c r="B17" s="8"/>
      <c r="C17" s="8"/>
      <c r="D17" s="8"/>
      <c r="E17" s="8"/>
      <c r="F17" s="9"/>
    </row>
    <row r="18" spans="1:6" ht="15.5" x14ac:dyDescent="0.35">
      <c r="A18" s="12" t="s">
        <v>8</v>
      </c>
      <c r="B18" s="8"/>
      <c r="C18" s="8"/>
      <c r="D18" s="8"/>
      <c r="E18" s="18">
        <f>+C12</f>
        <v>0</v>
      </c>
      <c r="F18" s="9"/>
    </row>
    <row r="19" spans="1:6" ht="15.5" x14ac:dyDescent="0.35">
      <c r="A19" s="12"/>
      <c r="B19" s="8"/>
      <c r="C19" s="8"/>
      <c r="D19" s="8"/>
      <c r="E19" s="8"/>
      <c r="F19" s="9"/>
    </row>
    <row r="20" spans="1:6" ht="15.5" x14ac:dyDescent="0.35">
      <c r="A20" s="12" t="s">
        <v>15</v>
      </c>
      <c r="B20" s="8"/>
      <c r="C20" s="8"/>
      <c r="D20" s="8"/>
      <c r="E20" s="8"/>
      <c r="F20" s="23"/>
    </row>
    <row r="21" spans="1:6" ht="15.5" x14ac:dyDescent="0.35">
      <c r="A21" s="12"/>
      <c r="B21" s="8"/>
      <c r="C21" s="8"/>
      <c r="D21" s="8"/>
      <c r="E21" s="8"/>
      <c r="F21" s="23"/>
    </row>
    <row r="22" spans="1:6" ht="15.5" x14ac:dyDescent="0.35">
      <c r="A22" s="12"/>
      <c r="B22" s="8"/>
      <c r="C22" s="8"/>
      <c r="D22" s="8"/>
      <c r="E22" s="8"/>
      <c r="F22" s="23"/>
    </row>
    <row r="23" spans="1:6" ht="15.5" x14ac:dyDescent="0.35">
      <c r="A23" s="16" t="str">
        <f>+A9</f>
        <v>Projected Revenue Oct. 2024- Sept. 2025</v>
      </c>
      <c r="B23" s="6"/>
      <c r="C23" s="8"/>
      <c r="D23" s="8"/>
      <c r="E23" s="24">
        <f>'Recycling Revenue'!J20</f>
        <v>107979.76608241463</v>
      </c>
      <c r="F23" s="23"/>
    </row>
    <row r="24" spans="1:6" ht="15.5" x14ac:dyDescent="0.35">
      <c r="A24" s="12" t="s">
        <v>9</v>
      </c>
      <c r="B24" s="8"/>
      <c r="C24" s="8"/>
      <c r="D24" s="8"/>
      <c r="E24" s="18">
        <f>4788*12</f>
        <v>57456</v>
      </c>
      <c r="F24" s="23"/>
    </row>
    <row r="25" spans="1:6" ht="18.5" x14ac:dyDescent="0.65">
      <c r="A25" s="12" t="s">
        <v>10</v>
      </c>
      <c r="B25" s="8"/>
      <c r="C25" s="8"/>
      <c r="D25" s="8"/>
      <c r="E25" s="8"/>
      <c r="F25" s="25">
        <f>ROUND(+E23/E24,2)</f>
        <v>1.88</v>
      </c>
    </row>
    <row r="26" spans="1:6" ht="15.5" x14ac:dyDescent="0.35">
      <c r="A26" s="12"/>
      <c r="B26" s="8"/>
      <c r="C26" s="8"/>
      <c r="D26" s="8"/>
      <c r="E26" s="8"/>
      <c r="F26" s="23"/>
    </row>
    <row r="27" spans="1:6" ht="16" thickBot="1" x14ac:dyDescent="0.4">
      <c r="A27" s="5" t="s">
        <v>11</v>
      </c>
      <c r="B27" s="6"/>
      <c r="C27" s="8"/>
      <c r="D27" s="8"/>
      <c r="E27" s="8"/>
      <c r="F27" s="26">
        <f>SUM(F20:F25)</f>
        <v>1.88</v>
      </c>
    </row>
    <row r="28" spans="1:6" ht="16" thickTop="1" x14ac:dyDescent="0.35">
      <c r="A28" s="5"/>
      <c r="B28" s="6"/>
      <c r="C28" s="8"/>
      <c r="D28" s="8"/>
      <c r="E28" s="8"/>
      <c r="F28" s="27"/>
    </row>
    <row r="29" spans="1:6" ht="15" thickBot="1" x14ac:dyDescent="0.4">
      <c r="A29" s="28"/>
      <c r="B29" s="29"/>
      <c r="C29" s="29"/>
      <c r="D29" s="29"/>
      <c r="E29" s="29"/>
      <c r="F29" s="30"/>
    </row>
    <row r="30" spans="1:6" ht="23" x14ac:dyDescent="0.5">
      <c r="A30" s="1" t="s">
        <v>12</v>
      </c>
      <c r="B30" s="2"/>
      <c r="C30" s="3"/>
      <c r="D30" s="3"/>
      <c r="E30" s="3"/>
      <c r="F30" s="4"/>
    </row>
    <row r="31" spans="1:6" ht="15.5" x14ac:dyDescent="0.35">
      <c r="A31" s="5" t="s">
        <v>13</v>
      </c>
      <c r="B31" s="6"/>
      <c r="C31" s="7"/>
      <c r="D31" s="8"/>
      <c r="E31" s="8"/>
      <c r="F31" s="9"/>
    </row>
    <row r="32" spans="1:6" ht="15.5" x14ac:dyDescent="0.35">
      <c r="A32" s="10"/>
      <c r="B32" s="11"/>
      <c r="C32" s="8"/>
      <c r="D32" s="8"/>
      <c r="E32" s="8"/>
      <c r="F32" s="9"/>
    </row>
    <row r="33" spans="1:6" ht="15.5" x14ac:dyDescent="0.35">
      <c r="A33" s="12"/>
      <c r="B33" s="8"/>
      <c r="C33" s="8"/>
      <c r="D33" s="8"/>
      <c r="E33" s="8"/>
      <c r="F33" s="9"/>
    </row>
    <row r="34" spans="1:6" ht="15.5" x14ac:dyDescent="0.35">
      <c r="A34" s="118" t="s">
        <v>0</v>
      </c>
      <c r="B34" s="119"/>
      <c r="C34" s="119"/>
      <c r="D34" s="119"/>
      <c r="E34" s="119"/>
      <c r="F34" s="120"/>
    </row>
    <row r="35" spans="1:6" ht="15.5" x14ac:dyDescent="0.35">
      <c r="A35" s="12"/>
      <c r="B35" s="8"/>
      <c r="C35" s="8"/>
      <c r="D35" s="13"/>
      <c r="E35" s="8"/>
      <c r="F35" s="9"/>
    </row>
    <row r="36" spans="1:6" ht="15.5" x14ac:dyDescent="0.35">
      <c r="A36" s="12"/>
      <c r="B36" s="8"/>
      <c r="C36" s="14"/>
      <c r="D36" s="14" t="s">
        <v>1</v>
      </c>
      <c r="E36" s="14" t="s">
        <v>2</v>
      </c>
      <c r="F36" s="9"/>
    </row>
    <row r="37" spans="1:6" ht="15.5" x14ac:dyDescent="0.35">
      <c r="A37" s="12"/>
      <c r="B37" s="8"/>
      <c r="C37" s="15" t="s">
        <v>3</v>
      </c>
      <c r="D37" s="15" t="s">
        <v>4</v>
      </c>
      <c r="E37" s="15" t="s">
        <v>5</v>
      </c>
      <c r="F37" s="9"/>
    </row>
    <row r="38" spans="1:6" ht="15.5" x14ac:dyDescent="0.35">
      <c r="A38" s="16" t="s">
        <v>14</v>
      </c>
      <c r="B38" s="6"/>
      <c r="C38" s="17"/>
      <c r="D38" s="17"/>
      <c r="E38" s="17"/>
      <c r="F38" s="9"/>
    </row>
    <row r="39" spans="1:6" ht="15.5" x14ac:dyDescent="0.35">
      <c r="A39" s="12"/>
      <c r="B39" s="8"/>
      <c r="C39" s="18"/>
      <c r="D39" s="19">
        <f>+J40</f>
        <v>0</v>
      </c>
      <c r="E39" s="18">
        <f>C39*D39</f>
        <v>0</v>
      </c>
      <c r="F39" s="9"/>
    </row>
    <row r="40" spans="1:6" ht="18.5" x14ac:dyDescent="0.65">
      <c r="A40" s="20"/>
      <c r="B40" s="21"/>
      <c r="C40" s="22"/>
      <c r="D40" s="19">
        <f>+L54</f>
        <v>0</v>
      </c>
      <c r="E40" s="22">
        <f>C40*D40</f>
        <v>0</v>
      </c>
      <c r="F40" s="9"/>
    </row>
    <row r="41" spans="1:6" ht="15.5" x14ac:dyDescent="0.35">
      <c r="A41" s="12" t="s">
        <v>2</v>
      </c>
      <c r="B41" s="8"/>
      <c r="C41" s="18">
        <f>SUM(C39:C40)</f>
        <v>0</v>
      </c>
      <c r="D41" s="8"/>
      <c r="E41" s="18">
        <f>SUM(E39:E40)</f>
        <v>0</v>
      </c>
      <c r="F41" s="9"/>
    </row>
    <row r="42" spans="1:6" ht="15.5" x14ac:dyDescent="0.35">
      <c r="A42" s="12"/>
      <c r="B42" s="8"/>
      <c r="C42" s="8"/>
      <c r="D42" s="8"/>
      <c r="E42" s="8"/>
      <c r="F42" s="9"/>
    </row>
    <row r="43" spans="1:6" ht="15.5" x14ac:dyDescent="0.35">
      <c r="A43" s="5" t="s">
        <v>6</v>
      </c>
      <c r="B43" s="8"/>
      <c r="C43" s="8"/>
      <c r="D43" s="8"/>
      <c r="E43" s="18"/>
      <c r="F43" s="9"/>
    </row>
    <row r="44" spans="1:6" ht="15.5" x14ac:dyDescent="0.35">
      <c r="A44" s="12"/>
      <c r="B44" s="8"/>
      <c r="C44" s="8"/>
      <c r="D44" s="8"/>
      <c r="E44" s="8"/>
      <c r="F44" s="9"/>
    </row>
    <row r="45" spans="1:6" ht="15.5" x14ac:dyDescent="0.35">
      <c r="A45" s="12" t="s">
        <v>7</v>
      </c>
      <c r="B45" s="8"/>
      <c r="C45" s="8"/>
      <c r="D45" s="8"/>
      <c r="E45" s="18">
        <f>E43-E41</f>
        <v>0</v>
      </c>
      <c r="F45" s="9"/>
    </row>
    <row r="46" spans="1:6" ht="15.5" x14ac:dyDescent="0.35">
      <c r="A46" s="12"/>
      <c r="B46" s="8"/>
      <c r="C46" s="8"/>
      <c r="D46" s="8"/>
      <c r="E46" s="8"/>
      <c r="F46" s="9"/>
    </row>
    <row r="47" spans="1:6" ht="15.5" x14ac:dyDescent="0.35">
      <c r="A47" s="12" t="s">
        <v>8</v>
      </c>
      <c r="B47" s="8"/>
      <c r="C47" s="8"/>
      <c r="D47" s="8"/>
      <c r="E47" s="18">
        <f>+C41</f>
        <v>0</v>
      </c>
      <c r="F47" s="9"/>
    </row>
    <row r="48" spans="1:6" ht="15.5" x14ac:dyDescent="0.35">
      <c r="A48" s="12"/>
      <c r="B48" s="8"/>
      <c r="C48" s="8"/>
      <c r="D48" s="8"/>
      <c r="E48" s="8"/>
      <c r="F48" s="9"/>
    </row>
    <row r="49" spans="1:6" ht="15.5" x14ac:dyDescent="0.35">
      <c r="A49" s="12" t="s">
        <v>15</v>
      </c>
      <c r="B49" s="8"/>
      <c r="C49" s="8"/>
      <c r="D49" s="8"/>
      <c r="E49" s="8"/>
      <c r="F49" s="23"/>
    </row>
    <row r="50" spans="1:6" ht="15.5" x14ac:dyDescent="0.35">
      <c r="A50" s="12"/>
      <c r="B50" s="8"/>
      <c r="C50" s="8"/>
      <c r="D50" s="8"/>
      <c r="E50" s="8"/>
      <c r="F50" s="23"/>
    </row>
    <row r="51" spans="1:6" ht="15.5" x14ac:dyDescent="0.35">
      <c r="A51" s="12"/>
      <c r="B51" s="8"/>
      <c r="C51" s="8"/>
      <c r="D51" s="8"/>
      <c r="E51" s="8"/>
      <c r="F51" s="23"/>
    </row>
    <row r="52" spans="1:6" ht="15.5" x14ac:dyDescent="0.35">
      <c r="A52" s="16" t="str">
        <f>+A38</f>
        <v>Projected Revenue Oct. 2024- Sept. 2025</v>
      </c>
      <c r="B52" s="6"/>
      <c r="C52" s="8"/>
      <c r="D52" s="8"/>
      <c r="E52" s="24"/>
      <c r="F52" s="23"/>
    </row>
    <row r="53" spans="1:6" ht="15.5" x14ac:dyDescent="0.35">
      <c r="A53" s="12" t="s">
        <v>9</v>
      </c>
      <c r="B53" s="8"/>
      <c r="C53" s="8"/>
      <c r="D53" s="8"/>
      <c r="E53" s="18"/>
      <c r="F53" s="23"/>
    </row>
    <row r="54" spans="1:6" ht="18.5" x14ac:dyDescent="0.65">
      <c r="A54" s="12" t="s">
        <v>10</v>
      </c>
      <c r="B54" s="8"/>
      <c r="C54" s="8"/>
      <c r="D54" s="8"/>
      <c r="E54" s="8"/>
      <c r="F54" s="25" t="e">
        <f>ROUND(+E52/E53,2)</f>
        <v>#DIV/0!</v>
      </c>
    </row>
    <row r="55" spans="1:6" ht="15.5" x14ac:dyDescent="0.35">
      <c r="A55" s="12"/>
      <c r="B55" s="8"/>
      <c r="C55" s="8"/>
      <c r="D55" s="8"/>
      <c r="E55" s="8"/>
      <c r="F55" s="23"/>
    </row>
    <row r="56" spans="1:6" ht="16" thickBot="1" x14ac:dyDescent="0.4">
      <c r="A56" s="5" t="s">
        <v>11</v>
      </c>
      <c r="B56" s="6"/>
      <c r="C56" s="8"/>
      <c r="D56" s="8"/>
      <c r="E56" s="8"/>
      <c r="F56" s="26" t="e">
        <f>SUM(F49:F54)</f>
        <v>#DIV/0!</v>
      </c>
    </row>
    <row r="57" spans="1:6" ht="16" thickTop="1" x14ac:dyDescent="0.35">
      <c r="A57" s="5"/>
      <c r="B57" s="6"/>
      <c r="C57" s="8"/>
      <c r="D57" s="8"/>
      <c r="E57" s="8"/>
      <c r="F57" s="27"/>
    </row>
    <row r="58" spans="1:6" ht="15" thickBot="1" x14ac:dyDescent="0.4">
      <c r="A58" s="28"/>
      <c r="B58" s="29"/>
      <c r="C58" s="29"/>
      <c r="D58" s="29"/>
      <c r="E58" s="29"/>
      <c r="F58" s="30"/>
    </row>
  </sheetData>
  <mergeCells count="2">
    <mergeCell ref="A5:F5"/>
    <mergeCell ref="A34:F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797A-6FB9-4057-B30D-64272D7714A8}">
  <dimension ref="A1:M35"/>
  <sheetViews>
    <sheetView tabSelected="1" workbookViewId="0">
      <selection activeCell="J13" sqref="J13"/>
    </sheetView>
  </sheetViews>
  <sheetFormatPr defaultRowHeight="14.5" x14ac:dyDescent="0.35"/>
  <cols>
    <col min="1" max="1" width="11.453125" customWidth="1"/>
    <col min="3" max="3" width="9.54296875" bestFit="1" customWidth="1"/>
    <col min="4" max="4" width="12.81640625" customWidth="1"/>
    <col min="5" max="5" width="15" customWidth="1"/>
    <col min="6" max="6" width="9.54296875" customWidth="1"/>
    <col min="8" max="8" width="9.54296875" bestFit="1" customWidth="1"/>
    <col min="10" max="10" width="11.54296875" bestFit="1" customWidth="1"/>
  </cols>
  <sheetData>
    <row r="1" spans="1:10" ht="23" x14ac:dyDescent="0.5">
      <c r="A1" s="31" t="s">
        <v>12</v>
      </c>
    </row>
    <row r="2" spans="1:10" ht="21" x14ac:dyDescent="0.5">
      <c r="A2" s="32" t="s">
        <v>37</v>
      </c>
    </row>
    <row r="3" spans="1:10" ht="18.5" x14ac:dyDescent="0.45">
      <c r="A3" s="33"/>
    </row>
    <row r="5" spans="1:10" ht="15.5" x14ac:dyDescent="0.35">
      <c r="C5" s="121" t="s">
        <v>16</v>
      </c>
      <c r="D5" s="121"/>
      <c r="E5" s="121"/>
    </row>
    <row r="6" spans="1:10" x14ac:dyDescent="0.35">
      <c r="F6" s="34" t="s">
        <v>17</v>
      </c>
      <c r="G6" s="34" t="s">
        <v>18</v>
      </c>
      <c r="H6" s="34" t="s">
        <v>16</v>
      </c>
      <c r="I6" s="35" t="s">
        <v>19</v>
      </c>
      <c r="J6" s="35" t="s">
        <v>1</v>
      </c>
    </row>
    <row r="7" spans="1:10" x14ac:dyDescent="0.35">
      <c r="A7" s="36" t="s">
        <v>20</v>
      </c>
      <c r="C7" s="37" t="s">
        <v>2</v>
      </c>
      <c r="D7" s="37" t="s">
        <v>21</v>
      </c>
      <c r="E7" s="37" t="s">
        <v>22</v>
      </c>
      <c r="F7" s="37" t="s">
        <v>23</v>
      </c>
      <c r="G7" s="37" t="s">
        <v>16</v>
      </c>
      <c r="H7" s="37" t="s">
        <v>24</v>
      </c>
      <c r="I7" s="37" t="s">
        <v>25</v>
      </c>
      <c r="J7" s="37" t="s">
        <v>26</v>
      </c>
    </row>
    <row r="8" spans="1:10" x14ac:dyDescent="0.35">
      <c r="A8" t="s">
        <v>38</v>
      </c>
      <c r="C8" s="38">
        <f t="shared" ref="C8:C18" si="0">+D8+E8</f>
        <v>104.6268972</v>
      </c>
      <c r="D8" s="39"/>
      <c r="E8" s="39">
        <f>4788*2.17*('[1]MSW Route Stats'!$C$14/2000)</f>
        <v>104.6268972</v>
      </c>
      <c r="F8" s="40">
        <f>'CRC Composition'!C18</f>
        <v>0.20395976160128318</v>
      </c>
      <c r="G8" s="41">
        <f>-F8*E8</f>
        <v>-21.339677009993963</v>
      </c>
      <c r="H8" s="41">
        <f>+G8+E8</f>
        <v>83.287220190006039</v>
      </c>
      <c r="I8" s="42">
        <f>'CRC Composition'!B44</f>
        <v>98.250246669261784</v>
      </c>
      <c r="J8" s="43">
        <f>+I8*H8</f>
        <v>8182.9899280652135</v>
      </c>
    </row>
    <row r="9" spans="1:10" x14ac:dyDescent="0.35">
      <c r="A9" t="s">
        <v>36</v>
      </c>
      <c r="C9" s="38">
        <f t="shared" si="0"/>
        <v>104.6268972</v>
      </c>
      <c r="D9" s="39"/>
      <c r="E9" s="39">
        <f>E8</f>
        <v>104.6268972</v>
      </c>
      <c r="F9" s="40">
        <f>'CRC Composition'!E18</f>
        <v>0.19703439601098111</v>
      </c>
      <c r="G9" s="41">
        <f t="shared" ref="G9:G19" si="1">-F9*E9</f>
        <v>-20.615097496305012</v>
      </c>
      <c r="H9" s="41">
        <f t="shared" ref="H9:H19" si="2">+G9+E9</f>
        <v>84.01179970369499</v>
      </c>
      <c r="I9" s="42">
        <f>'CRC Composition'!D44</f>
        <v>101.75049453490055</v>
      </c>
      <c r="J9" s="43">
        <f t="shared" ref="J9:J19" si="3">+I9*H9</f>
        <v>8548.2421666179762</v>
      </c>
    </row>
    <row r="10" spans="1:10" x14ac:dyDescent="0.35">
      <c r="A10" t="s">
        <v>39</v>
      </c>
      <c r="C10" s="38">
        <f t="shared" si="0"/>
        <v>104.6268972</v>
      </c>
      <c r="D10" s="39"/>
      <c r="E10" s="39">
        <f t="shared" ref="E10:E19" si="4">E9</f>
        <v>104.6268972</v>
      </c>
      <c r="F10" s="40">
        <f>'CRC Composition'!G18</f>
        <v>0.15466504938447881</v>
      </c>
      <c r="G10" s="41">
        <f t="shared" si="1"/>
        <v>-16.182124222382789</v>
      </c>
      <c r="H10" s="41">
        <f t="shared" si="2"/>
        <v>88.44477297761722</v>
      </c>
      <c r="I10" s="42">
        <f>'CRC Composition'!F44</f>
        <v>65.054894976211202</v>
      </c>
      <c r="J10" s="43">
        <f t="shared" si="3"/>
        <v>5753.7654172537304</v>
      </c>
    </row>
    <row r="11" spans="1:10" x14ac:dyDescent="0.35">
      <c r="A11" t="s">
        <v>27</v>
      </c>
      <c r="C11" s="38">
        <f t="shared" si="0"/>
        <v>104.6268972</v>
      </c>
      <c r="D11" s="39"/>
      <c r="E11" s="39">
        <f t="shared" si="4"/>
        <v>104.6268972</v>
      </c>
      <c r="F11" s="40">
        <f>'CRC Composition'!I18</f>
        <v>0.16065209211535317</v>
      </c>
      <c r="G11" s="41">
        <f t="shared" si="1"/>
        <v>-16.808529926717988</v>
      </c>
      <c r="H11" s="41">
        <f t="shared" si="2"/>
        <v>87.818367273282007</v>
      </c>
      <c r="I11" s="42">
        <f>'CRC Composition'!H44</f>
        <v>74.667392550642688</v>
      </c>
      <c r="J11" s="43">
        <f t="shared" si="3"/>
        <v>6557.1685023506607</v>
      </c>
    </row>
    <row r="12" spans="1:10" x14ac:dyDescent="0.35">
      <c r="A12" t="s">
        <v>28</v>
      </c>
      <c r="C12" s="38">
        <f t="shared" si="0"/>
        <v>104.6268972</v>
      </c>
      <c r="D12" s="39"/>
      <c r="E12" s="39">
        <f t="shared" si="4"/>
        <v>104.6268972</v>
      </c>
      <c r="F12" s="40">
        <f>'CRC Composition'!K18</f>
        <v>0.11722950476649284</v>
      </c>
      <c r="G12" s="41">
        <f t="shared" si="1"/>
        <v>-12.265359344010756</v>
      </c>
      <c r="H12" s="41">
        <f t="shared" si="2"/>
        <v>92.361537855989241</v>
      </c>
      <c r="I12" s="42">
        <f>'CRC Composition'!J44</f>
        <v>87.606469382383551</v>
      </c>
      <c r="J12" s="43">
        <f t="shared" si="3"/>
        <v>8091.4682382905803</v>
      </c>
    </row>
    <row r="13" spans="1:10" x14ac:dyDescent="0.35">
      <c r="A13" t="s">
        <v>29</v>
      </c>
      <c r="C13" s="38">
        <f t="shared" si="0"/>
        <v>104.6268972</v>
      </c>
      <c r="D13" s="39"/>
      <c r="E13" s="39">
        <f t="shared" si="4"/>
        <v>104.6268972</v>
      </c>
      <c r="F13" s="40">
        <f>'CRC Composition'!M18</f>
        <v>0.1197994745894813</v>
      </c>
      <c r="G13" s="41">
        <f t="shared" si="1"/>
        <v>-12.534247312487672</v>
      </c>
      <c r="H13" s="41">
        <f t="shared" si="2"/>
        <v>92.092649887512323</v>
      </c>
      <c r="I13" s="42">
        <f>'CRC Composition'!L44</f>
        <v>87.666514210292306</v>
      </c>
      <c r="J13" s="43">
        <f t="shared" si="3"/>
        <v>8073.441600027073</v>
      </c>
    </row>
    <row r="14" spans="1:10" x14ac:dyDescent="0.35">
      <c r="A14" t="s">
        <v>30</v>
      </c>
      <c r="C14" s="38">
        <f t="shared" si="0"/>
        <v>104.6268972</v>
      </c>
      <c r="D14" s="39"/>
      <c r="E14" s="39">
        <f t="shared" si="4"/>
        <v>104.6268972</v>
      </c>
      <c r="F14" s="40">
        <f>'CRC Composition'!O18</f>
        <v>0.19558359092872876</v>
      </c>
      <c r="G14" s="41">
        <f t="shared" si="1"/>
        <v>-20.463304262106956</v>
      </c>
      <c r="H14" s="41">
        <f t="shared" si="2"/>
        <v>84.163592937893043</v>
      </c>
      <c r="I14" s="42">
        <f>'CRC Composition'!N44</f>
        <v>106.61413681279909</v>
      </c>
      <c r="J14" s="43">
        <f t="shared" si="3"/>
        <v>8973.0288121372596</v>
      </c>
    </row>
    <row r="15" spans="1:10" x14ac:dyDescent="0.35">
      <c r="A15" t="s">
        <v>31</v>
      </c>
      <c r="C15" s="38">
        <f t="shared" si="0"/>
        <v>104.6268972</v>
      </c>
      <c r="D15" s="39"/>
      <c r="E15" s="39">
        <f t="shared" si="4"/>
        <v>104.6268972</v>
      </c>
      <c r="F15" s="40">
        <f>'CRC Composition'!Q18</f>
        <v>0.20178655670851944</v>
      </c>
      <c r="G15" s="41">
        <f t="shared" si="1"/>
        <v>-21.112301325084236</v>
      </c>
      <c r="H15" s="41">
        <f t="shared" si="2"/>
        <v>83.51459587491577</v>
      </c>
      <c r="I15" s="42">
        <f>'CRC Composition'!P44</f>
        <v>125.9571696648149</v>
      </c>
      <c r="J15" s="43">
        <f t="shared" si="3"/>
        <v>10519.262122105216</v>
      </c>
    </row>
    <row r="16" spans="1:10" x14ac:dyDescent="0.35">
      <c r="A16" t="s">
        <v>32</v>
      </c>
      <c r="C16" s="38">
        <f t="shared" si="0"/>
        <v>104.6268972</v>
      </c>
      <c r="D16" s="39"/>
      <c r="E16" s="39">
        <f t="shared" si="4"/>
        <v>104.6268972</v>
      </c>
      <c r="F16" s="40">
        <f>'CRC Composition'!S18</f>
        <v>0.21496167027065008</v>
      </c>
      <c r="G16" s="41">
        <f t="shared" si="1"/>
        <v>-22.490772577347602</v>
      </c>
      <c r="H16" s="41">
        <f t="shared" si="2"/>
        <v>82.136124622652403</v>
      </c>
      <c r="I16" s="42">
        <f>'CRC Composition'!R44</f>
        <v>132.96571595311875</v>
      </c>
      <c r="J16" s="43">
        <f t="shared" si="3"/>
        <v>10921.288616065562</v>
      </c>
    </row>
    <row r="17" spans="1:13" x14ac:dyDescent="0.35">
      <c r="A17" t="s">
        <v>33</v>
      </c>
      <c r="C17" s="38">
        <f t="shared" si="0"/>
        <v>104.6268972</v>
      </c>
      <c r="D17" s="39"/>
      <c r="E17" s="39">
        <f t="shared" si="4"/>
        <v>104.6268972</v>
      </c>
      <c r="F17" s="40">
        <f>'CRC Composition'!U18</f>
        <v>0.1970310924408798</v>
      </c>
      <c r="G17" s="41">
        <f t="shared" si="1"/>
        <v>-20.614751854015626</v>
      </c>
      <c r="H17" s="41">
        <f t="shared" si="2"/>
        <v>84.012145345984379</v>
      </c>
      <c r="I17" s="42">
        <f>'CRC Composition'!T44</f>
        <v>139.95572638913404</v>
      </c>
      <c r="J17" s="43">
        <f t="shared" si="3"/>
        <v>11757.980827406751</v>
      </c>
    </row>
    <row r="18" spans="1:13" x14ac:dyDescent="0.35">
      <c r="A18" t="s">
        <v>34</v>
      </c>
      <c r="C18" s="44">
        <f t="shared" si="0"/>
        <v>104.6268972</v>
      </c>
      <c r="D18" s="45"/>
      <c r="E18" s="39">
        <f t="shared" si="4"/>
        <v>104.6268972</v>
      </c>
      <c r="F18" s="46">
        <f>'CRC Composition'!W18</f>
        <v>0.20952708845224907</v>
      </c>
      <c r="G18" s="41">
        <f t="shared" si="1"/>
        <v>-21.922169144108771</v>
      </c>
      <c r="H18" s="41">
        <f t="shared" si="2"/>
        <v>82.704728055891223</v>
      </c>
      <c r="I18" s="42">
        <f>'CRC Composition'!V44</f>
        <v>130.85847670118102</v>
      </c>
      <c r="J18" s="43">
        <f t="shared" si="3"/>
        <v>10822.614729379355</v>
      </c>
    </row>
    <row r="19" spans="1:13" ht="16" x14ac:dyDescent="0.5">
      <c r="A19" t="s">
        <v>35</v>
      </c>
      <c r="C19" s="47">
        <f>+D19+E19</f>
        <v>104.6268972</v>
      </c>
      <c r="D19" s="48"/>
      <c r="E19" s="39">
        <f t="shared" si="4"/>
        <v>104.6268972</v>
      </c>
      <c r="F19" s="49">
        <f>'CRC Composition'!Y18</f>
        <v>0.2282634377360177</v>
      </c>
      <c r="G19" s="50">
        <f t="shared" si="1"/>
        <v>-23.882495234524924</v>
      </c>
      <c r="H19" s="50">
        <f t="shared" si="2"/>
        <v>80.744401965475078</v>
      </c>
      <c r="I19" s="51">
        <f>'CRC Composition'!X44</f>
        <v>121.10455814505123</v>
      </c>
      <c r="J19" s="52">
        <f t="shared" si="3"/>
        <v>9778.5151227152655</v>
      </c>
      <c r="K19" s="53"/>
      <c r="L19" s="53"/>
      <c r="M19" s="53"/>
    </row>
    <row r="20" spans="1:13" ht="16" x14ac:dyDescent="0.5">
      <c r="C20" s="54">
        <f>SUM(C8:C19)</f>
        <v>1255.5227664000001</v>
      </c>
      <c r="D20" s="54">
        <f>SUM(D8:D19)</f>
        <v>0</v>
      </c>
      <c r="E20" s="54">
        <f>SUM(E8:E19)</f>
        <v>1255.5227664000001</v>
      </c>
      <c r="F20" s="55">
        <f>-G20/E20</f>
        <v>0.18337447625042627</v>
      </c>
      <c r="G20" s="54">
        <f t="shared" ref="G20:J20" si="5">SUM(G8:G19)</f>
        <v>-230.23082970908632</v>
      </c>
      <c r="H20" s="54">
        <f t="shared" si="5"/>
        <v>1025.2919366909139</v>
      </c>
      <c r="I20" s="56">
        <f>+J20/H20</f>
        <v>105.31611750592201</v>
      </c>
      <c r="J20" s="57">
        <f t="shared" si="5"/>
        <v>107979.76608241463</v>
      </c>
      <c r="K20" s="58"/>
    </row>
    <row r="21" spans="1:13" x14ac:dyDescent="0.35">
      <c r="C21" s="38"/>
      <c r="D21" s="38"/>
      <c r="E21" s="38"/>
      <c r="F21" s="38"/>
    </row>
    <row r="22" spans="1:13" x14ac:dyDescent="0.35">
      <c r="C22" s="38"/>
      <c r="D22" s="125" t="s">
        <v>73</v>
      </c>
      <c r="E22" s="38">
        <v>25</v>
      </c>
      <c r="F22" s="38"/>
      <c r="G22" s="38"/>
      <c r="J22" t="s">
        <v>74</v>
      </c>
    </row>
    <row r="23" spans="1:13" x14ac:dyDescent="0.35">
      <c r="B23">
        <v>1</v>
      </c>
      <c r="C23" t="s">
        <v>72</v>
      </c>
      <c r="D23" s="38"/>
      <c r="E23" s="38">
        <f>$E$22*B23/2000</f>
        <v>1.2500000000000001E-2</v>
      </c>
      <c r="F23" s="40">
        <f>F20</f>
        <v>0.18337447625042627</v>
      </c>
      <c r="G23" s="116">
        <f t="shared" ref="G23" si="6">-F23*E23</f>
        <v>-2.2921809531303286E-3</v>
      </c>
      <c r="H23" s="116">
        <f t="shared" ref="H23" si="7">+G23+E23</f>
        <v>1.0207819046869671E-2</v>
      </c>
      <c r="I23" s="42">
        <f>I20</f>
        <v>105.31611750592201</v>
      </c>
      <c r="J23" s="117">
        <f t="shared" ref="J23" si="8">+I23*H23</f>
        <v>1.0750478702193151</v>
      </c>
      <c r="K23" s="42">
        <f>J23/B23</f>
        <v>1.0750478702193151</v>
      </c>
    </row>
    <row r="24" spans="1:13" x14ac:dyDescent="0.35">
      <c r="D24" s="59"/>
      <c r="E24" s="38"/>
      <c r="F24" s="40"/>
      <c r="G24" s="116"/>
      <c r="H24" s="116"/>
      <c r="I24" s="42"/>
      <c r="J24" s="117"/>
      <c r="K24" s="42"/>
    </row>
    <row r="25" spans="1:13" x14ac:dyDescent="0.35">
      <c r="D25" s="38"/>
      <c r="E25" s="38"/>
      <c r="F25" s="40"/>
      <c r="G25" s="116"/>
      <c r="H25" s="116"/>
      <c r="I25" s="42"/>
      <c r="J25" s="117"/>
      <c r="K25" s="42"/>
    </row>
    <row r="26" spans="1:13" x14ac:dyDescent="0.35">
      <c r="D26" s="38"/>
      <c r="E26" s="38"/>
      <c r="F26" s="40"/>
      <c r="G26" s="116"/>
      <c r="H26" s="116"/>
      <c r="I26" s="42"/>
      <c r="J26" s="117"/>
      <c r="K26" s="42"/>
    </row>
    <row r="27" spans="1:13" x14ac:dyDescent="0.35">
      <c r="D27" s="38"/>
      <c r="E27" s="38"/>
      <c r="F27" s="40"/>
      <c r="G27" s="116"/>
      <c r="H27" s="116"/>
      <c r="I27" s="42"/>
      <c r="J27" s="117"/>
      <c r="K27" s="42"/>
    </row>
    <row r="28" spans="1:13" x14ac:dyDescent="0.35">
      <c r="D28" s="38"/>
      <c r="E28" s="38"/>
      <c r="F28" s="40"/>
      <c r="G28" s="116"/>
      <c r="H28" s="116"/>
      <c r="I28" s="42"/>
      <c r="J28" s="117"/>
      <c r="K28" s="42"/>
    </row>
    <row r="29" spans="1:13" x14ac:dyDescent="0.35">
      <c r="D29" s="38"/>
      <c r="E29" s="38"/>
      <c r="F29" s="40"/>
      <c r="G29" s="116"/>
      <c r="H29" s="116"/>
      <c r="I29" s="42"/>
      <c r="J29" s="117"/>
      <c r="K29" s="42"/>
    </row>
    <row r="30" spans="1:13" x14ac:dyDescent="0.35">
      <c r="C30" s="38"/>
      <c r="D30" s="38"/>
      <c r="E30" s="38"/>
      <c r="F30" s="38"/>
      <c r="J30" s="42"/>
    </row>
    <row r="31" spans="1:13" x14ac:dyDescent="0.35">
      <c r="C31" s="38"/>
      <c r="D31" s="38"/>
      <c r="E31" s="38"/>
      <c r="F31" s="38"/>
    </row>
    <row r="32" spans="1:13" x14ac:dyDescent="0.35">
      <c r="C32" s="38"/>
      <c r="D32" s="38"/>
      <c r="E32" s="38"/>
      <c r="F32" s="38"/>
    </row>
    <row r="33" spans="3:6" x14ac:dyDescent="0.35">
      <c r="C33" s="38"/>
      <c r="D33" s="38"/>
      <c r="E33" s="38"/>
      <c r="F33" s="38"/>
    </row>
    <row r="34" spans="3:6" x14ac:dyDescent="0.35">
      <c r="C34" s="38"/>
      <c r="D34" s="38"/>
      <c r="E34" s="38"/>
      <c r="F34" s="38"/>
    </row>
    <row r="35" spans="3:6" x14ac:dyDescent="0.35">
      <c r="C35" s="38"/>
      <c r="D35" s="38"/>
      <c r="E35" s="38"/>
      <c r="F35" s="38"/>
    </row>
  </sheetData>
  <mergeCells count="1">
    <mergeCell ref="C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9CE6-312A-4F28-BD95-6BC24053A4DC}">
  <dimension ref="A1:I33"/>
  <sheetViews>
    <sheetView workbookViewId="0">
      <selection activeCell="O22" sqref="O22"/>
    </sheetView>
  </sheetViews>
  <sheetFormatPr defaultRowHeight="14.5" x14ac:dyDescent="0.35"/>
  <cols>
    <col min="3" max="3" width="9.54296875" bestFit="1" customWidth="1"/>
    <col min="4" max="4" width="9" bestFit="1" customWidth="1"/>
    <col min="8" max="9" width="10.54296875" bestFit="1" customWidth="1"/>
  </cols>
  <sheetData>
    <row r="1" spans="1:9" ht="23" x14ac:dyDescent="0.5">
      <c r="A1" s="31" t="s">
        <v>12</v>
      </c>
    </row>
    <row r="2" spans="1:9" ht="21" x14ac:dyDescent="0.5">
      <c r="A2" s="32" t="s">
        <v>40</v>
      </c>
    </row>
    <row r="6" spans="1:9" x14ac:dyDescent="0.35">
      <c r="C6" s="37" t="s">
        <v>22</v>
      </c>
      <c r="D6" s="37" t="s">
        <v>21</v>
      </c>
      <c r="E6" s="37" t="s">
        <v>2</v>
      </c>
      <c r="F6" s="37" t="s">
        <v>41</v>
      </c>
    </row>
    <row r="7" spans="1:9" x14ac:dyDescent="0.35">
      <c r="A7" t="s">
        <v>38</v>
      </c>
      <c r="C7" s="60"/>
      <c r="D7" s="60"/>
      <c r="E7" s="61">
        <f>'[2]WEN CC November 23'!$I$3</f>
        <v>21186</v>
      </c>
      <c r="F7" s="59">
        <f>+C7/E7</f>
        <v>0</v>
      </c>
      <c r="H7" s="38"/>
      <c r="I7" s="41"/>
    </row>
    <row r="8" spans="1:9" x14ac:dyDescent="0.35">
      <c r="A8" t="s">
        <v>36</v>
      </c>
      <c r="C8" s="60"/>
      <c r="D8" s="60"/>
      <c r="E8" s="61">
        <f>'[3]WEN CC December 23'!$J$3</f>
        <v>21235</v>
      </c>
      <c r="F8" s="59">
        <f t="shared" ref="F8:F18" si="0">+C8/E8</f>
        <v>0</v>
      </c>
      <c r="H8" s="38"/>
      <c r="I8" s="41"/>
    </row>
    <row r="9" spans="1:9" x14ac:dyDescent="0.35">
      <c r="A9" t="s">
        <v>39</v>
      </c>
      <c r="C9" s="60"/>
      <c r="D9" s="60"/>
      <c r="E9" s="61">
        <v>21037</v>
      </c>
      <c r="F9" s="59">
        <f t="shared" si="0"/>
        <v>0</v>
      </c>
      <c r="H9" s="38"/>
      <c r="I9" s="41"/>
    </row>
    <row r="10" spans="1:9" x14ac:dyDescent="0.35">
      <c r="A10" t="s">
        <v>27</v>
      </c>
      <c r="C10" s="60"/>
      <c r="D10" s="60"/>
      <c r="E10" s="61">
        <v>20979</v>
      </c>
      <c r="F10" s="59">
        <f t="shared" si="0"/>
        <v>0</v>
      </c>
      <c r="H10" s="38"/>
      <c r="I10" s="41"/>
    </row>
    <row r="11" spans="1:9" x14ac:dyDescent="0.35">
      <c r="A11" t="s">
        <v>28</v>
      </c>
      <c r="C11" s="60"/>
      <c r="D11" s="60"/>
      <c r="E11" s="61">
        <v>21076</v>
      </c>
      <c r="F11" s="59">
        <f t="shared" si="0"/>
        <v>0</v>
      </c>
      <c r="H11" s="38"/>
      <c r="I11" s="41"/>
    </row>
    <row r="12" spans="1:9" x14ac:dyDescent="0.35">
      <c r="A12" t="s">
        <v>29</v>
      </c>
      <c r="C12" s="60"/>
      <c r="D12" s="60"/>
      <c r="E12" s="61">
        <v>21172</v>
      </c>
      <c r="F12" s="59">
        <f t="shared" si="0"/>
        <v>0</v>
      </c>
      <c r="H12" s="38"/>
      <c r="I12" s="41"/>
    </row>
    <row r="13" spans="1:9" x14ac:dyDescent="0.35">
      <c r="A13" t="s">
        <v>30</v>
      </c>
      <c r="C13" s="60"/>
      <c r="D13" s="60"/>
      <c r="E13" s="61">
        <v>21192</v>
      </c>
      <c r="F13" s="59">
        <f t="shared" si="0"/>
        <v>0</v>
      </c>
      <c r="H13" s="38"/>
      <c r="I13" s="41"/>
    </row>
    <row r="14" spans="1:9" x14ac:dyDescent="0.35">
      <c r="A14" t="s">
        <v>31</v>
      </c>
      <c r="C14" s="60"/>
      <c r="D14" s="60"/>
      <c r="E14" s="61">
        <v>21299</v>
      </c>
      <c r="F14" s="59">
        <f t="shared" si="0"/>
        <v>0</v>
      </c>
      <c r="H14" s="38"/>
      <c r="I14" s="41"/>
    </row>
    <row r="15" spans="1:9" x14ac:dyDescent="0.35">
      <c r="A15" t="s">
        <v>32</v>
      </c>
      <c r="C15" s="60"/>
      <c r="D15" s="60"/>
      <c r="E15" s="61">
        <v>21365</v>
      </c>
      <c r="F15" s="59">
        <f t="shared" si="0"/>
        <v>0</v>
      </c>
      <c r="H15" s="38"/>
      <c r="I15" s="41"/>
    </row>
    <row r="16" spans="1:9" x14ac:dyDescent="0.35">
      <c r="A16" t="s">
        <v>33</v>
      </c>
      <c r="C16" s="60"/>
      <c r="D16" s="60"/>
      <c r="E16" s="61">
        <v>21274</v>
      </c>
      <c r="F16" s="59">
        <f t="shared" si="0"/>
        <v>0</v>
      </c>
      <c r="H16" s="38"/>
      <c r="I16" s="41"/>
    </row>
    <row r="17" spans="1:9" x14ac:dyDescent="0.35">
      <c r="A17" t="s">
        <v>34</v>
      </c>
      <c r="C17" s="62"/>
      <c r="D17" s="60"/>
      <c r="E17" s="61">
        <v>21309</v>
      </c>
      <c r="F17" s="59">
        <f t="shared" si="0"/>
        <v>0</v>
      </c>
      <c r="H17" s="38"/>
      <c r="I17" s="41"/>
    </row>
    <row r="18" spans="1:9" ht="16" x14ac:dyDescent="0.5">
      <c r="A18" t="s">
        <v>35</v>
      </c>
      <c r="C18" s="63"/>
      <c r="D18" s="60"/>
      <c r="E18" s="64">
        <v>21263</v>
      </c>
      <c r="F18" s="65">
        <f t="shared" si="0"/>
        <v>0</v>
      </c>
      <c r="H18" s="38"/>
      <c r="I18" s="41"/>
    </row>
    <row r="19" spans="1:9" ht="16" x14ac:dyDescent="0.5">
      <c r="C19" s="66">
        <f>SUM(C7:C18)</f>
        <v>0</v>
      </c>
      <c r="D19" s="66">
        <f t="shared" ref="D19:E19" si="1">SUM(D7:D18)</f>
        <v>0</v>
      </c>
      <c r="E19" s="66">
        <f t="shared" si="1"/>
        <v>254387</v>
      </c>
      <c r="F19" s="67">
        <f>+C19/E19</f>
        <v>0</v>
      </c>
      <c r="I19" s="41"/>
    </row>
    <row r="20" spans="1:9" x14ac:dyDescent="0.35">
      <c r="C20" s="61"/>
      <c r="D20" s="61"/>
      <c r="E20" s="61"/>
    </row>
    <row r="21" spans="1:9" x14ac:dyDescent="0.35">
      <c r="C21" s="61"/>
      <c r="D21" s="61"/>
      <c r="E21" s="61"/>
    </row>
    <row r="22" spans="1:9" x14ac:dyDescent="0.35">
      <c r="C22" s="61"/>
      <c r="D22" s="61"/>
      <c r="E22" s="61"/>
    </row>
    <row r="23" spans="1:9" x14ac:dyDescent="0.35">
      <c r="C23" s="61"/>
      <c r="D23" s="61"/>
      <c r="E23" s="61"/>
    </row>
    <row r="24" spans="1:9" x14ac:dyDescent="0.35">
      <c r="C24" s="61"/>
      <c r="D24" s="61"/>
      <c r="E24" s="61"/>
    </row>
    <row r="25" spans="1:9" x14ac:dyDescent="0.35">
      <c r="C25" s="61"/>
      <c r="D25" s="61"/>
      <c r="E25" s="61"/>
    </row>
    <row r="26" spans="1:9" x14ac:dyDescent="0.35">
      <c r="C26" s="61"/>
      <c r="D26" s="61"/>
      <c r="E26" s="61"/>
    </row>
    <row r="27" spans="1:9" x14ac:dyDescent="0.35">
      <c r="C27" s="61"/>
      <c r="D27" s="61"/>
      <c r="E27" s="61"/>
    </row>
    <row r="28" spans="1:9" x14ac:dyDescent="0.35">
      <c r="C28" s="61"/>
      <c r="D28" s="61"/>
      <c r="E28" s="61"/>
    </row>
    <row r="29" spans="1:9" x14ac:dyDescent="0.35">
      <c r="C29" s="61"/>
      <c r="D29" s="61"/>
      <c r="E29" s="61"/>
    </row>
    <row r="30" spans="1:9" x14ac:dyDescent="0.35">
      <c r="C30" s="61"/>
      <c r="D30" s="61"/>
      <c r="E30" s="61"/>
    </row>
    <row r="31" spans="1:9" x14ac:dyDescent="0.35">
      <c r="C31" s="61"/>
      <c r="D31" s="61"/>
      <c r="E31" s="61"/>
    </row>
    <row r="32" spans="1:9" x14ac:dyDescent="0.35">
      <c r="C32" s="61"/>
      <c r="D32" s="61"/>
      <c r="E32" s="61"/>
    </row>
    <row r="33" spans="3:5" x14ac:dyDescent="0.35">
      <c r="C33" s="61"/>
      <c r="D33" s="61"/>
      <c r="E33" s="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3AA4-BEAE-4F92-8C9C-5A2FD7462179}">
  <dimension ref="A1:K20"/>
  <sheetViews>
    <sheetView workbookViewId="0">
      <selection activeCell="N22" sqref="N22"/>
    </sheetView>
  </sheetViews>
  <sheetFormatPr defaultRowHeight="14.5" x14ac:dyDescent="0.35"/>
  <cols>
    <col min="2" max="2" width="8.6328125" bestFit="1" customWidth="1"/>
    <col min="3" max="3" width="11.453125" bestFit="1" customWidth="1"/>
    <col min="4" max="4" width="8.6328125" bestFit="1" customWidth="1"/>
    <col min="5" max="5" width="10.1796875" bestFit="1" customWidth="1"/>
    <col min="6" max="6" width="8.6328125" bestFit="1" customWidth="1"/>
    <col min="7" max="7" width="8.26953125" bestFit="1" customWidth="1"/>
    <col min="8" max="8" width="8.6328125" bestFit="1" customWidth="1"/>
    <col min="9" max="9" width="10.1796875" bestFit="1" customWidth="1"/>
    <col min="10" max="10" width="9.26953125" bestFit="1" customWidth="1"/>
    <col min="11" max="11" width="10.7265625" bestFit="1" customWidth="1"/>
  </cols>
  <sheetData>
    <row r="1" spans="1:11" ht="21" x14ac:dyDescent="0.5">
      <c r="A1" s="32" t="s">
        <v>42</v>
      </c>
    </row>
    <row r="2" spans="1:11" ht="15.5" x14ac:dyDescent="0.35">
      <c r="A2" s="68" t="s">
        <v>43</v>
      </c>
    </row>
    <row r="5" spans="1:11" x14ac:dyDescent="0.35">
      <c r="A5" s="69"/>
      <c r="B5" s="122" t="s">
        <v>44</v>
      </c>
      <c r="C5" s="123"/>
      <c r="D5" s="123"/>
      <c r="E5" s="123"/>
      <c r="F5" s="123"/>
      <c r="G5" s="123"/>
      <c r="H5" s="123"/>
      <c r="I5" s="123"/>
      <c r="J5" s="123"/>
      <c r="K5" s="124"/>
    </row>
    <row r="6" spans="1:11" x14ac:dyDescent="0.35">
      <c r="A6" s="70"/>
      <c r="B6" s="71"/>
      <c r="C6" s="72"/>
      <c r="D6" s="72"/>
      <c r="E6" s="73"/>
      <c r="F6" s="72"/>
      <c r="G6" s="72"/>
      <c r="H6" s="72"/>
      <c r="I6" s="73" t="s">
        <v>45</v>
      </c>
      <c r="J6" s="73" t="s">
        <v>46</v>
      </c>
      <c r="K6" s="73" t="s">
        <v>47</v>
      </c>
    </row>
    <row r="7" spans="1:11" x14ac:dyDescent="0.35">
      <c r="A7" s="70" t="s">
        <v>20</v>
      </c>
      <c r="B7" s="73" t="s">
        <v>48</v>
      </c>
      <c r="C7" s="73" t="s">
        <v>49</v>
      </c>
      <c r="D7" s="73" t="s">
        <v>50</v>
      </c>
      <c r="E7" s="73" t="s">
        <v>51</v>
      </c>
      <c r="F7" s="73" t="s">
        <v>52</v>
      </c>
      <c r="G7" s="73" t="s">
        <v>53</v>
      </c>
      <c r="H7" s="73" t="s">
        <v>54</v>
      </c>
      <c r="I7" s="73" t="s">
        <v>55</v>
      </c>
      <c r="J7" s="73" t="s">
        <v>55</v>
      </c>
      <c r="K7" s="73" t="s">
        <v>56</v>
      </c>
    </row>
    <row r="8" spans="1:11" x14ac:dyDescent="0.35">
      <c r="A8" s="74">
        <v>45179</v>
      </c>
      <c r="B8" s="75">
        <v>0</v>
      </c>
      <c r="C8" s="75">
        <v>40.65</v>
      </c>
      <c r="D8" s="75">
        <v>120.66</v>
      </c>
      <c r="E8" s="75">
        <v>1224.5</v>
      </c>
      <c r="F8" s="75">
        <v>184.64</v>
      </c>
      <c r="G8" s="75">
        <v>-21.15</v>
      </c>
      <c r="H8" s="75">
        <v>68.48</v>
      </c>
      <c r="I8" s="75">
        <v>460</v>
      </c>
      <c r="J8" s="75">
        <v>112.07</v>
      </c>
      <c r="K8" s="75">
        <v>-166.15</v>
      </c>
    </row>
    <row r="9" spans="1:11" x14ac:dyDescent="0.35">
      <c r="A9" s="74">
        <v>45209</v>
      </c>
      <c r="B9" s="76">
        <v>0</v>
      </c>
      <c r="C9" s="76">
        <v>51.58</v>
      </c>
      <c r="D9" s="76">
        <v>133.02000000000001</v>
      </c>
      <c r="E9" s="76">
        <v>1090.92</v>
      </c>
      <c r="F9" s="76">
        <v>176.73</v>
      </c>
      <c r="G9" s="75">
        <v>-40.479999999999997</v>
      </c>
      <c r="H9" s="76">
        <v>96.76</v>
      </c>
      <c r="I9" s="76">
        <v>520</v>
      </c>
      <c r="J9" s="76">
        <v>133.88999999999999</v>
      </c>
      <c r="K9" s="76">
        <v>-87.85</v>
      </c>
    </row>
    <row r="10" spans="1:11" x14ac:dyDescent="0.35">
      <c r="A10" s="74">
        <v>45240</v>
      </c>
      <c r="B10" s="76">
        <v>0</v>
      </c>
      <c r="C10" s="76">
        <v>51.43</v>
      </c>
      <c r="D10" s="76">
        <v>133.68</v>
      </c>
      <c r="E10" s="76">
        <v>1144.6099999999999</v>
      </c>
      <c r="F10" s="76">
        <v>191.5</v>
      </c>
      <c r="G10" s="75">
        <v>-40.98</v>
      </c>
      <c r="H10" s="76">
        <v>120</v>
      </c>
      <c r="I10" s="76">
        <v>540</v>
      </c>
      <c r="J10" s="76">
        <v>280.52999999999997</v>
      </c>
      <c r="K10" s="76">
        <v>-87.85</v>
      </c>
    </row>
    <row r="11" spans="1:11" x14ac:dyDescent="0.35">
      <c r="A11" s="74">
        <v>45270</v>
      </c>
      <c r="B11" s="76">
        <v>0</v>
      </c>
      <c r="C11" s="76">
        <v>59.54</v>
      </c>
      <c r="D11" s="76">
        <v>140.44999999999999</v>
      </c>
      <c r="E11" s="76">
        <v>1203.5</v>
      </c>
      <c r="F11" s="76">
        <v>213.53</v>
      </c>
      <c r="G11" s="75">
        <v>-39.630000000000003</v>
      </c>
      <c r="H11" s="76">
        <v>130</v>
      </c>
      <c r="I11" s="76">
        <v>626.99</v>
      </c>
      <c r="J11" s="76">
        <v>626.99</v>
      </c>
      <c r="K11" s="76">
        <v>-169.14</v>
      </c>
    </row>
    <row r="12" spans="1:11" x14ac:dyDescent="0.35">
      <c r="A12" s="74">
        <v>45301</v>
      </c>
      <c r="B12" s="76">
        <v>104.39</v>
      </c>
      <c r="C12" s="76">
        <v>67.239999999999995</v>
      </c>
      <c r="D12" s="76">
        <v>151.65</v>
      </c>
      <c r="E12" s="76">
        <v>1104.3399999999999</v>
      </c>
      <c r="F12" s="76">
        <v>208.52</v>
      </c>
      <c r="G12" s="75">
        <v>-47.58</v>
      </c>
      <c r="H12" s="76">
        <v>150</v>
      </c>
      <c r="I12" s="76">
        <v>620</v>
      </c>
      <c r="J12" s="76">
        <v>340</v>
      </c>
      <c r="K12" s="76">
        <v>3.28</v>
      </c>
    </row>
    <row r="13" spans="1:11" x14ac:dyDescent="0.35">
      <c r="A13" s="74">
        <v>45332</v>
      </c>
      <c r="B13" s="76">
        <v>93.21</v>
      </c>
      <c r="C13" s="76">
        <v>66.900000000000006</v>
      </c>
      <c r="D13" s="76">
        <v>156.06</v>
      </c>
      <c r="E13" s="76">
        <v>1019.35</v>
      </c>
      <c r="F13" s="76">
        <v>254</v>
      </c>
      <c r="G13" s="75">
        <v>-46.73</v>
      </c>
      <c r="H13" s="76">
        <v>150</v>
      </c>
      <c r="I13" s="76">
        <v>560</v>
      </c>
      <c r="J13" s="76">
        <v>340</v>
      </c>
      <c r="K13" s="76">
        <v>-169.14</v>
      </c>
    </row>
    <row r="14" spans="1:11" x14ac:dyDescent="0.35">
      <c r="A14" s="74">
        <v>45361</v>
      </c>
      <c r="B14" s="76">
        <v>91.11</v>
      </c>
      <c r="C14" s="76">
        <v>66.67</v>
      </c>
      <c r="D14" s="76">
        <v>163.21</v>
      </c>
      <c r="E14" s="76">
        <v>1018.33</v>
      </c>
      <c r="F14" s="76">
        <v>188.25</v>
      </c>
      <c r="G14" s="76">
        <v>-46.73</v>
      </c>
      <c r="H14" s="76">
        <v>149.30000000000001</v>
      </c>
      <c r="I14" s="76">
        <v>560</v>
      </c>
      <c r="J14" s="76">
        <v>340</v>
      </c>
      <c r="K14" s="76">
        <v>-169.14</v>
      </c>
    </row>
    <row r="15" spans="1:11" x14ac:dyDescent="0.35">
      <c r="A15" s="74">
        <v>45392</v>
      </c>
      <c r="B15" s="76">
        <v>86.37</v>
      </c>
      <c r="C15" s="76">
        <v>77.12</v>
      </c>
      <c r="D15" s="76">
        <v>158.32</v>
      </c>
      <c r="E15" s="76">
        <v>1304.8</v>
      </c>
      <c r="F15" s="76">
        <v>187.8</v>
      </c>
      <c r="G15" s="76">
        <v>-12.43</v>
      </c>
      <c r="H15" s="76">
        <v>157.38</v>
      </c>
      <c r="I15" s="76">
        <v>560</v>
      </c>
      <c r="J15" s="76">
        <v>340</v>
      </c>
      <c r="K15" s="76">
        <v>-169.14</v>
      </c>
    </row>
    <row r="16" spans="1:11" x14ac:dyDescent="0.35">
      <c r="A16" s="74">
        <v>45422</v>
      </c>
      <c r="B16" s="77">
        <v>93.08</v>
      </c>
      <c r="C16" s="77">
        <v>81.42</v>
      </c>
      <c r="D16" s="77">
        <v>169.85</v>
      </c>
      <c r="E16" s="77">
        <v>1293.8</v>
      </c>
      <c r="F16" s="77">
        <v>187.66</v>
      </c>
      <c r="G16" s="77">
        <v>-25.66</v>
      </c>
      <c r="H16" s="77">
        <v>210</v>
      </c>
      <c r="I16" s="77">
        <v>600</v>
      </c>
      <c r="J16" s="77">
        <v>346.65</v>
      </c>
      <c r="K16" s="77">
        <v>-169.14</v>
      </c>
    </row>
    <row r="17" spans="1:11" x14ac:dyDescent="0.35">
      <c r="A17" s="74">
        <v>45453</v>
      </c>
      <c r="B17" s="77">
        <v>115.15</v>
      </c>
      <c r="C17" s="77">
        <v>92.09</v>
      </c>
      <c r="D17" s="77">
        <v>175.19</v>
      </c>
      <c r="E17" s="77">
        <v>1374.96</v>
      </c>
      <c r="F17" s="77">
        <v>184.52</v>
      </c>
      <c r="G17" s="77">
        <v>-32.61</v>
      </c>
      <c r="H17" s="77">
        <v>210</v>
      </c>
      <c r="I17" s="77">
        <v>600</v>
      </c>
      <c r="J17" s="77">
        <v>344.99</v>
      </c>
      <c r="K17" s="77">
        <v>-169.14</v>
      </c>
    </row>
    <row r="18" spans="1:11" x14ac:dyDescent="0.35">
      <c r="A18" s="74">
        <v>45483</v>
      </c>
      <c r="B18" s="77">
        <v>103.34</v>
      </c>
      <c r="C18" s="77">
        <v>89.65</v>
      </c>
      <c r="D18" s="77">
        <v>170.88</v>
      </c>
      <c r="E18" s="77">
        <v>1145.1400000000001</v>
      </c>
      <c r="F18" s="77">
        <v>183.13</v>
      </c>
      <c r="G18" s="77">
        <v>-33.75</v>
      </c>
      <c r="H18" s="77">
        <v>236.93</v>
      </c>
      <c r="I18" s="77">
        <v>640</v>
      </c>
      <c r="J18" s="77">
        <v>220</v>
      </c>
      <c r="K18" s="77">
        <v>-169.14</v>
      </c>
    </row>
    <row r="19" spans="1:11" x14ac:dyDescent="0.35">
      <c r="A19" s="74">
        <v>45514</v>
      </c>
      <c r="B19" s="76">
        <v>106.45</v>
      </c>
      <c r="C19" s="76">
        <v>88.81</v>
      </c>
      <c r="D19" s="76">
        <v>160.58000000000001</v>
      </c>
      <c r="E19" s="76">
        <v>1217.0999999999999</v>
      </c>
      <c r="F19" s="76">
        <v>182.7</v>
      </c>
      <c r="G19" s="76">
        <v>-36.24</v>
      </c>
      <c r="H19" s="76">
        <v>253.24</v>
      </c>
      <c r="I19" s="76">
        <v>680</v>
      </c>
      <c r="J19" s="76">
        <v>200</v>
      </c>
      <c r="K19" s="76">
        <v>-169.14</v>
      </c>
    </row>
    <row r="20" spans="1:11" ht="15.5" x14ac:dyDescent="0.45">
      <c r="A20" s="78" t="s">
        <v>19</v>
      </c>
      <c r="B20" s="79">
        <f>+'[4]Commodity Revenue'!AA20</f>
        <v>28.078553697755954</v>
      </c>
      <c r="C20" s="79">
        <f>+'[4]Commodity Revenue'!AB20</f>
        <v>50.07002628060097</v>
      </c>
      <c r="D20" s="79">
        <f>+'[4]Commodity Revenue'!AC20</f>
        <v>129.00266096510651</v>
      </c>
      <c r="E20" s="79">
        <f>+'[4]Commodity Revenue'!AD20</f>
        <v>1240.3107223300706</v>
      </c>
      <c r="F20" s="79">
        <f>+'[4]Commodity Revenue'!AE20</f>
        <v>193.17427356336626</v>
      </c>
      <c r="G20" s="79">
        <f>+'[4]Commodity Revenue'!AF20</f>
        <v>-35.489653400134877</v>
      </c>
      <c r="H20" s="79">
        <f>+'[4]Commodity Revenue'!AG20</f>
        <v>120.2941311462241</v>
      </c>
      <c r="I20" s="79">
        <f>+'[4]Commodity Revenue'!AH20</f>
        <v>659.97138092865555</v>
      </c>
      <c r="J20" s="79">
        <f>+'[4]Commodity Revenue'!AI20</f>
        <v>183.76517314507802</v>
      </c>
      <c r="K20" s="79">
        <f>+'[4]Commodity Revenue'!AJ20</f>
        <v>-148.53775845325015</v>
      </c>
    </row>
  </sheetData>
  <mergeCells count="1">
    <mergeCell ref="B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0A2EC-82FD-4136-A872-3604644FAD29}">
  <dimension ref="A1:AE44"/>
  <sheetViews>
    <sheetView topLeftCell="A13" workbookViewId="0">
      <selection activeCell="A44" sqref="A44"/>
    </sheetView>
  </sheetViews>
  <sheetFormatPr defaultRowHeight="14.5" x14ac:dyDescent="0.35"/>
  <cols>
    <col min="1" max="1" width="12.7265625" customWidth="1"/>
    <col min="2" max="2" width="12.08984375" bestFit="1" customWidth="1"/>
    <col min="3" max="3" width="8.26953125" bestFit="1" customWidth="1"/>
    <col min="4" max="4" width="10.453125" bestFit="1" customWidth="1"/>
    <col min="5" max="5" width="8.26953125" bestFit="1" customWidth="1"/>
    <col min="6" max="6" width="10.08984375" bestFit="1" customWidth="1"/>
    <col min="7" max="7" width="9.1796875" bestFit="1" customWidth="1"/>
    <col min="8" max="8" width="10.453125" bestFit="1" customWidth="1"/>
    <col min="9" max="9" width="8.26953125" bestFit="1" customWidth="1"/>
    <col min="10" max="10" width="10.453125" bestFit="1" customWidth="1"/>
    <col min="11" max="11" width="8.26953125" bestFit="1" customWidth="1"/>
    <col min="12" max="12" width="10.453125" bestFit="1" customWidth="1"/>
    <col min="13" max="13" width="8.26953125" bestFit="1" customWidth="1"/>
    <col min="14" max="14" width="10.1796875" bestFit="1" customWidth="1"/>
    <col min="15" max="15" width="8.26953125" bestFit="1" customWidth="1"/>
    <col min="16" max="16" width="11" bestFit="1" customWidth="1"/>
    <col min="17" max="17" width="9.1796875" bestFit="1" customWidth="1"/>
    <col min="18" max="18" width="10.7265625" bestFit="1" customWidth="1"/>
    <col min="19" max="19" width="8.26953125" bestFit="1" customWidth="1"/>
    <col min="20" max="20" width="10.453125" bestFit="1" customWidth="1"/>
    <col min="21" max="21" width="8.26953125" bestFit="1" customWidth="1"/>
    <col min="22" max="22" width="10.453125" bestFit="1" customWidth="1"/>
    <col min="23" max="23" width="8.26953125" bestFit="1" customWidth="1"/>
    <col min="24" max="24" width="10.453125" bestFit="1" customWidth="1"/>
    <col min="25" max="25" width="8.26953125" bestFit="1" customWidth="1"/>
    <col min="26" max="26" width="11.453125" bestFit="1" customWidth="1"/>
    <col min="27" max="27" width="7.26953125" bestFit="1" customWidth="1"/>
    <col min="28" max="28" width="9.26953125" bestFit="1" customWidth="1"/>
    <col min="29" max="29" width="9.453125" bestFit="1" customWidth="1"/>
    <col min="30" max="30" width="9.26953125" bestFit="1" customWidth="1"/>
    <col min="31" max="31" width="7.26953125" bestFit="1" customWidth="1"/>
    <col min="32" max="32" width="9.54296875" bestFit="1" customWidth="1"/>
    <col min="33" max="33" width="7.26953125" bestFit="1" customWidth="1"/>
    <col min="34" max="34" width="9.54296875" bestFit="1" customWidth="1"/>
    <col min="35" max="35" width="7.26953125" bestFit="1" customWidth="1"/>
    <col min="36" max="36" width="11.26953125" bestFit="1" customWidth="1"/>
    <col min="37" max="37" width="7.26953125" bestFit="1" customWidth="1"/>
  </cols>
  <sheetData>
    <row r="1" spans="1:31" ht="21" x14ac:dyDescent="0.5">
      <c r="A1" s="32" t="s">
        <v>42</v>
      </c>
    </row>
    <row r="2" spans="1:31" x14ac:dyDescent="0.35">
      <c r="A2" s="34" t="s">
        <v>57</v>
      </c>
    </row>
    <row r="4" spans="1:31" x14ac:dyDescent="0.35">
      <c r="Z4" s="41"/>
    </row>
    <row r="5" spans="1:31" x14ac:dyDescent="0.35">
      <c r="A5" s="80" t="s">
        <v>58</v>
      </c>
      <c r="L5" s="81"/>
      <c r="M5" s="81"/>
      <c r="AC5" s="35" t="s">
        <v>59</v>
      </c>
    </row>
    <row r="6" spans="1:31" x14ac:dyDescent="0.35">
      <c r="A6" s="82"/>
      <c r="B6" s="83">
        <v>45174</v>
      </c>
      <c r="C6" s="84"/>
      <c r="D6" s="83">
        <v>45204</v>
      </c>
      <c r="E6" s="84"/>
      <c r="F6" s="83">
        <v>45235</v>
      </c>
      <c r="G6" s="84"/>
      <c r="H6" s="83">
        <v>45265</v>
      </c>
      <c r="I6" s="84"/>
      <c r="J6" s="83">
        <v>45296</v>
      </c>
      <c r="K6" s="84"/>
      <c r="L6" s="83">
        <v>45327</v>
      </c>
      <c r="M6" s="84"/>
      <c r="N6" s="83">
        <v>45362</v>
      </c>
      <c r="O6" s="84"/>
      <c r="P6" s="83">
        <v>45393</v>
      </c>
      <c r="Q6" s="84"/>
      <c r="R6" s="83">
        <v>45417</v>
      </c>
      <c r="S6" s="84"/>
      <c r="T6" s="83">
        <v>45448</v>
      </c>
      <c r="U6" s="84"/>
      <c r="V6" s="83">
        <v>45478</v>
      </c>
      <c r="W6" s="84"/>
      <c r="X6" s="83">
        <v>45509</v>
      </c>
      <c r="Y6" s="84"/>
      <c r="Z6" s="83" t="s">
        <v>60</v>
      </c>
      <c r="AA6" s="84"/>
      <c r="AC6" s="35" t="s">
        <v>61</v>
      </c>
    </row>
    <row r="7" spans="1:31" x14ac:dyDescent="0.35">
      <c r="A7" s="85"/>
      <c r="B7" s="86" t="s">
        <v>62</v>
      </c>
      <c r="C7" s="87"/>
      <c r="D7" s="86" t="s">
        <v>62</v>
      </c>
      <c r="E7" s="87"/>
      <c r="F7" s="86" t="s">
        <v>62</v>
      </c>
      <c r="G7" s="87"/>
      <c r="H7" s="86" t="s">
        <v>62</v>
      </c>
      <c r="I7" s="87"/>
      <c r="J7" s="86" t="s">
        <v>62</v>
      </c>
      <c r="K7" s="87"/>
      <c r="L7" s="86" t="s">
        <v>62</v>
      </c>
      <c r="M7" s="87"/>
      <c r="N7" s="86" t="s">
        <v>62</v>
      </c>
      <c r="O7" s="87"/>
      <c r="P7" s="86" t="s">
        <v>62</v>
      </c>
      <c r="Q7" s="87"/>
      <c r="R7" s="86" t="s">
        <v>62</v>
      </c>
      <c r="S7" s="87"/>
      <c r="T7" s="86" t="s">
        <v>62</v>
      </c>
      <c r="U7" s="87"/>
      <c r="V7" s="86" t="s">
        <v>62</v>
      </c>
      <c r="W7" s="87"/>
      <c r="X7" s="86" t="s">
        <v>62</v>
      </c>
      <c r="Y7" s="87"/>
      <c r="Z7" s="86" t="s">
        <v>62</v>
      </c>
      <c r="AA7" s="87"/>
      <c r="AC7" s="37" t="s">
        <v>63</v>
      </c>
    </row>
    <row r="8" spans="1:31" s="95" customFormat="1" x14ac:dyDescent="0.35">
      <c r="A8" s="88" t="s">
        <v>64</v>
      </c>
      <c r="B8" s="91">
        <v>0</v>
      </c>
      <c r="C8" s="90">
        <f>+B8/B$19</f>
        <v>0</v>
      </c>
      <c r="D8" s="89"/>
      <c r="E8" s="90">
        <f>+D8/D$19</f>
        <v>0</v>
      </c>
      <c r="F8" s="89">
        <f>[5]Composition!V6</f>
        <v>0</v>
      </c>
      <c r="G8" s="90">
        <f>+F8/F$19</f>
        <v>0</v>
      </c>
      <c r="H8" s="89">
        <f>[5]Composition!X6</f>
        <v>0</v>
      </c>
      <c r="I8" s="90">
        <f>+H8/H$19</f>
        <v>0</v>
      </c>
      <c r="J8" s="89">
        <f>[6]Composition!B6</f>
        <v>127.65897038718192</v>
      </c>
      <c r="K8" s="90">
        <f>+J8/J$19</f>
        <v>1.7474149300355197E-2</v>
      </c>
      <c r="L8" s="89">
        <f>[7]Composition!D6</f>
        <v>296.33</v>
      </c>
      <c r="M8" s="90">
        <f>L8/L$19</f>
        <v>2.9971298029376786E-2</v>
      </c>
      <c r="N8" s="89">
        <f>[8]Composition!$F$6</f>
        <v>819.9</v>
      </c>
      <c r="O8" s="92">
        <f>N8/N$19</f>
        <v>8.8633463656631425E-2</v>
      </c>
      <c r="P8" s="89">
        <f>[9]Composition!$H$6</f>
        <v>1714.72</v>
      </c>
      <c r="Q8" s="92">
        <f>P8/P$19</f>
        <v>0.16923237870028049</v>
      </c>
      <c r="R8" s="89">
        <v>1672.05</v>
      </c>
      <c r="S8" s="90">
        <f t="shared" ref="S8:S18" si="0">+R8/R$19</f>
        <v>0.16315993879733642</v>
      </c>
      <c r="T8" s="89">
        <v>559.96</v>
      </c>
      <c r="U8" s="90">
        <f t="shared" ref="U8:U18" si="1">+T8/T$19</f>
        <v>6.5052022100679854E-2</v>
      </c>
      <c r="V8" s="89">
        <v>1387.52</v>
      </c>
      <c r="W8" s="90">
        <f>+V8/V$19</f>
        <v>0.16125089376740864</v>
      </c>
      <c r="X8" s="89">
        <v>888.02</v>
      </c>
      <c r="Y8" s="90">
        <f>+X8/X$19</f>
        <v>8.5918921842439475E-2</v>
      </c>
      <c r="Z8" s="93">
        <f>B8+D8+F8+H8+J8+L8+N8+P8+R8+T8+V8+X8</f>
        <v>7466.1589703871832</v>
      </c>
      <c r="AA8" s="94">
        <f t="shared" ref="AA8:AA18" si="2">+Z8/$Z$19</f>
        <v>7.2058735927006373E-2</v>
      </c>
      <c r="AC8" s="96">
        <f t="shared" ref="AC8:AC17" si="3">+Z8/($Z$19-$Z$18)</f>
        <v>8.839515321518443E-2</v>
      </c>
    </row>
    <row r="9" spans="1:31" s="95" customFormat="1" x14ac:dyDescent="0.35">
      <c r="A9" s="88" t="s">
        <v>65</v>
      </c>
      <c r="B9" s="91">
        <v>1043.4935244566705</v>
      </c>
      <c r="C9" s="90">
        <f>+B9/B$19</f>
        <v>0.15584718434688208</v>
      </c>
      <c r="D9" s="89">
        <v>1063.6120166574692</v>
      </c>
      <c r="E9" s="90">
        <f>+D9/D$19</f>
        <v>0.15662451429535507</v>
      </c>
      <c r="F9" s="89">
        <f>[5]Composition!V7</f>
        <v>1803.2334966220142</v>
      </c>
      <c r="G9" s="90">
        <f>+F9/F$19</f>
        <v>0.25890114022670857</v>
      </c>
      <c r="H9" s="89">
        <f>[5]Composition!X7</f>
        <v>1997.5333716396417</v>
      </c>
      <c r="I9" s="90">
        <f>+H9/H$19</f>
        <v>0.22727342118888375</v>
      </c>
      <c r="J9" s="89">
        <f>[6]Composition!B7</f>
        <v>2270.9588914147898</v>
      </c>
      <c r="K9" s="90">
        <f>+J9/J$19</f>
        <v>0.3108522229436349</v>
      </c>
      <c r="L9" s="89">
        <f>[7]Composition!D7</f>
        <v>3340.49</v>
      </c>
      <c r="M9" s="90">
        <f>L9/L$19</f>
        <v>0.33786259020063059</v>
      </c>
      <c r="N9" s="89">
        <f>[8]Composition!$F$7</f>
        <v>2319.38</v>
      </c>
      <c r="O9" s="92">
        <f>N9/N$19</f>
        <v>0.25073140984988146</v>
      </c>
      <c r="P9" s="89">
        <f>[9]Composition!$H$7</f>
        <v>1560.01</v>
      </c>
      <c r="Q9" s="92">
        <f>P9/P$19</f>
        <v>0.15396344773270537</v>
      </c>
      <c r="R9" s="89">
        <v>1606</v>
      </c>
      <c r="S9" s="90">
        <f t="shared" si="0"/>
        <v>0.15671472845221274</v>
      </c>
      <c r="T9" s="89">
        <v>1841.43</v>
      </c>
      <c r="U9" s="90">
        <f t="shared" si="1"/>
        <v>0.21392375358392546</v>
      </c>
      <c r="V9" s="89">
        <v>1033.9099999999999</v>
      </c>
      <c r="W9" s="90">
        <f>+V9/V$19</f>
        <v>0.12015604212916675</v>
      </c>
      <c r="X9" s="89">
        <v>2492.2999999999997</v>
      </c>
      <c r="Y9" s="90">
        <f>+X9/X$19</f>
        <v>0.24113840781504006</v>
      </c>
      <c r="Z9" s="93">
        <f t="shared" ref="Z9:Z18" si="4">B9+D9+F9+H9+J9+L9+N9+P9+R9+T9+V9+X9</f>
        <v>22372.351300790586</v>
      </c>
      <c r="AA9" s="94">
        <f t="shared" si="2"/>
        <v>0.21592405959262398</v>
      </c>
      <c r="AC9" s="96">
        <f t="shared" si="3"/>
        <v>0.26487614700692058</v>
      </c>
      <c r="AE9" s="95">
        <f>+Z9/10</f>
        <v>2237.2351300790588</v>
      </c>
    </row>
    <row r="10" spans="1:31" s="95" customFormat="1" x14ac:dyDescent="0.35">
      <c r="A10" s="88" t="s">
        <v>50</v>
      </c>
      <c r="B10" s="91">
        <v>2593.1562520169673</v>
      </c>
      <c r="C10" s="90">
        <f>+B10/B$19</f>
        <v>0.38729143111720316</v>
      </c>
      <c r="D10" s="89">
        <v>2693.5900192018162</v>
      </c>
      <c r="E10" s="90">
        <f>+D10/D$19</f>
        <v>0.3966504908379252</v>
      </c>
      <c r="F10" s="89">
        <f>[5]Composition!V8</f>
        <v>1872.3141222985232</v>
      </c>
      <c r="G10" s="90">
        <f>+F10/F$19</f>
        <v>0.26881946349916697</v>
      </c>
      <c r="H10" s="89">
        <f>[5]Composition!X8</f>
        <v>2488.4380760602344</v>
      </c>
      <c r="I10" s="90">
        <f>+H10/H$19</f>
        <v>0.28312710215132286</v>
      </c>
      <c r="J10" s="89">
        <f>[6]Composition!B8</f>
        <v>1989.3248116547325</v>
      </c>
      <c r="K10" s="90">
        <f>+J10/J$19</f>
        <v>0.27230173218791809</v>
      </c>
      <c r="L10" s="89">
        <f>[7]Composition!D8</f>
        <v>1999.8300000000002</v>
      </c>
      <c r="M10" s="90">
        <f>L10/L$19</f>
        <v>0.20226605790196261</v>
      </c>
      <c r="N10" s="89">
        <f>[8]Composition!$F$8</f>
        <v>2050.4450000000002</v>
      </c>
      <c r="O10" s="92">
        <f>N10/N$19</f>
        <v>0.22165879056887627</v>
      </c>
      <c r="P10" s="89">
        <f>[9]Composition!$H$8</f>
        <v>2346.75</v>
      </c>
      <c r="Q10" s="92">
        <f>P10/P$19</f>
        <v>0.23160987491537</v>
      </c>
      <c r="R10" s="89">
        <v>2275.81</v>
      </c>
      <c r="S10" s="90">
        <f t="shared" si="0"/>
        <v>0.22207530894074115</v>
      </c>
      <c r="T10" s="89">
        <v>2489.25</v>
      </c>
      <c r="U10" s="90">
        <f t="shared" si="1"/>
        <v>0.28918270236109245</v>
      </c>
      <c r="V10" s="89">
        <v>2272.9100000000003</v>
      </c>
      <c r="W10" s="90">
        <f>+V10/V$19</f>
        <v>0.2641466565908101</v>
      </c>
      <c r="X10" s="89">
        <v>2140.6120000000001</v>
      </c>
      <c r="Y10" s="90">
        <f>+X10/X$19</f>
        <v>0.20711141091753346</v>
      </c>
      <c r="Z10" s="93">
        <f t="shared" si="4"/>
        <v>27212.430281232279</v>
      </c>
      <c r="AA10" s="94">
        <f t="shared" si="2"/>
        <v>0.26263750013157028</v>
      </c>
      <c r="AC10" s="96">
        <f t="shared" si="3"/>
        <v>0.32217997950588895</v>
      </c>
      <c r="AE10" s="95">
        <f t="shared" ref="AE10:AE18" si="5">+Z10/10</f>
        <v>2721.2430281232278</v>
      </c>
    </row>
    <row r="11" spans="1:31" s="95" customFormat="1" x14ac:dyDescent="0.35">
      <c r="A11" s="88" t="s">
        <v>66</v>
      </c>
      <c r="B11" s="91">
        <v>130.90745923653242</v>
      </c>
      <c r="C11" s="90">
        <f>+B11/B$19</f>
        <v>1.9551207989182844E-2</v>
      </c>
      <c r="D11" s="97">
        <v>127.98387578340618</v>
      </c>
      <c r="E11" s="90">
        <f>+D11/D$19</f>
        <v>1.8846545608997733E-2</v>
      </c>
      <c r="F11" s="89">
        <f>[5]Composition!V9</f>
        <v>58.768153470290088</v>
      </c>
      <c r="G11" s="90">
        <f>+F11/F$19</f>
        <v>8.4376992613428778E-3</v>
      </c>
      <c r="H11" s="89">
        <f>[5]Composition!X9</f>
        <v>101.66489955057499</v>
      </c>
      <c r="I11" s="90">
        <f>+H11/H$19</f>
        <v>1.1567130674126078E-2</v>
      </c>
      <c r="J11" s="89">
        <f>[6]Composition!B9</f>
        <v>102.23430282561857</v>
      </c>
      <c r="K11" s="90">
        <f>+J11/J$19</f>
        <v>1.3993983076742407E-2</v>
      </c>
      <c r="L11" s="89">
        <f>[7]Composition!D9</f>
        <v>163.2235</v>
      </c>
      <c r="M11" s="90">
        <f>L11/L$19</f>
        <v>1.6508690189646617E-2</v>
      </c>
      <c r="N11" s="89">
        <f>[8]Composition!$F$9</f>
        <v>164.964</v>
      </c>
      <c r="O11" s="92">
        <f>N11/N$19</f>
        <v>1.7833065860047015E-2</v>
      </c>
      <c r="P11" s="89">
        <f>[9]Composition!$H$9</f>
        <v>192.3</v>
      </c>
      <c r="Q11" s="92">
        <f>P11/P$19</f>
        <v>1.8978834109396252E-2</v>
      </c>
      <c r="R11" s="89">
        <v>187.55</v>
      </c>
      <c r="S11" s="90">
        <f t="shared" si="0"/>
        <v>1.8301274795275529E-2</v>
      </c>
      <c r="T11" s="89">
        <v>151.91999999999999</v>
      </c>
      <c r="U11" s="90">
        <f t="shared" si="1"/>
        <v>1.7648944920235877E-2</v>
      </c>
      <c r="V11" s="89">
        <v>146.774</v>
      </c>
      <c r="W11" s="90">
        <f>+V11/V$19</f>
        <v>1.7057367592407776E-2</v>
      </c>
      <c r="X11" s="89">
        <v>156.291</v>
      </c>
      <c r="Y11" s="90">
        <f>+X11/X$19</f>
        <v>1.5121679932520336E-2</v>
      </c>
      <c r="Z11" s="93">
        <f t="shared" si="4"/>
        <v>1684.581190866422</v>
      </c>
      <c r="AA11" s="94">
        <f t="shared" si="2"/>
        <v>1.6258532889763849E-2</v>
      </c>
      <c r="AC11" s="96">
        <f t="shared" si="3"/>
        <v>1.9944500654308066E-2</v>
      </c>
      <c r="AE11" s="95">
        <f t="shared" si="5"/>
        <v>168.4581190866422</v>
      </c>
    </row>
    <row r="12" spans="1:31" s="95" customFormat="1" x14ac:dyDescent="0.35">
      <c r="A12" s="88" t="s">
        <v>67</v>
      </c>
      <c r="B12" s="91">
        <v>69.073497608829939</v>
      </c>
      <c r="C12" s="90">
        <f t="shared" ref="C12:C18" si="6">+B12/B$19</f>
        <v>1.031622129225224E-2</v>
      </c>
      <c r="D12" s="97">
        <v>116.85458768057001</v>
      </c>
      <c r="E12" s="90">
        <f t="shared" ref="E12:E18" si="7">+D12/D$19</f>
        <v>1.7207677942724316E-2</v>
      </c>
      <c r="F12" s="89">
        <f>[5]Composition!V19</f>
        <v>104.63028155714703</v>
      </c>
      <c r="G12" s="90">
        <f t="shared" ref="G12:G18" si="8">+F12/F$19</f>
        <v>1.5022402394438871E-2</v>
      </c>
      <c r="H12" s="89">
        <f>[5]Composition!X19</f>
        <v>36.643509553036083</v>
      </c>
      <c r="I12" s="90">
        <f t="shared" ref="I12:I18" si="9">+H12/H$19</f>
        <v>4.1691898111569856E-3</v>
      </c>
      <c r="J12" s="89">
        <f>[6]Composition!B19</f>
        <v>21.690537112495125</v>
      </c>
      <c r="K12" s="90">
        <f t="shared" ref="K12:K18" si="10">+J12/J$19</f>
        <v>2.9690329066502669E-3</v>
      </c>
      <c r="L12" s="89">
        <f>[7]Composition!$D$19</f>
        <v>158.19000000000003</v>
      </c>
      <c r="M12" s="90">
        <f t="shared" ref="M12:Q18" si="11">L12/L$19</f>
        <v>1.5999593815230029E-2</v>
      </c>
      <c r="N12" s="89">
        <f>[8]Composition!$F$19</f>
        <v>139.94</v>
      </c>
      <c r="O12" s="92">
        <f t="shared" si="11"/>
        <v>1.5127902066238569E-2</v>
      </c>
      <c r="P12" s="89">
        <f>[9]Composition!$H$19</f>
        <v>193.47</v>
      </c>
      <c r="Q12" s="92">
        <f t="shared" si="11"/>
        <v>1.909430595499164E-2</v>
      </c>
      <c r="R12" s="89">
        <v>161.9</v>
      </c>
      <c r="S12" s="90">
        <f t="shared" si="0"/>
        <v>1.579832785579903E-2</v>
      </c>
      <c r="T12" s="89">
        <v>122.42</v>
      </c>
      <c r="U12" s="90">
        <f t="shared" si="1"/>
        <v>1.4221852535118986E-2</v>
      </c>
      <c r="V12" s="89">
        <v>130.37</v>
      </c>
      <c r="W12" s="90">
        <f t="shared" ref="W12:W18" si="12">+V12/V$19</f>
        <v>1.5150973694402291E-2</v>
      </c>
      <c r="X12" s="89">
        <v>149.63</v>
      </c>
      <c r="Y12" s="90">
        <f t="shared" ref="Y12:Y18" si="13">+X12/X$19</f>
        <v>1.4477205778343076E-2</v>
      </c>
      <c r="Z12" s="93">
        <f t="shared" si="4"/>
        <v>1404.8124135120784</v>
      </c>
      <c r="AA12" s="94">
        <f t="shared" si="2"/>
        <v>1.3558378161213696E-2</v>
      </c>
      <c r="AC12" s="96">
        <f t="shared" si="3"/>
        <v>1.6632194549234664E-2</v>
      </c>
      <c r="AE12" s="95">
        <f t="shared" si="5"/>
        <v>140.48124135120784</v>
      </c>
    </row>
    <row r="13" spans="1:31" s="95" customFormat="1" x14ac:dyDescent="0.35">
      <c r="A13" s="88" t="s">
        <v>53</v>
      </c>
      <c r="B13" s="91">
        <v>1177.1913622952509</v>
      </c>
      <c r="C13" s="90">
        <f t="shared" si="6"/>
        <v>0.1758151391947648</v>
      </c>
      <c r="D13" s="97">
        <v>1168.556849434018</v>
      </c>
      <c r="E13" s="90">
        <f t="shared" si="7"/>
        <v>0.17207839522563009</v>
      </c>
      <c r="F13" s="89">
        <f>[5]Composition!V10</f>
        <v>1832.6070095369178</v>
      </c>
      <c r="G13" s="90">
        <f t="shared" si="8"/>
        <v>0.26311847314581116</v>
      </c>
      <c r="H13" s="89">
        <f>[5]Composition!X10</f>
        <v>2529.6700381910337</v>
      </c>
      <c r="I13" s="90">
        <f t="shared" si="9"/>
        <v>0.28781835248478049</v>
      </c>
      <c r="J13" s="89">
        <f>[6]Composition!B10</f>
        <v>1659.6676762938514</v>
      </c>
      <c r="K13" s="90">
        <f t="shared" si="10"/>
        <v>0.22717777431991823</v>
      </c>
      <c r="L13" s="89">
        <f>[7]Composition!D10</f>
        <v>2306.9699999999998</v>
      </c>
      <c r="M13" s="90">
        <f t="shared" si="11"/>
        <v>0.23333069690828254</v>
      </c>
      <c r="N13" s="89">
        <f>[8]Composition!$F$10</f>
        <v>1481.9550000000002</v>
      </c>
      <c r="O13" s="92">
        <f t="shared" si="11"/>
        <v>0.1602034450948448</v>
      </c>
      <c r="P13" s="89">
        <f>[9]Composition!$H$10</f>
        <v>1601.49</v>
      </c>
      <c r="Q13" s="92">
        <f t="shared" si="11"/>
        <v>0.15805727008765991</v>
      </c>
      <c r="R13" s="89">
        <v>1544.3</v>
      </c>
      <c r="S13" s="90">
        <f t="shared" si="0"/>
        <v>0.15069399448863768</v>
      </c>
      <c r="T13" s="89">
        <v>1354.6</v>
      </c>
      <c r="U13" s="90">
        <f t="shared" si="1"/>
        <v>0.15736743541963874</v>
      </c>
      <c r="V13" s="89">
        <v>1386.51</v>
      </c>
      <c r="W13" s="90">
        <f t="shared" si="12"/>
        <v>0.16113351643035759</v>
      </c>
      <c r="X13" s="89">
        <v>1630.5649999999998</v>
      </c>
      <c r="Y13" s="90">
        <f t="shared" si="13"/>
        <v>0.15776264813181834</v>
      </c>
      <c r="Z13" s="93">
        <f t="shared" si="4"/>
        <v>19674.082935751067</v>
      </c>
      <c r="AA13" s="94">
        <f t="shared" si="2"/>
        <v>0.1898820467788391</v>
      </c>
      <c r="AC13" s="96">
        <f t="shared" si="3"/>
        <v>0.23293015623852625</v>
      </c>
      <c r="AE13" s="95">
        <f t="shared" si="5"/>
        <v>1967.4082935751067</v>
      </c>
    </row>
    <row r="14" spans="1:31" s="95" customFormat="1" x14ac:dyDescent="0.35">
      <c r="A14" s="88" t="s">
        <v>54</v>
      </c>
      <c r="B14" s="91">
        <v>233.10088395687737</v>
      </c>
      <c r="C14" s="90">
        <f t="shared" si="6"/>
        <v>3.4813935670912836E-2</v>
      </c>
      <c r="D14" s="97">
        <v>219.82225968553189</v>
      </c>
      <c r="E14" s="90">
        <f t="shared" si="7"/>
        <v>3.2370407738296275E-2</v>
      </c>
      <c r="F14" s="89">
        <f>[5]Composition!V11</f>
        <v>160.89571153383318</v>
      </c>
      <c r="G14" s="90">
        <f t="shared" si="8"/>
        <v>2.3100770505722679E-2</v>
      </c>
      <c r="H14" s="89">
        <f>[5]Composition!X11</f>
        <v>115.67688981431989</v>
      </c>
      <c r="I14" s="90">
        <f t="shared" si="9"/>
        <v>1.3161373358688914E-2</v>
      </c>
      <c r="J14" s="89">
        <f>[6]Composition!B11</f>
        <v>211.95506106717576</v>
      </c>
      <c r="K14" s="90">
        <f t="shared" si="10"/>
        <v>2.9012723280005551E-2</v>
      </c>
      <c r="L14" s="89">
        <f>[7]Composition!D11</f>
        <v>314.61</v>
      </c>
      <c r="M14" s="90">
        <f t="shared" si="11"/>
        <v>3.1820166952459192E-2</v>
      </c>
      <c r="N14" s="89">
        <f>[8]Composition!$F$11</f>
        <v>337.18500000000006</v>
      </c>
      <c r="O14" s="92">
        <f t="shared" si="11"/>
        <v>3.645063354440941E-2</v>
      </c>
      <c r="P14" s="89">
        <f>[9]Composition!$H$11</f>
        <v>343.04</v>
      </c>
      <c r="Q14" s="92">
        <f t="shared" si="11"/>
        <v>3.3855950353028026E-2</v>
      </c>
      <c r="R14" s="89">
        <v>424.04</v>
      </c>
      <c r="S14" s="90">
        <f t="shared" si="0"/>
        <v>4.1378152834916748E-2</v>
      </c>
      <c r="T14" s="89">
        <v>272.08</v>
      </c>
      <c r="U14" s="90">
        <f t="shared" si="1"/>
        <v>3.1608247326867941E-2</v>
      </c>
      <c r="V14" s="89">
        <v>330.04</v>
      </c>
      <c r="W14" s="90">
        <f t="shared" si="12"/>
        <v>3.8355659723099886E-2</v>
      </c>
      <c r="X14" s="89">
        <v>372.03999999999996</v>
      </c>
      <c r="Y14" s="90">
        <f t="shared" si="13"/>
        <v>3.5996121351164589E-2</v>
      </c>
      <c r="Z14" s="93">
        <f t="shared" si="4"/>
        <v>3334.485806057738</v>
      </c>
      <c r="AA14" s="94">
        <f t="shared" si="2"/>
        <v>3.2182388977260827E-2</v>
      </c>
      <c r="AC14" s="96">
        <f t="shared" si="3"/>
        <v>3.9478450015516628E-2</v>
      </c>
      <c r="AE14" s="95">
        <f t="shared" si="5"/>
        <v>333.44858060577383</v>
      </c>
    </row>
    <row r="15" spans="1:31" s="95" customFormat="1" x14ac:dyDescent="0.35">
      <c r="A15" s="88" t="s">
        <v>68</v>
      </c>
      <c r="B15" s="91">
        <v>2.222618515275725</v>
      </c>
      <c r="C15" s="90">
        <f t="shared" si="6"/>
        <v>3.3195111360497241E-4</v>
      </c>
      <c r="D15" s="97">
        <v>7.151599943121381</v>
      </c>
      <c r="E15" s="90">
        <f t="shared" si="7"/>
        <v>1.0531244946312061E-3</v>
      </c>
      <c r="F15" s="89">
        <f>[5]Composition!V12</f>
        <v>4.8262753227492681</v>
      </c>
      <c r="G15" s="90">
        <f t="shared" si="8"/>
        <v>6.9293754050628754E-4</v>
      </c>
      <c r="H15" s="89">
        <f>[5]Composition!X12</f>
        <v>57.748796671371991</v>
      </c>
      <c r="I15" s="90">
        <f t="shared" si="9"/>
        <v>6.570486769024885E-3</v>
      </c>
      <c r="J15" s="89">
        <f>[6]Composition!B12</f>
        <v>31.038443685051622</v>
      </c>
      <c r="K15" s="90">
        <f t="shared" si="10"/>
        <v>4.2485882297051466E-3</v>
      </c>
      <c r="L15" s="89">
        <f>[7]Composition!D12</f>
        <v>54.39</v>
      </c>
      <c r="M15" s="90">
        <f t="shared" si="11"/>
        <v>5.5010930375520651E-3</v>
      </c>
      <c r="N15" s="89">
        <f>[8]Composition!$F$12</f>
        <v>48.17</v>
      </c>
      <c r="O15" s="92">
        <f t="shared" si="11"/>
        <v>5.2073105797535504E-3</v>
      </c>
      <c r="P15" s="89">
        <f>[9]Composition!$H$12</f>
        <v>50.92</v>
      </c>
      <c r="Q15" s="92">
        <f t="shared" si="11"/>
        <v>5.0254926305275975E-3</v>
      </c>
      <c r="R15" s="89">
        <v>56.12</v>
      </c>
      <c r="S15" s="90">
        <f t="shared" si="0"/>
        <v>5.4762332258643702E-3</v>
      </c>
      <c r="T15" s="89">
        <v>44.32</v>
      </c>
      <c r="U15" s="90">
        <f t="shared" si="1"/>
        <v>5.1487706613010413E-3</v>
      </c>
      <c r="V15" s="89">
        <v>41</v>
      </c>
      <c r="W15" s="90">
        <f t="shared" si="12"/>
        <v>4.7648225931617239E-3</v>
      </c>
      <c r="X15" s="89">
        <v>50.629999999999995</v>
      </c>
      <c r="Y15" s="90">
        <f t="shared" si="13"/>
        <v>4.8986227932734739E-3</v>
      </c>
      <c r="Z15" s="93">
        <f t="shared" si="4"/>
        <v>448.53773413757</v>
      </c>
      <c r="AA15" s="94">
        <f t="shared" si="2"/>
        <v>4.3290080301947855E-3</v>
      </c>
      <c r="AC15" s="96">
        <f t="shared" si="3"/>
        <v>5.3104363152645341E-3</v>
      </c>
      <c r="AE15" s="95">
        <f t="shared" si="5"/>
        <v>44.853773413756997</v>
      </c>
    </row>
    <row r="16" spans="1:31" s="95" customFormat="1" x14ac:dyDescent="0.35">
      <c r="A16" s="88" t="s">
        <v>69</v>
      </c>
      <c r="B16" s="91">
        <v>59.871856514588586</v>
      </c>
      <c r="C16" s="90">
        <f t="shared" si="6"/>
        <v>8.9419436160637251E-3</v>
      </c>
      <c r="D16" s="97">
        <v>38.599417389831245</v>
      </c>
      <c r="E16" s="90">
        <f t="shared" si="7"/>
        <v>5.6840416487255246E-3</v>
      </c>
      <c r="F16" s="89">
        <f>[5]Composition!V13</f>
        <v>27.981778750235076</v>
      </c>
      <c r="G16" s="90">
        <f t="shared" si="8"/>
        <v>4.0175132269772325E-3</v>
      </c>
      <c r="H16" s="89">
        <f>[5]Composition!X13</f>
        <v>12.10712844060062</v>
      </c>
      <c r="I16" s="90">
        <f t="shared" si="9"/>
        <v>1.3775131572444821E-3</v>
      </c>
      <c r="J16" s="89">
        <f>[6]Composition!B13</f>
        <v>22.788483339938335</v>
      </c>
      <c r="K16" s="90">
        <f t="shared" si="10"/>
        <v>3.1193214155103605E-3</v>
      </c>
      <c r="L16" s="89">
        <f>[7]Composition!D13</f>
        <v>68.62</v>
      </c>
      <c r="M16" s="90">
        <f t="shared" si="11"/>
        <v>6.9403383753782449E-3</v>
      </c>
      <c r="N16" s="89">
        <f>[8]Composition!$F$13</f>
        <v>79.28</v>
      </c>
      <c r="O16" s="92">
        <f t="shared" si="11"/>
        <v>8.5703878505887787E-3</v>
      </c>
      <c r="P16" s="89">
        <f>[9]Composition!$H$13</f>
        <v>85.07</v>
      </c>
      <c r="Q16" s="92">
        <f t="shared" si="11"/>
        <v>8.3958888075212623E-3</v>
      </c>
      <c r="R16" s="89">
        <v>117.24</v>
      </c>
      <c r="S16" s="90">
        <f t="shared" si="0"/>
        <v>1.1440370338566265E-2</v>
      </c>
      <c r="T16" s="89">
        <v>75.88</v>
      </c>
      <c r="U16" s="90">
        <f t="shared" si="1"/>
        <v>8.8151786502599951E-3</v>
      </c>
      <c r="V16" s="89">
        <v>72.77</v>
      </c>
      <c r="W16" s="90">
        <f t="shared" si="12"/>
        <v>8.4569790269360644E-3</v>
      </c>
      <c r="X16" s="89">
        <v>96.24</v>
      </c>
      <c r="Y16" s="90">
        <f t="shared" si="13"/>
        <v>9.3115437018494798E-3</v>
      </c>
      <c r="Z16" s="93">
        <f t="shared" si="4"/>
        <v>756.4486644351939</v>
      </c>
      <c r="AA16" s="94">
        <f t="shared" si="2"/>
        <v>7.3007733654036509E-3</v>
      </c>
      <c r="AC16" s="96">
        <f t="shared" si="3"/>
        <v>8.9559297970189088E-3</v>
      </c>
      <c r="AE16" s="95">
        <f t="shared" si="5"/>
        <v>75.64486644351939</v>
      </c>
    </row>
    <row r="17" spans="1:31" s="95" customFormat="1" x14ac:dyDescent="0.35">
      <c r="A17" s="88" t="s">
        <v>70</v>
      </c>
      <c r="B17" s="91">
        <v>20.965486426223983</v>
      </c>
      <c r="C17" s="90">
        <f t="shared" si="6"/>
        <v>3.1312240578503536E-3</v>
      </c>
      <c r="D17" s="97">
        <v>16.640316417024948</v>
      </c>
      <c r="E17" s="90">
        <f t="shared" si="7"/>
        <v>2.4504061967333857E-3</v>
      </c>
      <c r="F17" s="89">
        <f>[5]Composition!V14</f>
        <v>22.458835197864342</v>
      </c>
      <c r="G17" s="90">
        <f t="shared" si="8"/>
        <v>3.2245508148463866E-3</v>
      </c>
      <c r="H17" s="89">
        <f>[5]Composition!X14</f>
        <v>37.646774226293665</v>
      </c>
      <c r="I17" s="90">
        <f t="shared" si="9"/>
        <v>4.2833382894184703E-3</v>
      </c>
      <c r="J17" s="89">
        <f>[6]Composition!B14</f>
        <v>11.84212449212272</v>
      </c>
      <c r="K17" s="90">
        <f t="shared" si="10"/>
        <v>1.620967573067024E-3</v>
      </c>
      <c r="L17" s="89"/>
      <c r="M17" s="90">
        <f t="shared" si="11"/>
        <v>0</v>
      </c>
      <c r="N17" s="89">
        <f>[8]Composition!$F$14</f>
        <v>0</v>
      </c>
      <c r="O17" s="92">
        <f t="shared" si="11"/>
        <v>0</v>
      </c>
      <c r="P17" s="89">
        <f>[9]Composition!$H$14</f>
        <v>0</v>
      </c>
      <c r="Q17" s="92">
        <f t="shared" si="11"/>
        <v>0</v>
      </c>
      <c r="R17" s="89">
        <v>0</v>
      </c>
      <c r="S17" s="90">
        <f t="shared" si="0"/>
        <v>0</v>
      </c>
      <c r="T17" s="89">
        <v>0</v>
      </c>
      <c r="U17" s="90">
        <f t="shared" si="1"/>
        <v>0</v>
      </c>
      <c r="V17" s="89">
        <v>0</v>
      </c>
      <c r="W17" s="90">
        <f t="shared" si="12"/>
        <v>0</v>
      </c>
      <c r="X17" s="89">
        <v>0</v>
      </c>
      <c r="Y17" s="90">
        <f t="shared" si="13"/>
        <v>0</v>
      </c>
      <c r="Z17" s="93">
        <f t="shared" si="4"/>
        <v>109.55353675952965</v>
      </c>
      <c r="AA17" s="94">
        <f t="shared" si="2"/>
        <v>1.0573427925303265E-3</v>
      </c>
      <c r="AC17" s="96">
        <f t="shared" si="3"/>
        <v>1.2970527021368479E-3</v>
      </c>
      <c r="AE17" s="95">
        <f t="shared" si="5"/>
        <v>10.955353675952965</v>
      </c>
    </row>
    <row r="18" spans="1:31" s="95" customFormat="1" ht="16" x14ac:dyDescent="0.5">
      <c r="A18" s="88" t="s">
        <v>63</v>
      </c>
      <c r="B18" s="100">
        <v>1365.6370589727835</v>
      </c>
      <c r="C18" s="99">
        <f t="shared" si="6"/>
        <v>0.20395976160128318</v>
      </c>
      <c r="D18" s="101">
        <f>[10]Composition!$T$20+[10]Composition!$T$18+[10]Composition!$T$17+[10]Composition!$T$16+[10]Composition!$T$15</f>
        <v>1338.0290578072111</v>
      </c>
      <c r="E18" s="99">
        <f t="shared" si="7"/>
        <v>0.19703439601098111</v>
      </c>
      <c r="F18" s="98">
        <f>[5]Composition!V20+[5]Composition!V18+[5]Composition!V17+[5]Composition!V16+[5]Composition!V15</f>
        <v>1077.2343357104257</v>
      </c>
      <c r="G18" s="99">
        <f t="shared" si="8"/>
        <v>0.15466504938447881</v>
      </c>
      <c r="H18" s="98">
        <f>[5]Composition!X20+[5]Composition!X18+[5]Composition!X17+[5]Composition!X16+[5]Composition!X15</f>
        <v>1411.9905158528927</v>
      </c>
      <c r="I18" s="99">
        <f t="shared" si="9"/>
        <v>0.16065209211535317</v>
      </c>
      <c r="J18" s="98">
        <f>[6]Composition!$B$20+[6]Composition!$B$18+[6]Composition!$B$17+[6]Composition!$B$16+[6]Composition!$B$15</f>
        <v>856.43069772704246</v>
      </c>
      <c r="K18" s="99">
        <f t="shared" si="10"/>
        <v>0.11722950476649284</v>
      </c>
      <c r="L18" s="98">
        <f>[7]Composition!$D$20+[7]Composition!$D$16+[7]Composition!$D$15</f>
        <v>1184.4724999999999</v>
      </c>
      <c r="M18" s="99">
        <f t="shared" si="11"/>
        <v>0.1197994745894813</v>
      </c>
      <c r="N18" s="98">
        <f>[8]Composition!$F$20+[8]Composition!$F$16+[8]Composition!$F$15</f>
        <v>1809.2375</v>
      </c>
      <c r="O18" s="102">
        <f t="shared" si="11"/>
        <v>0.19558359092872876</v>
      </c>
      <c r="P18" s="98">
        <f>[9]Composition!$H$20+[9]Composition!$H$18+[9]Composition!$H$16+[9]Composition!$H$15</f>
        <v>2044.57</v>
      </c>
      <c r="Q18" s="103">
        <f t="shared" si="11"/>
        <v>0.20178655670851944</v>
      </c>
      <c r="R18" s="98">
        <v>2202.9100000000003</v>
      </c>
      <c r="S18" s="99">
        <f t="shared" si="0"/>
        <v>0.21496167027065008</v>
      </c>
      <c r="T18" s="98">
        <v>1696.0200000000002</v>
      </c>
      <c r="U18" s="99">
        <f t="shared" si="1"/>
        <v>0.1970310924408798</v>
      </c>
      <c r="V18" s="98">
        <v>1802.9235000000001</v>
      </c>
      <c r="W18" s="99">
        <f t="shared" si="12"/>
        <v>0.20952708845224907</v>
      </c>
      <c r="X18" s="98">
        <v>2359.2299999999996</v>
      </c>
      <c r="Y18" s="99">
        <f t="shared" si="13"/>
        <v>0.2282634377360177</v>
      </c>
      <c r="Z18" s="104">
        <f t="shared" si="4"/>
        <v>19148.685166070354</v>
      </c>
      <c r="AA18" s="105">
        <f t="shared" si="2"/>
        <v>0.18481123335359304</v>
      </c>
      <c r="AC18" s="96"/>
      <c r="AE18" s="95">
        <f t="shared" si="5"/>
        <v>1914.8685166070354</v>
      </c>
    </row>
    <row r="19" spans="1:31" x14ac:dyDescent="0.35">
      <c r="A19" s="106"/>
      <c r="B19" s="107">
        <f t="shared" ref="B19:Q19" si="14">SUM(B8:B18)</f>
        <v>6695.619999999999</v>
      </c>
      <c r="C19" s="108">
        <f t="shared" si="14"/>
        <v>1.0000000000000002</v>
      </c>
      <c r="D19" s="107">
        <f t="shared" si="14"/>
        <v>6790.8400000000011</v>
      </c>
      <c r="E19" s="108">
        <f t="shared" si="14"/>
        <v>0.99999999999999978</v>
      </c>
      <c r="F19" s="107">
        <f t="shared" si="14"/>
        <v>6964.9500000000007</v>
      </c>
      <c r="G19" s="108">
        <f t="shared" si="14"/>
        <v>0.99999999999999967</v>
      </c>
      <c r="H19" s="107">
        <f t="shared" si="14"/>
        <v>8789.119999999999</v>
      </c>
      <c r="I19" s="108">
        <f t="shared" si="14"/>
        <v>1</v>
      </c>
      <c r="J19" s="107">
        <f t="shared" si="14"/>
        <v>7305.59</v>
      </c>
      <c r="K19" s="108">
        <f t="shared" si="14"/>
        <v>1.0000000000000002</v>
      </c>
      <c r="L19" s="107">
        <f t="shared" si="14"/>
        <v>9887.1260000000002</v>
      </c>
      <c r="M19" s="108">
        <f t="shared" si="14"/>
        <v>1</v>
      </c>
      <c r="N19" s="109">
        <f t="shared" si="14"/>
        <v>9250.4565000000002</v>
      </c>
      <c r="O19" s="110">
        <f t="shared" si="14"/>
        <v>0.99999999999999989</v>
      </c>
      <c r="P19" s="109">
        <f t="shared" si="14"/>
        <v>10132.34</v>
      </c>
      <c r="Q19" s="110">
        <f t="shared" si="14"/>
        <v>1</v>
      </c>
      <c r="R19" s="107">
        <f t="shared" ref="R19:Y19" si="15">SUM(R8:R18)</f>
        <v>10247.92</v>
      </c>
      <c r="S19" s="108">
        <f t="shared" si="15"/>
        <v>0.99999999999999989</v>
      </c>
      <c r="T19" s="107">
        <f t="shared" si="15"/>
        <v>8607.8799999999992</v>
      </c>
      <c r="U19" s="108">
        <f t="shared" si="15"/>
        <v>1</v>
      </c>
      <c r="V19" s="107">
        <f t="shared" si="15"/>
        <v>8604.7275000000009</v>
      </c>
      <c r="W19" s="108">
        <f t="shared" si="15"/>
        <v>0.99999999999999989</v>
      </c>
      <c r="X19" s="107">
        <f t="shared" si="15"/>
        <v>10335.557999999999</v>
      </c>
      <c r="Y19" s="108">
        <f t="shared" si="15"/>
        <v>1</v>
      </c>
      <c r="Z19" s="111">
        <f t="shared" ref="Z19:AA19" si="16">SUM(Z8:Z18)</f>
        <v>103612.12800000001</v>
      </c>
      <c r="AA19" s="110">
        <f t="shared" si="16"/>
        <v>1</v>
      </c>
      <c r="AC19" s="112">
        <f>SUM(AC8:AC18)</f>
        <v>0.99999999999999989</v>
      </c>
    </row>
    <row r="21" spans="1:31" x14ac:dyDescent="0.3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31" x14ac:dyDescent="0.35">
      <c r="A22" s="88" t="s">
        <v>64</v>
      </c>
      <c r="B22" s="42">
        <f>'CRC Price'!B8</f>
        <v>0</v>
      </c>
      <c r="D22" s="42">
        <f>'CRC Price'!B9</f>
        <v>0</v>
      </c>
      <c r="F22" s="42">
        <f>'CRC Price'!B10</f>
        <v>0</v>
      </c>
      <c r="H22" s="42">
        <f>'CRC Price'!B11</f>
        <v>0</v>
      </c>
      <c r="J22" s="42">
        <f>'CRC Price'!B12</f>
        <v>104.39</v>
      </c>
      <c r="L22" s="42">
        <f>'CRC Price'!B13</f>
        <v>93.21</v>
      </c>
      <c r="N22" s="42">
        <f>'CRC Price'!B14</f>
        <v>91.11</v>
      </c>
      <c r="P22" s="42">
        <f>'CRC Price'!B15</f>
        <v>86.37</v>
      </c>
      <c r="R22" s="42">
        <f>'CRC Price'!B16</f>
        <v>93.08</v>
      </c>
      <c r="T22" s="42">
        <f>'CRC Price'!B17</f>
        <v>115.15</v>
      </c>
      <c r="V22" s="42">
        <f>'CRC Price'!B18</f>
        <v>103.34</v>
      </c>
      <c r="X22" s="42">
        <f>'CRC Price'!B19</f>
        <v>106.45</v>
      </c>
    </row>
    <row r="23" spans="1:31" x14ac:dyDescent="0.35">
      <c r="A23" s="88" t="s">
        <v>65</v>
      </c>
      <c r="B23" s="42">
        <f>'CRC Price'!C8</f>
        <v>40.65</v>
      </c>
      <c r="D23" s="42">
        <f>'CRC Price'!C9</f>
        <v>51.58</v>
      </c>
      <c r="F23" s="42">
        <f>'CRC Price'!C10</f>
        <v>51.43</v>
      </c>
      <c r="H23" s="42">
        <f>'CRC Price'!C11</f>
        <v>59.54</v>
      </c>
      <c r="J23" s="42">
        <f>'CRC Price'!C12</f>
        <v>67.239999999999995</v>
      </c>
      <c r="L23" s="42">
        <f>'CRC Price'!C13</f>
        <v>66.900000000000006</v>
      </c>
      <c r="N23" s="42">
        <f>'CRC Price'!C14</f>
        <v>66.67</v>
      </c>
      <c r="P23" s="42">
        <f>'CRC Price'!C15</f>
        <v>77.12</v>
      </c>
      <c r="R23" s="42">
        <f>'CRC Price'!C16</f>
        <v>81.42</v>
      </c>
      <c r="T23" s="42">
        <f>'CRC Price'!C17</f>
        <v>92.09</v>
      </c>
      <c r="V23" s="42">
        <f>'CRC Price'!C18</f>
        <v>89.65</v>
      </c>
      <c r="X23" s="42">
        <f>'CRC Price'!C19</f>
        <v>88.81</v>
      </c>
    </row>
    <row r="24" spans="1:31" x14ac:dyDescent="0.35">
      <c r="A24" s="88" t="s">
        <v>50</v>
      </c>
      <c r="B24" s="42">
        <f>'CRC Price'!D8</f>
        <v>120.66</v>
      </c>
      <c r="D24" s="42">
        <f>'CRC Price'!D9</f>
        <v>133.02000000000001</v>
      </c>
      <c r="F24" s="42">
        <f>'CRC Price'!D10</f>
        <v>133.68</v>
      </c>
      <c r="H24" s="42">
        <f>'CRC Price'!D11</f>
        <v>140.44999999999999</v>
      </c>
      <c r="J24" s="42">
        <f>'CRC Price'!D12</f>
        <v>151.65</v>
      </c>
      <c r="L24" s="42">
        <f>'CRC Price'!D13</f>
        <v>156.06</v>
      </c>
      <c r="N24" s="42">
        <f>'CRC Price'!D14</f>
        <v>163.21</v>
      </c>
      <c r="P24" s="42">
        <f>'CRC Price'!D15</f>
        <v>158.32</v>
      </c>
      <c r="R24" s="42">
        <f>'CRC Price'!D16</f>
        <v>169.85</v>
      </c>
      <c r="T24" s="42">
        <f>'CRC Price'!D17</f>
        <v>175.19</v>
      </c>
      <c r="V24" s="42">
        <f>'CRC Price'!D18</f>
        <v>170.88</v>
      </c>
      <c r="X24" s="42">
        <f>'CRC Price'!D19</f>
        <v>160.58000000000001</v>
      </c>
    </row>
    <row r="25" spans="1:31" x14ac:dyDescent="0.35">
      <c r="A25" s="88" t="s">
        <v>66</v>
      </c>
      <c r="B25" s="42">
        <f>'CRC Price'!E8</f>
        <v>1224.5</v>
      </c>
      <c r="D25" s="42">
        <f>'CRC Price'!E9</f>
        <v>1090.92</v>
      </c>
      <c r="F25" s="42">
        <f>'CRC Price'!E10</f>
        <v>1144.6099999999999</v>
      </c>
      <c r="H25" s="42">
        <f>'CRC Price'!E11</f>
        <v>1203.5</v>
      </c>
      <c r="J25" s="42">
        <f>'CRC Price'!E12</f>
        <v>1104.3399999999999</v>
      </c>
      <c r="L25" s="42">
        <f>'CRC Price'!E13</f>
        <v>1019.35</v>
      </c>
      <c r="N25" s="42">
        <f>'CRC Price'!E14</f>
        <v>1018.33</v>
      </c>
      <c r="P25" s="42">
        <f>'CRC Price'!E15</f>
        <v>1304.8</v>
      </c>
      <c r="R25" s="42">
        <f>'CRC Price'!E16</f>
        <v>1293.8</v>
      </c>
      <c r="T25" s="42">
        <f>'CRC Price'!E17</f>
        <v>1374.96</v>
      </c>
      <c r="V25" s="42">
        <f>'CRC Price'!E18</f>
        <v>1145.1400000000001</v>
      </c>
      <c r="X25" s="42">
        <f>'CRC Price'!E19</f>
        <v>1217.0999999999999</v>
      </c>
    </row>
    <row r="26" spans="1:31" x14ac:dyDescent="0.35">
      <c r="A26" s="88" t="s">
        <v>67</v>
      </c>
      <c r="B26" s="42">
        <f>'CRC Price'!F8</f>
        <v>184.64</v>
      </c>
      <c r="D26" s="42">
        <f>'CRC Price'!F9</f>
        <v>176.73</v>
      </c>
      <c r="F26" s="42">
        <f>'CRC Price'!F10</f>
        <v>191.5</v>
      </c>
      <c r="H26" s="42">
        <f>'CRC Price'!F11</f>
        <v>213.53</v>
      </c>
      <c r="J26" s="42">
        <f>'CRC Price'!F12</f>
        <v>208.52</v>
      </c>
      <c r="L26" s="42">
        <f>'CRC Price'!F13</f>
        <v>254</v>
      </c>
      <c r="N26" s="42">
        <f>'CRC Price'!F14</f>
        <v>188.25</v>
      </c>
      <c r="P26" s="42">
        <f>'CRC Price'!F15</f>
        <v>187.8</v>
      </c>
      <c r="R26" s="42">
        <f>'CRC Price'!F16</f>
        <v>187.66</v>
      </c>
      <c r="T26" s="42">
        <f>'CRC Price'!F17</f>
        <v>184.52</v>
      </c>
      <c r="V26" s="42">
        <f>'CRC Price'!F18</f>
        <v>183.13</v>
      </c>
      <c r="X26" s="42">
        <f>'CRC Price'!F19</f>
        <v>182.7</v>
      </c>
    </row>
    <row r="27" spans="1:31" x14ac:dyDescent="0.35">
      <c r="A27" s="88" t="s">
        <v>53</v>
      </c>
      <c r="B27" s="42">
        <f>'CRC Price'!G8</f>
        <v>-21.15</v>
      </c>
      <c r="D27" s="42">
        <f>'CRC Price'!G9</f>
        <v>-40.479999999999997</v>
      </c>
      <c r="F27" s="42">
        <f>'CRC Price'!G10</f>
        <v>-40.98</v>
      </c>
      <c r="H27" s="42">
        <f>'CRC Price'!G11</f>
        <v>-39.630000000000003</v>
      </c>
      <c r="J27" s="42">
        <f>'CRC Price'!G12</f>
        <v>-47.58</v>
      </c>
      <c r="L27" s="42">
        <f>'CRC Price'!G13</f>
        <v>-46.73</v>
      </c>
      <c r="N27" s="42">
        <f>'CRC Price'!G14</f>
        <v>-46.73</v>
      </c>
      <c r="P27" s="42">
        <f>'CRC Price'!G15</f>
        <v>-12.43</v>
      </c>
      <c r="R27" s="42">
        <f>'CRC Price'!G16</f>
        <v>-25.66</v>
      </c>
      <c r="T27" s="42">
        <f>'CRC Price'!G17</f>
        <v>-32.61</v>
      </c>
      <c r="V27" s="42">
        <f>'CRC Price'!G18</f>
        <v>-33.75</v>
      </c>
      <c r="X27" s="42">
        <f>'CRC Price'!G19</f>
        <v>-36.24</v>
      </c>
    </row>
    <row r="28" spans="1:31" x14ac:dyDescent="0.35">
      <c r="A28" s="88" t="s">
        <v>54</v>
      </c>
      <c r="B28" s="42">
        <f>'CRC Price'!H8</f>
        <v>68.48</v>
      </c>
      <c r="D28" s="42">
        <f>'CRC Price'!H9</f>
        <v>96.76</v>
      </c>
      <c r="F28" s="42">
        <f>'CRC Price'!H10</f>
        <v>120</v>
      </c>
      <c r="H28" s="42">
        <f>'CRC Price'!H11</f>
        <v>130</v>
      </c>
      <c r="J28" s="42">
        <f>'CRC Price'!H12</f>
        <v>150</v>
      </c>
      <c r="L28" s="42">
        <f>'CRC Price'!H13</f>
        <v>150</v>
      </c>
      <c r="N28" s="42">
        <f>'CRC Price'!H14</f>
        <v>149.30000000000001</v>
      </c>
      <c r="P28" s="42">
        <f>'CRC Price'!H15</f>
        <v>157.38</v>
      </c>
      <c r="R28" s="42">
        <f>'CRC Price'!H16</f>
        <v>210</v>
      </c>
      <c r="T28" s="42">
        <f>'CRC Price'!H17</f>
        <v>210</v>
      </c>
      <c r="V28" s="42">
        <f>'CRC Price'!H18</f>
        <v>236.93</v>
      </c>
      <c r="X28" s="42">
        <f>'CRC Price'!H19</f>
        <v>253.24</v>
      </c>
    </row>
    <row r="29" spans="1:31" x14ac:dyDescent="0.35">
      <c r="A29" s="88" t="s">
        <v>68</v>
      </c>
      <c r="B29" s="42">
        <f>'CRC Price'!I8</f>
        <v>460</v>
      </c>
      <c r="D29" s="42">
        <f>'CRC Price'!I9</f>
        <v>520</v>
      </c>
      <c r="F29" s="42">
        <f>'CRC Price'!I10</f>
        <v>540</v>
      </c>
      <c r="H29" s="42">
        <f>'CRC Price'!I11</f>
        <v>626.99</v>
      </c>
      <c r="J29" s="42">
        <f>'CRC Price'!I12</f>
        <v>620</v>
      </c>
      <c r="L29" s="42">
        <f>'CRC Price'!I13</f>
        <v>560</v>
      </c>
      <c r="N29" s="42">
        <f>'CRC Price'!I14</f>
        <v>560</v>
      </c>
      <c r="P29" s="42">
        <f>'CRC Price'!I15</f>
        <v>560</v>
      </c>
      <c r="R29" s="42">
        <f>'CRC Price'!I16</f>
        <v>600</v>
      </c>
      <c r="T29" s="42">
        <f>'CRC Price'!I17</f>
        <v>600</v>
      </c>
      <c r="V29" s="42">
        <f>'CRC Price'!I18</f>
        <v>640</v>
      </c>
      <c r="X29" s="42">
        <f>'CRC Price'!I19</f>
        <v>680</v>
      </c>
    </row>
    <row r="30" spans="1:31" x14ac:dyDescent="0.35">
      <c r="A30" s="88" t="s">
        <v>69</v>
      </c>
      <c r="B30" s="42">
        <f>'CRC Price'!J8</f>
        <v>112.07</v>
      </c>
      <c r="D30" s="42">
        <f>'CRC Price'!J9</f>
        <v>133.88999999999999</v>
      </c>
      <c r="F30" s="42">
        <f>'CRC Price'!J10</f>
        <v>280.52999999999997</v>
      </c>
      <c r="H30" s="42">
        <f>'CRC Price'!J11</f>
        <v>626.99</v>
      </c>
      <c r="J30" s="42">
        <f>'CRC Price'!J12</f>
        <v>340</v>
      </c>
      <c r="L30" s="42">
        <f>'CRC Price'!J13</f>
        <v>340</v>
      </c>
      <c r="N30" s="42">
        <f>'CRC Price'!J14</f>
        <v>340</v>
      </c>
      <c r="P30" s="42">
        <f>'CRC Price'!J15</f>
        <v>340</v>
      </c>
      <c r="R30" s="42">
        <f>'CRC Price'!J16</f>
        <v>346.65</v>
      </c>
      <c r="T30" s="42">
        <f>'CRC Price'!J17</f>
        <v>344.99</v>
      </c>
      <c r="V30" s="42">
        <f>'CRC Price'!J18</f>
        <v>220</v>
      </c>
      <c r="X30" s="42">
        <f>'CRC Price'!J19</f>
        <v>200</v>
      </c>
    </row>
    <row r="31" spans="1:31" x14ac:dyDescent="0.35">
      <c r="A31" s="88" t="s">
        <v>70</v>
      </c>
      <c r="B31" s="42">
        <f>'CRC Price'!K8</f>
        <v>-166.15</v>
      </c>
      <c r="D31" s="42">
        <f>'CRC Price'!K9</f>
        <v>-87.85</v>
      </c>
      <c r="F31" s="42">
        <f>'CRC Price'!K10</f>
        <v>-87.85</v>
      </c>
      <c r="H31" s="42">
        <f>'CRC Price'!K11</f>
        <v>-169.14</v>
      </c>
      <c r="J31" s="42">
        <f>'CRC Price'!K12</f>
        <v>3.28</v>
      </c>
      <c r="L31" s="42">
        <f>'CRC Price'!K13</f>
        <v>-169.14</v>
      </c>
      <c r="N31" s="42">
        <f>'CRC Price'!K14</f>
        <v>-169.14</v>
      </c>
      <c r="P31" s="42">
        <f>'CRC Price'!K15</f>
        <v>-169.14</v>
      </c>
      <c r="R31" s="42">
        <f>'CRC Price'!K16</f>
        <v>-169.14</v>
      </c>
      <c r="T31" s="42">
        <f>'CRC Price'!K17</f>
        <v>-169.14</v>
      </c>
      <c r="V31" s="42">
        <f>'CRC Price'!K18</f>
        <v>-169.14</v>
      </c>
      <c r="X31" s="42">
        <f>'CRC Price'!K19</f>
        <v>-169.14</v>
      </c>
    </row>
    <row r="33" spans="1:24" x14ac:dyDescent="0.35">
      <c r="A33" s="88" t="s">
        <v>64</v>
      </c>
      <c r="B33" s="113">
        <f>B8*B22</f>
        <v>0</v>
      </c>
      <c r="D33" s="113">
        <f>D8*D22</f>
        <v>0</v>
      </c>
      <c r="F33" s="113">
        <f>F8*F22</f>
        <v>0</v>
      </c>
      <c r="H33" s="113">
        <f>H8*H22</f>
        <v>0</v>
      </c>
      <c r="J33" s="113">
        <f>J8*J22</f>
        <v>13326.319918717922</v>
      </c>
      <c r="L33" s="113">
        <f>L8*L22</f>
        <v>27620.919299999998</v>
      </c>
      <c r="N33" s="113">
        <f>N8*N22</f>
        <v>74701.088999999993</v>
      </c>
      <c r="P33" s="113">
        <f>P8*P22</f>
        <v>148100.3664</v>
      </c>
      <c r="R33" s="113">
        <f>R8*R22</f>
        <v>155634.41399999999</v>
      </c>
      <c r="T33" s="113">
        <f>T8*T22</f>
        <v>64479.394000000008</v>
      </c>
      <c r="V33" s="113">
        <f>V8*V22</f>
        <v>143386.3168</v>
      </c>
      <c r="X33" s="113">
        <f>X8*X22</f>
        <v>94529.729000000007</v>
      </c>
    </row>
    <row r="34" spans="1:24" x14ac:dyDescent="0.35">
      <c r="A34" s="88" t="s">
        <v>65</v>
      </c>
      <c r="B34" s="113">
        <f t="shared" ref="B34:D42" si="17">B9*B23</f>
        <v>42418.011769163655</v>
      </c>
      <c r="D34" s="113">
        <f t="shared" si="17"/>
        <v>54861.107819192257</v>
      </c>
      <c r="F34" s="113">
        <f t="shared" ref="F34" si="18">F9*F23</f>
        <v>92740.298731270188</v>
      </c>
      <c r="H34" s="113">
        <f t="shared" ref="H34" si="19">H9*H23</f>
        <v>118933.13694742427</v>
      </c>
      <c r="J34" s="113">
        <f t="shared" ref="J34" si="20">J9*J23</f>
        <v>152699.27585873046</v>
      </c>
      <c r="L34" s="113">
        <f t="shared" ref="L34" si="21">L9*L23</f>
        <v>223478.78100000002</v>
      </c>
      <c r="N34" s="113">
        <f t="shared" ref="N34" si="22">N9*N23</f>
        <v>154633.06460000001</v>
      </c>
      <c r="P34" s="113">
        <f t="shared" ref="P34" si="23">P9*P23</f>
        <v>120307.9712</v>
      </c>
      <c r="R34" s="113">
        <f t="shared" ref="R34" si="24">R9*R23</f>
        <v>130760.52</v>
      </c>
      <c r="T34" s="113">
        <f t="shared" ref="T34" si="25">T9*T23</f>
        <v>169577.2887</v>
      </c>
      <c r="V34" s="113">
        <f t="shared" ref="V34" si="26">V9*V23</f>
        <v>92690.031499999997</v>
      </c>
      <c r="X34" s="113">
        <f t="shared" ref="X34" si="27">X9*X23</f>
        <v>221341.16299999997</v>
      </c>
    </row>
    <row r="35" spans="1:24" x14ac:dyDescent="0.35">
      <c r="A35" s="88" t="s">
        <v>50</v>
      </c>
      <c r="B35" s="113">
        <f t="shared" si="17"/>
        <v>312890.23336836725</v>
      </c>
      <c r="D35" s="113">
        <f t="shared" si="17"/>
        <v>358301.34435422561</v>
      </c>
      <c r="F35" s="113">
        <f t="shared" ref="F35" si="28">F10*F24</f>
        <v>250290.9518688666</v>
      </c>
      <c r="H35" s="113">
        <f t="shared" ref="H35" si="29">H10*H24</f>
        <v>349501.1277826599</v>
      </c>
      <c r="J35" s="113">
        <f t="shared" ref="J35" si="30">J10*J24</f>
        <v>301681.10768744018</v>
      </c>
      <c r="L35" s="113">
        <f t="shared" ref="L35" si="31">L10*L24</f>
        <v>312093.46980000002</v>
      </c>
      <c r="N35" s="113">
        <f t="shared" ref="N35" si="32">N10*N24</f>
        <v>334653.12845000002</v>
      </c>
      <c r="P35" s="113">
        <f t="shared" ref="P35" si="33">P10*P24</f>
        <v>371537.45999999996</v>
      </c>
      <c r="R35" s="113">
        <f t="shared" ref="R35" si="34">R10*R24</f>
        <v>386546.3285</v>
      </c>
      <c r="T35" s="113">
        <f t="shared" ref="T35" si="35">T10*T24</f>
        <v>436091.70750000002</v>
      </c>
      <c r="V35" s="113">
        <f t="shared" ref="V35" si="36">V10*V24</f>
        <v>388394.86080000002</v>
      </c>
      <c r="X35" s="113">
        <f t="shared" ref="X35" si="37">X10*X24</f>
        <v>343739.47496000002</v>
      </c>
    </row>
    <row r="36" spans="1:24" x14ac:dyDescent="0.35">
      <c r="A36" s="88" t="s">
        <v>66</v>
      </c>
      <c r="B36" s="113">
        <f t="shared" si="17"/>
        <v>160296.18383513394</v>
      </c>
      <c r="D36" s="113">
        <f t="shared" si="17"/>
        <v>139620.16976963347</v>
      </c>
      <c r="F36" s="113">
        <f t="shared" ref="F36" si="38">F11*F25</f>
        <v>67266.616143628737</v>
      </c>
      <c r="H36" s="113">
        <f t="shared" ref="H36" si="39">H11*H25</f>
        <v>122353.706609117</v>
      </c>
      <c r="J36" s="113">
        <f t="shared" ref="J36" si="40">J11*J25</f>
        <v>112901.4299824436</v>
      </c>
      <c r="L36" s="113">
        <f t="shared" ref="L36" si="41">L11*L25</f>
        <v>166381.874725</v>
      </c>
      <c r="N36" s="113">
        <f t="shared" ref="N36" si="42">N11*N25</f>
        <v>167987.79012000002</v>
      </c>
      <c r="P36" s="113">
        <f t="shared" ref="P36" si="43">P11*P25</f>
        <v>250913.04</v>
      </c>
      <c r="R36" s="113">
        <f t="shared" ref="R36" si="44">R11*R25</f>
        <v>242652.19</v>
      </c>
      <c r="T36" s="113">
        <f t="shared" ref="T36" si="45">T11*T25</f>
        <v>208883.92319999999</v>
      </c>
      <c r="V36" s="113">
        <f t="shared" ref="V36" si="46">V11*V25</f>
        <v>168076.77836000003</v>
      </c>
      <c r="X36" s="113">
        <f t="shared" ref="X36" si="47">X11*X25</f>
        <v>190221.77609999999</v>
      </c>
    </row>
    <row r="37" spans="1:24" x14ac:dyDescent="0.35">
      <c r="A37" s="88" t="s">
        <v>67</v>
      </c>
      <c r="B37" s="113">
        <f t="shared" si="17"/>
        <v>12753.73059849436</v>
      </c>
      <c r="D37" s="113">
        <f t="shared" si="17"/>
        <v>20651.711280787134</v>
      </c>
      <c r="F37" s="113">
        <f t="shared" ref="F37" si="48">F12*F26</f>
        <v>20036.698918193655</v>
      </c>
      <c r="H37" s="113">
        <f t="shared" ref="H37" si="49">H12*H26</f>
        <v>7824.4885948597948</v>
      </c>
      <c r="J37" s="113">
        <f t="shared" ref="J37" si="50">J12*J26</f>
        <v>4522.9107986974841</v>
      </c>
      <c r="L37" s="113">
        <f t="shared" ref="L37" si="51">L12*L26</f>
        <v>40180.260000000009</v>
      </c>
      <c r="N37" s="113">
        <f t="shared" ref="N37" si="52">N12*N26</f>
        <v>26343.704999999998</v>
      </c>
      <c r="P37" s="113">
        <f t="shared" ref="P37" si="53">P12*P26</f>
        <v>36333.666000000005</v>
      </c>
      <c r="R37" s="113">
        <f t="shared" ref="R37" si="54">R12*R26</f>
        <v>30382.154000000002</v>
      </c>
      <c r="T37" s="113">
        <f t="shared" ref="T37" si="55">T12*T26</f>
        <v>22588.938400000003</v>
      </c>
      <c r="V37" s="113">
        <f t="shared" ref="V37" si="56">V12*V26</f>
        <v>23874.658100000001</v>
      </c>
      <c r="X37" s="113">
        <f t="shared" ref="X37" si="57">X12*X26</f>
        <v>27337.400999999998</v>
      </c>
    </row>
    <row r="38" spans="1:24" x14ac:dyDescent="0.35">
      <c r="A38" s="88" t="s">
        <v>53</v>
      </c>
      <c r="B38" s="113">
        <f t="shared" si="17"/>
        <v>-24897.597312544556</v>
      </c>
      <c r="D38" s="113">
        <f t="shared" si="17"/>
        <v>-47303.181265089042</v>
      </c>
      <c r="F38" s="113">
        <f t="shared" ref="F38" si="58">F13*F27</f>
        <v>-75100.23525082288</v>
      </c>
      <c r="H38" s="113">
        <f t="shared" ref="H38" si="59">H13*H27</f>
        <v>-100250.82361351067</v>
      </c>
      <c r="J38" s="113">
        <f t="shared" ref="J38" si="60">J13*J27</f>
        <v>-78966.988038061449</v>
      </c>
      <c r="L38" s="113">
        <f t="shared" ref="L38" si="61">L13*L27</f>
        <v>-107804.70809999999</v>
      </c>
      <c r="N38" s="113">
        <f t="shared" ref="N38" si="62">N13*N27</f>
        <v>-69251.757150000005</v>
      </c>
      <c r="P38" s="113">
        <f t="shared" ref="P38" si="63">P13*P27</f>
        <v>-19906.520700000001</v>
      </c>
      <c r="R38" s="113">
        <f t="shared" ref="R38" si="64">R13*R27</f>
        <v>-39626.737999999998</v>
      </c>
      <c r="T38" s="113">
        <f t="shared" ref="T38" si="65">T13*T27</f>
        <v>-44173.505999999994</v>
      </c>
      <c r="V38" s="113">
        <f t="shared" ref="V38" si="66">V13*V27</f>
        <v>-46794.712500000001</v>
      </c>
      <c r="X38" s="113">
        <f t="shared" ref="X38" si="67">X13*X27</f>
        <v>-59091.675599999995</v>
      </c>
    </row>
    <row r="39" spans="1:24" x14ac:dyDescent="0.35">
      <c r="A39" s="88" t="s">
        <v>54</v>
      </c>
      <c r="B39" s="113">
        <f t="shared" si="17"/>
        <v>15962.748533366963</v>
      </c>
      <c r="D39" s="113">
        <f t="shared" si="17"/>
        <v>21270.001847172065</v>
      </c>
      <c r="F39" s="113">
        <f t="shared" ref="F39" si="68">F14*F28</f>
        <v>19307.485384059983</v>
      </c>
      <c r="H39" s="113">
        <f t="shared" ref="H39" si="69">H14*H28</f>
        <v>15037.995675861586</v>
      </c>
      <c r="J39" s="113">
        <f t="shared" ref="J39" si="70">J14*J28</f>
        <v>31793.259160076363</v>
      </c>
      <c r="L39" s="113">
        <f t="shared" ref="L39" si="71">L14*L28</f>
        <v>47191.5</v>
      </c>
      <c r="N39" s="113">
        <f t="shared" ref="N39" si="72">N14*N28</f>
        <v>50341.72050000001</v>
      </c>
      <c r="P39" s="113">
        <f t="shared" ref="P39" si="73">P14*P28</f>
        <v>53987.635200000004</v>
      </c>
      <c r="R39" s="113">
        <f t="shared" ref="R39" si="74">R14*R28</f>
        <v>89048.400000000009</v>
      </c>
      <c r="T39" s="113">
        <f t="shared" ref="T39" si="75">T14*T28</f>
        <v>57136.799999999996</v>
      </c>
      <c r="V39" s="113">
        <f t="shared" ref="V39" si="76">V14*V28</f>
        <v>78196.377200000003</v>
      </c>
      <c r="X39" s="113">
        <f t="shared" ref="X39" si="77">X14*X28</f>
        <v>94215.409599999999</v>
      </c>
    </row>
    <row r="40" spans="1:24" x14ac:dyDescent="0.35">
      <c r="A40" s="88" t="s">
        <v>68</v>
      </c>
      <c r="B40" s="113">
        <f t="shared" si="17"/>
        <v>1022.4045170268334</v>
      </c>
      <c r="D40" s="113">
        <f t="shared" si="17"/>
        <v>3718.831970423118</v>
      </c>
      <c r="F40" s="113">
        <f t="shared" ref="F40" si="78">F15*F29</f>
        <v>2606.1886742846045</v>
      </c>
      <c r="H40" s="113">
        <f t="shared" ref="H40" si="79">H15*H29</f>
        <v>36207.918024983526</v>
      </c>
      <c r="J40" s="113">
        <f t="shared" ref="J40" si="80">J15*J29</f>
        <v>19243.835084732007</v>
      </c>
      <c r="L40" s="113">
        <f t="shared" ref="L40" si="81">L15*L29</f>
        <v>30458.400000000001</v>
      </c>
      <c r="N40" s="113">
        <f t="shared" ref="N40" si="82">N15*N29</f>
        <v>26975.200000000001</v>
      </c>
      <c r="P40" s="113">
        <f t="shared" ref="P40" si="83">P15*P29</f>
        <v>28515.200000000001</v>
      </c>
      <c r="R40" s="113">
        <f t="shared" ref="R40" si="84">R15*R29</f>
        <v>33672</v>
      </c>
      <c r="T40" s="113">
        <f t="shared" ref="T40" si="85">T15*T29</f>
        <v>26592</v>
      </c>
      <c r="V40" s="113">
        <f t="shared" ref="V40" si="86">V15*V29</f>
        <v>26240</v>
      </c>
      <c r="X40" s="113">
        <f t="shared" ref="X40" si="87">X15*X29</f>
        <v>34428.399999999994</v>
      </c>
    </row>
    <row r="41" spans="1:24" x14ac:dyDescent="0.35">
      <c r="A41" s="88" t="s">
        <v>69</v>
      </c>
      <c r="B41" s="113">
        <f t="shared" si="17"/>
        <v>6709.8389595899425</v>
      </c>
      <c r="D41" s="113">
        <f t="shared" si="17"/>
        <v>5168.0759943245048</v>
      </c>
      <c r="F41" s="113">
        <f t="shared" ref="F41" si="88">F16*F30</f>
        <v>7849.7283928034449</v>
      </c>
      <c r="H41" s="113">
        <f t="shared" ref="H41" si="89">H16*H30</f>
        <v>7591.0484609721834</v>
      </c>
      <c r="J41" s="113">
        <f t="shared" ref="J41" si="90">J16*J30</f>
        <v>7748.0843355790339</v>
      </c>
      <c r="L41" s="113">
        <f t="shared" ref="L41" si="91">L16*L30</f>
        <v>23330.800000000003</v>
      </c>
      <c r="N41" s="113">
        <f t="shared" ref="N41" si="92">N16*N30</f>
        <v>26955.200000000001</v>
      </c>
      <c r="P41" s="113">
        <f t="shared" ref="P41" si="93">P16*P30</f>
        <v>28923.8</v>
      </c>
      <c r="R41" s="113">
        <f t="shared" ref="R41" si="94">R16*R30</f>
        <v>40641.245999999999</v>
      </c>
      <c r="T41" s="113">
        <f t="shared" ref="T41" si="95">T16*T30</f>
        <v>26177.841199999999</v>
      </c>
      <c r="V41" s="113">
        <f t="shared" ref="V41" si="96">V16*V30</f>
        <v>16009.4</v>
      </c>
      <c r="X41" s="113">
        <f t="shared" ref="X41" si="97">X16*X30</f>
        <v>19248</v>
      </c>
    </row>
    <row r="42" spans="1:24" x14ac:dyDescent="0.35">
      <c r="A42" s="88" t="s">
        <v>70</v>
      </c>
      <c r="B42" s="113">
        <f t="shared" si="17"/>
        <v>-3483.415569717115</v>
      </c>
      <c r="D42" s="113">
        <f t="shared" si="17"/>
        <v>-1461.8517972356417</v>
      </c>
      <c r="F42" s="113">
        <f t="shared" ref="F42" si="98">F17*F31</f>
        <v>-1973.0086721323823</v>
      </c>
      <c r="H42" s="113">
        <f t="shared" ref="H42" si="99">H17*H31</f>
        <v>-6367.57539263531</v>
      </c>
      <c r="J42" s="113">
        <f t="shared" ref="J42" si="100">J17*J31</f>
        <v>38.842168334162515</v>
      </c>
      <c r="L42" s="113">
        <f t="shared" ref="L42" si="101">L17*L31</f>
        <v>0</v>
      </c>
      <c r="N42" s="113">
        <f t="shared" ref="N42" si="102">N17*N31</f>
        <v>0</v>
      </c>
      <c r="P42" s="113">
        <f t="shared" ref="P42" si="103">P17*P31</f>
        <v>0</v>
      </c>
      <c r="R42" s="113">
        <f t="shared" ref="R42" si="104">R17*R31</f>
        <v>0</v>
      </c>
      <c r="T42" s="113">
        <f t="shared" ref="T42" si="105">T17*T31</f>
        <v>0</v>
      </c>
      <c r="V42" s="113">
        <f t="shared" ref="V42" si="106">V17*V31</f>
        <v>0</v>
      </c>
      <c r="X42" s="113">
        <f t="shared" ref="X42" si="107">X17*X31</f>
        <v>0</v>
      </c>
    </row>
    <row r="44" spans="1:24" x14ac:dyDescent="0.35">
      <c r="A44" s="114" t="s">
        <v>71</v>
      </c>
      <c r="B44" s="115">
        <f>SUM(B33:B42)/SUM(B8:B17)</f>
        <v>98.250246669261784</v>
      </c>
      <c r="D44" s="115">
        <f>SUM(D33:D42)/SUM(D8:D17)</f>
        <v>101.75049453490055</v>
      </c>
      <c r="F44" s="115">
        <f>SUM(F33:F42)/SUM(F8:F17)</f>
        <v>65.054894976211202</v>
      </c>
      <c r="H44" s="115">
        <f>SUM(H33:H42)/SUM(H8:H17)</f>
        <v>74.667392550642688</v>
      </c>
      <c r="J44" s="115">
        <f>SUM(J33:J42)/SUM(J8:J17)</f>
        <v>87.606469382383551</v>
      </c>
      <c r="L44" s="115">
        <f>SUM(L33:L42)/SUM(L8:L17)</f>
        <v>87.666514210292306</v>
      </c>
      <c r="N44" s="115">
        <f>SUM(N33:N42)/SUM(N8:N17)</f>
        <v>106.61413681279909</v>
      </c>
      <c r="P44" s="115">
        <f>SUM(P33:P42)/SUM(P8:P17)</f>
        <v>125.9571696648149</v>
      </c>
      <c r="R44" s="115">
        <f>SUM(R33:R42)/SUM(R8:R17)</f>
        <v>132.96571595311875</v>
      </c>
      <c r="T44" s="115">
        <f>SUM(T33:T42)/SUM(T8:T17)</f>
        <v>139.95572638913404</v>
      </c>
      <c r="V44" s="115">
        <f>SUM(V33:V42)/SUM(V8:V17)</f>
        <v>130.85847670118102</v>
      </c>
      <c r="X44" s="115">
        <f>SUM(X33:X42)/SUM(X8:X17)</f>
        <v>121.10455814505123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724C4FAA239F45BE6884553677265F" ma:contentTypeVersion="16" ma:contentTypeDescription="" ma:contentTypeScope="" ma:versionID="a4c97c6928a8fefb1f731eebf092698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2024-09-17T07:00:00+00:00</OpenedDate>
    <SignificantOrder xmlns="dc463f71-b30c-4ab2-9473-d307f9d35888">false</SignificantOrder>
    <Date1 xmlns="dc463f71-b30c-4ab2-9473-d307f9d35888">2024-10-03T07:00:00+00:00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240719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F5FE41-C63B-4922-AF8B-42BC4D7DD20B}"/>
</file>

<file path=customXml/itemProps2.xml><?xml version="1.0" encoding="utf-8"?>
<ds:datastoreItem xmlns:ds="http://schemas.openxmlformats.org/officeDocument/2006/customXml" ds:itemID="{3E7FC4B1-75ED-4F57-9BEC-34433A1A34EA}"/>
</file>

<file path=customXml/itemProps3.xml><?xml version="1.0" encoding="utf-8"?>
<ds:datastoreItem xmlns:ds="http://schemas.openxmlformats.org/officeDocument/2006/customXml" ds:itemID="{426E755C-1094-4207-9121-F42E09462964}"/>
</file>

<file path=customXml/itemProps4.xml><?xml version="1.0" encoding="utf-8"?>
<ds:datastoreItem xmlns:ds="http://schemas.openxmlformats.org/officeDocument/2006/customXml" ds:itemID="{95982CE2-2353-4209-A020-43384F45BC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Rebate Calculation</vt:lpstr>
      <vt:lpstr>Recycling Revenue</vt:lpstr>
      <vt:lpstr>Customers</vt:lpstr>
      <vt:lpstr>CRC Price</vt:lpstr>
      <vt:lpstr>CRC Composition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Burmester, Evan</dc:creator>
  <cp:lastModifiedBy>Burmester, Evan</cp:lastModifiedBy>
  <dcterms:created xsi:type="dcterms:W3CDTF">2024-09-16T23:46:08Z</dcterms:created>
  <dcterms:modified xsi:type="dcterms:W3CDTF">2024-10-03T17:11:23Z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0x0101006E56B4D1795A2E4DB2F0B01679ED314A00DB724C4FAA239F45BE6884553677265F</vt:lpwstr>
  </property>
  <property fmtid="{D5CDD505-2E9C-101B-9397-08002B2CF9AE}" pid="5" name="_docset_NoMedatataSyncRequired">
    <vt:lpwstr>False</vt:lpwstr>
  </property>
</Properties>
</file>