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/>
  <mc:AlternateContent xmlns:mc="http://schemas.openxmlformats.org/markup-compatibility/2006">
    <mc:Choice Requires="x15">
      <x15ac:absPath xmlns:x15ac="http://schemas.microsoft.com/office/spreadsheetml/2010/11/ac" url="\\pacificorp.us\dfs\PDXCO\PSB1\NPC\PCAM\WA\WA-UE-xxxxxx (Cal Year 2023)\Testimony &amp; Exhibits\"/>
    </mc:Choice>
  </mc:AlternateContent>
  <xr:revisionPtr revIDLastSave="0" documentId="13_ncr:1_{C1674437-F2E9-4787-A418-BDF69639D555}" xr6:coauthVersionLast="47" xr6:coauthVersionMax="47" xr10:uidLastSave="{00000000-0000-0000-0000-000000000000}"/>
  <bookViews>
    <workbookView xWindow="-120" yWindow="-120" windowWidth="29040" windowHeight="15840" firstSheet="1" activeTab="1" xr2:uid="{6144FCC5-95E3-4012-92ED-3CC11F959EFA}"/>
  </bookViews>
  <sheets>
    <sheet name="Summary" sheetId="1" r:id="rId1"/>
    <sheet name="Exhibit JP-2 PCAM Calculation" sheetId="2" r:id="rId2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FuelCost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Burn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Cost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CDQF_Exp">#REF!</definedName>
    <definedName name="ECDQF_MWh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ill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>#REF!</definedName>
    <definedName name="MSPAverageInput">#REF!</definedName>
    <definedName name="MSPYearEndInput">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ak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 localSheetId="1">'Exhibit JP-2 PCAM Calculation'!$A$1:$P$38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rtMWh">#REF!</definedName>
    <definedName name="StartTheMill">#REF!</definedName>
    <definedName name="StartTheRack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localSheetId="0" hidden="1">#REF!</definedName>
    <definedName name="z" hidden="1">#REF!</definedName>
    <definedName name="Z_01844156_6462_4A28_9785_1A86F4D0C834_.wvu.PrintTitles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2" l="1"/>
  <c r="N34" i="2"/>
  <c r="L34" i="2"/>
  <c r="K34" i="2"/>
  <c r="I34" i="2"/>
  <c r="H34" i="2"/>
  <c r="F34" i="2"/>
  <c r="E34" i="2"/>
  <c r="P16" i="2"/>
  <c r="C5" i="1" s="1"/>
  <c r="A16" i="2"/>
  <c r="C9" i="1"/>
  <c r="C12" i="2"/>
  <c r="E11" i="2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C9" i="2"/>
  <c r="D9" i="2"/>
  <c r="H18" i="2" l="1"/>
  <c r="I12" i="2"/>
  <c r="I14" i="2" s="1"/>
  <c r="I18" i="2" s="1"/>
  <c r="H12" i="2"/>
  <c r="H14" i="2" s="1"/>
  <c r="O12" i="2"/>
  <c r="O14" i="2" s="1"/>
  <c r="O18" i="2" s="1"/>
  <c r="G12" i="2"/>
  <c r="G14" i="2" s="1"/>
  <c r="G18" i="2" s="1"/>
  <c r="M12" i="2"/>
  <c r="M14" i="2" s="1"/>
  <c r="M18" i="2" s="1"/>
  <c r="E12" i="2"/>
  <c r="E14" i="2" s="1"/>
  <c r="E18" i="2" s="1"/>
  <c r="E19" i="2" s="1"/>
  <c r="L12" i="2"/>
  <c r="L14" i="2" s="1"/>
  <c r="L18" i="2" s="1"/>
  <c r="D12" i="2"/>
  <c r="D14" i="2" s="1"/>
  <c r="N12" i="2"/>
  <c r="N14" i="2" s="1"/>
  <c r="N18" i="2" s="1"/>
  <c r="F12" i="2"/>
  <c r="F14" i="2" s="1"/>
  <c r="F18" i="2" s="1"/>
  <c r="C6" i="1"/>
  <c r="C7" i="1" s="1"/>
  <c r="K12" i="2"/>
  <c r="K14" i="2" s="1"/>
  <c r="K18" i="2" s="1"/>
  <c r="J12" i="2"/>
  <c r="J14" i="2" s="1"/>
  <c r="J18" i="2" s="1"/>
  <c r="C18" i="2"/>
  <c r="D18" i="2"/>
  <c r="D19" i="2" s="1"/>
  <c r="A18" i="2"/>
  <c r="F19" i="2" l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P14" i="2"/>
  <c r="A19" i="2"/>
  <c r="A22" i="2"/>
  <c r="H24" i="2" l="1"/>
  <c r="O24" i="2"/>
  <c r="G24" i="2"/>
  <c r="N24" i="2"/>
  <c r="F24" i="2"/>
  <c r="D24" i="2"/>
  <c r="C11" i="1"/>
  <c r="M24" i="2"/>
  <c r="E24" i="2"/>
  <c r="L24" i="2"/>
  <c r="K24" i="2"/>
  <c r="J24" i="2"/>
  <c r="I24" i="2"/>
  <c r="A23" i="2"/>
  <c r="C19" i="2"/>
  <c r="D23" i="2" l="1"/>
  <c r="D29" i="2"/>
  <c r="D27" i="2"/>
  <c r="D30" i="2"/>
  <c r="F29" i="2"/>
  <c r="F27" i="2"/>
  <c r="F30" i="2"/>
  <c r="F23" i="2"/>
  <c r="J30" i="2"/>
  <c r="J23" i="2"/>
  <c r="J29" i="2"/>
  <c r="N29" i="2"/>
  <c r="N30" i="2"/>
  <c r="N23" i="2"/>
  <c r="K30" i="2"/>
  <c r="K23" i="2"/>
  <c r="K29" i="2"/>
  <c r="G29" i="2"/>
  <c r="G30" i="2"/>
  <c r="G23" i="2"/>
  <c r="I30" i="2"/>
  <c r="I23" i="2"/>
  <c r="I29" i="2"/>
  <c r="A24" i="2"/>
  <c r="L23" i="2"/>
  <c r="L29" i="2"/>
  <c r="L30" i="2"/>
  <c r="P24" i="2"/>
  <c r="C14" i="1" s="1"/>
  <c r="O29" i="2"/>
  <c r="O30" i="2"/>
  <c r="O23" i="2"/>
  <c r="M23" i="2"/>
  <c r="M29" i="2"/>
  <c r="M30" i="2"/>
  <c r="E23" i="2"/>
  <c r="E28" i="2" s="1"/>
  <c r="E27" i="2"/>
  <c r="G27" i="2" s="1"/>
  <c r="E29" i="2"/>
  <c r="E30" i="2"/>
  <c r="H29" i="2"/>
  <c r="H23" i="2"/>
  <c r="H30" i="2"/>
  <c r="H27" i="2" l="1"/>
  <c r="I27" i="2"/>
  <c r="G28" i="2"/>
  <c r="G31" i="2" s="1"/>
  <c r="G36" i="2" s="1"/>
  <c r="A27" i="2"/>
  <c r="J27" i="2"/>
  <c r="E31" i="2"/>
  <c r="E36" i="2" s="1"/>
  <c r="F28" i="2"/>
  <c r="F31" i="2" s="1"/>
  <c r="F36" i="2" s="1"/>
  <c r="D28" i="2"/>
  <c r="D31" i="2" s="1"/>
  <c r="D36" i="2" l="1"/>
  <c r="A28" i="2"/>
  <c r="H28" i="2"/>
  <c r="H31" i="2" s="1"/>
  <c r="I28" i="2"/>
  <c r="I31" i="2" s="1"/>
  <c r="I36" i="2" s="1"/>
  <c r="A29" i="2"/>
  <c r="A30" i="2" s="1"/>
  <c r="K27" i="2"/>
  <c r="J28" i="2"/>
  <c r="J31" i="2" s="1"/>
  <c r="J36" i="2" s="1"/>
  <c r="A31" i="2" l="1"/>
  <c r="H36" i="2"/>
  <c r="D37" i="2"/>
  <c r="K31" i="2"/>
  <c r="K36" i="2" s="1"/>
  <c r="K28" i="2"/>
  <c r="L27" i="2"/>
  <c r="A34" i="2"/>
  <c r="A35" i="2" s="1"/>
  <c r="C36" i="2" l="1"/>
  <c r="A36" i="2"/>
  <c r="A37" i="2" s="1"/>
  <c r="A38" i="2" s="1"/>
  <c r="D38" i="2"/>
  <c r="E35" i="2" s="1"/>
  <c r="L31" i="2"/>
  <c r="L28" i="2"/>
  <c r="M27" i="2"/>
  <c r="E38" i="2" l="1"/>
  <c r="F35" i="2" s="1"/>
  <c r="E37" i="2"/>
  <c r="C40" i="2"/>
  <c r="A40" i="2"/>
  <c r="A42" i="2" s="1"/>
  <c r="M28" i="2"/>
  <c r="M31" i="2" s="1"/>
  <c r="N27" i="2"/>
  <c r="C38" i="2"/>
  <c r="L36" i="2"/>
  <c r="C37" i="2"/>
  <c r="M36" i="2" l="1"/>
  <c r="N28" i="2"/>
  <c r="N31" i="2" s="1"/>
  <c r="O27" i="2"/>
  <c r="C42" i="2"/>
  <c r="F37" i="2"/>
  <c r="N36" i="2" l="1"/>
  <c r="F38" i="2"/>
  <c r="G35" i="2" s="1"/>
  <c r="O28" i="2"/>
  <c r="O31" i="2" s="1"/>
  <c r="O36" i="2" l="1"/>
  <c r="P31" i="2"/>
  <c r="C16" i="1" s="1"/>
  <c r="G37" i="2"/>
  <c r="G38" i="2" s="1"/>
  <c r="H35" i="2" s="1"/>
  <c r="H37" i="2" l="1"/>
  <c r="H38" i="2" s="1"/>
  <c r="I35" i="2" s="1"/>
  <c r="I37" i="2" l="1"/>
  <c r="I38" i="2" s="1"/>
  <c r="J35" i="2" s="1"/>
  <c r="J37" i="2" l="1"/>
  <c r="J38" i="2" s="1"/>
  <c r="K35" i="2" s="1"/>
  <c r="K37" i="2" l="1"/>
  <c r="K38" i="2" s="1"/>
  <c r="L35" i="2" s="1"/>
  <c r="L37" i="2" l="1"/>
  <c r="L38" i="2" s="1"/>
  <c r="M35" i="2" s="1"/>
  <c r="M37" i="2" l="1"/>
  <c r="M38" i="2" s="1"/>
  <c r="N35" i="2" s="1"/>
  <c r="N37" i="2" l="1"/>
  <c r="N38" i="2" s="1"/>
  <c r="O35" i="2" s="1"/>
  <c r="O37" i="2" l="1"/>
  <c r="C17" i="1" s="1"/>
  <c r="O38" i="2" l="1"/>
  <c r="P38" i="2" s="1"/>
  <c r="P40" i="2" l="1"/>
  <c r="C18" i="1" s="1"/>
  <c r="C20" i="1" s="1"/>
  <c r="P42" i="2" l="1"/>
</calcChain>
</file>

<file path=xl/sharedStrings.xml><?xml version="1.0" encoding="utf-8"?>
<sst xmlns="http://schemas.openxmlformats.org/spreadsheetml/2006/main" count="59" uniqueCount="57">
  <si>
    <t>Calendar Year 2023 PCAM Deferral</t>
  </si>
  <si>
    <t>Actual PCAM Costs ($/MWh)</t>
  </si>
  <si>
    <t>Base PCAM Costs ($/MWh)</t>
  </si>
  <si>
    <t>PCAM Cost Differential ($/MWh)</t>
  </si>
  <si>
    <t>Washington Sales (MWh)</t>
  </si>
  <si>
    <t>Total PCAM Differential*</t>
  </si>
  <si>
    <t>Total Deferrable ABOVE Deadband</t>
  </si>
  <si>
    <t>Total Deferrable BELOW Deadband</t>
  </si>
  <si>
    <t>Washington Deferral after Sharing</t>
  </si>
  <si>
    <t>Interest Accrued through December 31, 2023</t>
  </si>
  <si>
    <t>Interest Accrued January 1, 2024 through September 30, 2024</t>
  </si>
  <si>
    <t>Requested PCAM Recovery</t>
  </si>
  <si>
    <t>* Calculated monthly</t>
  </si>
  <si>
    <t>Washington Power Cost Adjustment Mechanism</t>
  </si>
  <si>
    <t>Deferral Period: January 1, 2023 - December 31, 2023</t>
  </si>
  <si>
    <t>Exhibit No. JP-2: Power Cost Adjustment Mechanism Calculation</t>
  </si>
  <si>
    <t>Line No.</t>
  </si>
  <si>
    <t>Base NPC in Rates:</t>
  </si>
  <si>
    <t>UE-210402</t>
  </si>
  <si>
    <t>Total Annual NPC in Rates</t>
  </si>
  <si>
    <t>(4.1)</t>
  </si>
  <si>
    <t>Retail Sales @ Meter in Rates</t>
  </si>
  <si>
    <t>(7.1)</t>
  </si>
  <si>
    <t>NPC $/MWh - Final NPC October Update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</si>
  <si>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</si>
  <si>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</si>
  <si>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</si>
  <si>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</si>
  <si>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</si>
  <si>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</si>
  <si>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WIJAM Allocated Adjusted Actual NPC</t>
  </si>
  <si>
    <t>(3.1)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</si>
  <si>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</si>
  <si>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</si>
  <si>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</si>
  <si>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</si>
  <si>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</si>
  <si>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</si>
  <si>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</si>
  <si>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</si>
  <si>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</si>
  <si>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</si>
  <si>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</si>
  <si>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</si>
  <si>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</si>
  <si>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</si>
  <si>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</si>
  <si>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</si>
  <si>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</si>
  <si>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</si>
  <si>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</si>
  <si>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</si>
  <si>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</si>
  <si>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</si>
  <si>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Carrying Charge</t>
  </si>
  <si>
    <t>Ending PCAM Balance</t>
  </si>
  <si>
    <t>Total PCAM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</si>
</sst>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* \(#,##0.00\);_(&quot;$&quot;* &quot;-&quot;??_);_(@_)"/>
    <numFmt numFmtId="165" formatCode="_(* #,##0_);_(* \(#,##0\);_(* &quot;-&quot;??_);_(@_)"/>
    <numFmt numFmtId="166" formatCode="_(&quot;$&quot;\ #,##0_);_(&quot;$&quot;* \(#,##0\);_(&quot;$&quot;* &quot;-&quot;_);_(@_)"/>
    <numFmt numFmtId="167" formatCode="[$-409]mmm\-yy;@"/>
    <numFmt numFmtId="168" formatCode="_(&quot;$&quot;* #,##0_);_(&quot;$&quot;* \(#,##0\);_(&quot;$&quot;* &quot;-&quot;??_);_(@_)"/>
  </numFmts>
  <fonts count="10"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0" borderId="0" xfId="4" applyFont="1"/>
    <xf numFmtId="0" fontId="3" fillId="2" borderId="4" xfId="4" applyFont="1" applyFill="1" applyBorder="1"/>
    <xf numFmtId="0" fontId="2" fillId="2" borderId="0" xfId="4" applyFont="1" applyFill="1"/>
    <xf numFmtId="0" fontId="2" fillId="2" borderId="5" xfId="4" applyFont="1" applyFill="1" applyBorder="1"/>
    <xf numFmtId="0" fontId="2" fillId="2" borderId="4" xfId="4" applyFont="1" applyFill="1" applyBorder="1"/>
    <xf numFmtId="0" fontId="5" fillId="2" borderId="4" xfId="0" applyFont="1" applyFill="1" applyBorder="1" applyAlignment="1">
      <alignment horizontal="left" indent="1"/>
    </xf>
    <xf numFmtId="44" fontId="2" fillId="2" borderId="0" xfId="5" applyFont="1" applyFill="1" applyBorder="1" applyAlignment="1">
      <alignment horizontal="right" vertical="center"/>
    </xf>
    <xf numFmtId="43" fontId="2" fillId="2" borderId="6" xfId="5" applyNumberFormat="1" applyFont="1" applyFill="1" applyBorder="1" applyAlignment="1">
      <alignment horizontal="right" vertical="center"/>
    </xf>
    <xf numFmtId="43" fontId="2" fillId="2" borderId="0" xfId="5" applyNumberFormat="1" applyFont="1" applyFill="1" applyBorder="1" applyAlignment="1">
      <alignment horizontal="right" vertical="center"/>
    </xf>
    <xf numFmtId="164" fontId="6" fillId="2" borderId="0" xfId="5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/>
    <xf numFmtId="0" fontId="2" fillId="2" borderId="4" xfId="4" applyFont="1" applyFill="1" applyBorder="1" applyAlignment="1">
      <alignment horizontal="left" indent="1"/>
    </xf>
    <xf numFmtId="166" fontId="2" fillId="2" borderId="0" xfId="4" applyNumberFormat="1" applyFont="1" applyFill="1"/>
    <xf numFmtId="41" fontId="2" fillId="2" borderId="0" xfId="4" applyNumberFormat="1" applyFont="1" applyFill="1"/>
    <xf numFmtId="41" fontId="2" fillId="2" borderId="0" xfId="1" applyNumberFormat="1" applyFont="1" applyFill="1" applyBorder="1"/>
    <xf numFmtId="0" fontId="6" fillId="2" borderId="4" xfId="4" applyFont="1" applyFill="1" applyBorder="1" applyAlignment="1">
      <alignment horizontal="left" indent="1"/>
    </xf>
    <xf numFmtId="41" fontId="6" fillId="2" borderId="0" xfId="4" applyNumberFormat="1" applyFont="1" applyFill="1"/>
    <xf numFmtId="166" fontId="6" fillId="2" borderId="7" xfId="4" applyNumberFormat="1" applyFont="1" applyFill="1" applyBorder="1"/>
    <xf numFmtId="0" fontId="6" fillId="2" borderId="4" xfId="4" applyFont="1" applyFill="1" applyBorder="1"/>
    <xf numFmtId="166" fontId="6" fillId="2" borderId="0" xfId="4" applyNumberFormat="1" applyFont="1" applyFill="1"/>
    <xf numFmtId="0" fontId="7" fillId="2" borderId="4" xfId="4" applyFont="1" applyFill="1" applyBorder="1"/>
    <xf numFmtId="0" fontId="2" fillId="2" borderId="8" xfId="4" applyFont="1" applyFill="1" applyBorder="1"/>
    <xf numFmtId="0" fontId="2" fillId="2" borderId="6" xfId="4" applyFont="1" applyFill="1" applyBorder="1"/>
    <xf numFmtId="0" fontId="2" fillId="2" borderId="9" xfId="4" applyFont="1" applyFill="1" applyBorder="1"/>
    <xf numFmtId="165" fontId="5" fillId="0" borderId="0" xfId="1" applyNumberFormat="1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/>
    </xf>
    <xf numFmtId="167" fontId="9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8" fontId="0" fillId="0" borderId="0" xfId="2" applyNumberFormat="1" applyFont="1"/>
    <xf numFmtId="0" fontId="1" fillId="0" borderId="0" xfId="0" applyFont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0" fillId="0" borderId="0" xfId="1" applyNumberFormat="1" applyFont="1" applyBorder="1"/>
    <xf numFmtId="44" fontId="1" fillId="0" borderId="2" xfId="2" applyFont="1" applyFill="1" applyBorder="1" applyAlignment="1">
      <alignment horizontal="center"/>
    </xf>
    <xf numFmtId="44" fontId="9" fillId="0" borderId="0" xfId="2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7" fontId="9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4" fontId="0" fillId="0" borderId="0" xfId="6" applyFont="1" applyFill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1" fontId="1" fillId="0" borderId="0" xfId="6" applyNumberFormat="1" applyFont="1" applyFill="1" applyAlignment="1">
      <alignment horizontal="right" vertical="center"/>
    </xf>
    <xf numFmtId="41" fontId="0" fillId="0" borderId="2" xfId="0" applyNumberForma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4" fillId="0" borderId="2" xfId="6" applyNumberFormat="1" applyFont="1" applyFill="1" applyBorder="1" applyAlignment="1">
      <alignment horizontal="center" vertical="center"/>
    </xf>
    <xf numFmtId="41" fontId="4" fillId="0" borderId="0" xfId="6" applyNumberFormat="1" applyFont="1" applyFill="1" applyBorder="1" applyAlignment="1">
      <alignment horizontal="center" vertical="center"/>
    </xf>
    <xf numFmtId="41" fontId="8" fillId="0" borderId="0" xfId="0" applyNumberFormat="1" applyFont="1"/>
    <xf numFmtId="0" fontId="1" fillId="0" borderId="0" xfId="0" applyFont="1" applyAlignment="1">
      <alignment horizontal="center" vertical="center" wrapText="1"/>
    </xf>
    <xf numFmtId="168" fontId="1" fillId="0" borderId="2" xfId="6" applyNumberFormat="1" applyFont="1" applyFill="1" applyBorder="1" applyAlignment="1">
      <alignment horizontal="right" vertical="center"/>
    </xf>
    <xf numFmtId="168" fontId="0" fillId="0" borderId="2" xfId="0" applyNumberFormat="1" applyBorder="1" applyAlignment="1">
      <alignment vertical="center"/>
    </xf>
    <xf numFmtId="168" fontId="1" fillId="0" borderId="0" xfId="6" applyNumberFormat="1" applyFont="1" applyFill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0" fillId="0" borderId="0" xfId="0" applyNumberForma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5" fontId="0" fillId="0" borderId="0" xfId="1" applyNumberFormat="1" applyFont="1"/>
    <xf numFmtId="41" fontId="1" fillId="0" borderId="0" xfId="6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8" fontId="0" fillId="0" borderId="0" xfId="0" applyNumberFormat="1" applyAlignment="1">
      <alignment horizontal="center" vertical="center"/>
    </xf>
    <xf numFmtId="9" fontId="0" fillId="0" borderId="0" xfId="3" applyFont="1"/>
    <xf numFmtId="165" fontId="1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8" fillId="0" borderId="0" xfId="0" applyFont="1" applyAlignment="1">
      <alignment wrapText="1"/>
    </xf>
    <xf numFmtId="168" fontId="1" fillId="0" borderId="0" xfId="6" applyNumberFormat="1" applyFont="1" applyFill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10" fontId="0" fillId="0" borderId="0" xfId="3" applyNumberFormat="1" applyFont="1" applyFill="1"/>
    <xf numFmtId="168" fontId="0" fillId="0" borderId="0" xfId="2" applyNumberFormat="1" applyFont="1" applyFill="1" applyAlignment="1">
      <alignment horizontal="center"/>
    </xf>
    <xf numFmtId="43" fontId="0" fillId="0" borderId="0" xfId="0" applyNumberFormat="1"/>
    <xf numFmtId="165" fontId="0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68" fontId="8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1" fontId="1" fillId="0" borderId="0" xfId="0" applyNumberFormat="1" applyFont="1" applyAlignment="1">
      <alignment horizontal="right" vertical="center"/>
    </xf>
    <xf numFmtId="44" fontId="0" fillId="0" borderId="0" xfId="0" applyNumberFormat="1"/>
    <xf numFmtId="168" fontId="8" fillId="0" borderId="7" xfId="0" applyNumberFormat="1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/>
    </xf>
  </cellXfs>
  <cellStyles count="7">
    <cellStyle name="Comma" xfId="1" builtinId="3"/>
    <cellStyle name="Currency" xfId="2" builtinId="4"/>
    <cellStyle name="Currency 10" xfId="5" xr:uid="{EF81D249-7173-492D-8369-A34661ED116B}"/>
    <cellStyle name="Currency 2 2" xfId="6" xr:uid="{C3C93FFD-E29E-4B07-9E1B-2F3793C3E3F7}"/>
    <cellStyle name="Normal" xfId="0" builtinId="0"/>
    <cellStyle name="Normal 10 2 2" xfId="4" xr:uid="{41EA7F1C-1C4C-41C5-B701-5518B885321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97F2-3505-46E9-88DD-D17B8AE51737}">
  <sheetPr>
    <pageSetUpPr autoPageBreaks="0"/>
  </sheetPr>
  <dimension ref="B2:D25"/>
  <sheetViews>
    <sheetView zoomScaleNormal="100" workbookViewId="0"/>
  </sheetViews>
  <sheetFormatPr defaultRowHeight="15.75"/>
  <cols>
    <col min="1" max="1" width="9.140625" style="4"/>
    <col min="2" max="2" width="59" style="4" bestFit="1" customWidth="1"/>
    <col min="3" max="3" width="20.7109375" style="4" customWidth="1"/>
    <col min="4" max="4" width="1.85546875" style="4" customWidth="1"/>
    <col min="5" max="16384" width="9.140625" style="4"/>
  </cols>
  <sheetData>
    <row r="2" spans="2:4">
      <c r="B2" s="1"/>
      <c r="C2" s="2"/>
      <c r="D2" s="3"/>
    </row>
    <row r="3" spans="2:4">
      <c r="B3" s="5" t="s">
        <v>0</v>
      </c>
      <c r="C3" s="6"/>
      <c r="D3" s="7"/>
    </row>
    <row r="4" spans="2:4">
      <c r="B4" s="8"/>
      <c r="C4" s="6"/>
      <c r="D4" s="7"/>
    </row>
    <row r="5" spans="2:4">
      <c r="B5" s="9" t="s">
        <v>1</v>
      </c>
      <c r="C5" s="10">
        <f>'Exhibit JP-2 PCAM Calculation'!P16/SUM('Exhibit JP-2 PCAM Calculation'!D13:O13)</f>
        <v>58.295060544013538</v>
      </c>
      <c r="D5" s="7"/>
    </row>
    <row r="6" spans="2:4">
      <c r="B6" s="9" t="s">
        <v>2</v>
      </c>
      <c r="C6" s="11">
        <f>('Exhibit JP-2 PCAM Calculation'!D9*(4/12))+('Exhibit JP-2 PCAM Calculation'!H9*(8/12))</f>
        <v>11.857347816523095</v>
      </c>
      <c r="D6" s="7"/>
    </row>
    <row r="7" spans="2:4">
      <c r="B7" s="9" t="s">
        <v>3</v>
      </c>
      <c r="C7" s="12">
        <f>+C5-C6</f>
        <v>46.437712727490442</v>
      </c>
      <c r="D7" s="7"/>
    </row>
    <row r="8" spans="2:4">
      <c r="B8" s="9"/>
      <c r="C8" s="13"/>
      <c r="D8" s="7"/>
    </row>
    <row r="9" spans="2:4">
      <c r="B9" s="9" t="s">
        <v>4</v>
      </c>
      <c r="C9" s="14">
        <f>SUM('Exhibit JP-2 PCAM Calculation'!D13:O13)</f>
        <v>3850047.92</v>
      </c>
      <c r="D9" s="7"/>
    </row>
    <row r="10" spans="2:4">
      <c r="B10" s="15"/>
      <c r="C10" s="16"/>
      <c r="D10" s="7"/>
    </row>
    <row r="11" spans="2:4">
      <c r="B11" s="15" t="s">
        <v>5</v>
      </c>
      <c r="C11" s="16">
        <f>'Exhibit JP-2 PCAM Calculation'!P19</f>
        <v>87484704.700589582</v>
      </c>
      <c r="D11" s="7"/>
    </row>
    <row r="12" spans="2:4">
      <c r="B12" s="15"/>
      <c r="C12" s="16"/>
      <c r="D12" s="7"/>
    </row>
    <row r="13" spans="2:4">
      <c r="B13" s="9" t="s">
        <v>6</v>
      </c>
      <c r="C13" s="17">
        <v>0</v>
      </c>
      <c r="D13" s="7"/>
    </row>
    <row r="14" spans="2:4">
      <c r="B14" s="9" t="s">
        <v>7</v>
      </c>
      <c r="C14" s="18">
        <f>'Exhibit JP-2 PCAM Calculation'!P24</f>
        <v>83484704.700589582</v>
      </c>
      <c r="D14" s="7"/>
    </row>
    <row r="15" spans="2:4">
      <c r="B15" s="19"/>
      <c r="C15" s="20"/>
      <c r="D15" s="7"/>
    </row>
    <row r="16" spans="2:4">
      <c r="B16" s="15" t="s">
        <v>8</v>
      </c>
      <c r="C16" s="17">
        <f>'Exhibit JP-2 PCAM Calculation'!P31</f>
        <v>72736234.230530635</v>
      </c>
      <c r="D16" s="7"/>
    </row>
    <row r="17" spans="2:4">
      <c r="B17" s="15" t="s">
        <v>9</v>
      </c>
      <c r="C17" s="17">
        <f>SUM('Exhibit JP-2 PCAM Calculation'!D37:O37)</f>
        <v>3293316.6065404182</v>
      </c>
      <c r="D17" s="7"/>
    </row>
    <row r="18" spans="2:4">
      <c r="B18" s="15" t="s">
        <v>10</v>
      </c>
      <c r="C18" s="17">
        <f>'Exhibit JP-2 PCAM Calculation'!P40</f>
        <v>4986506.2624892145</v>
      </c>
      <c r="D18" s="7"/>
    </row>
    <row r="19" spans="2:4">
      <c r="B19" s="15"/>
      <c r="C19" s="17"/>
      <c r="D19" s="7"/>
    </row>
    <row r="20" spans="2:4" ht="16.5" thickBot="1">
      <c r="B20" s="19" t="s">
        <v>11</v>
      </c>
      <c r="C20" s="21">
        <f>C16+C17+C18</f>
        <v>81016057.099560261</v>
      </c>
      <c r="D20" s="7"/>
    </row>
    <row r="21" spans="2:4" ht="16.5" thickTop="1">
      <c r="B21" s="22"/>
      <c r="C21" s="23"/>
      <c r="D21" s="7"/>
    </row>
    <row r="22" spans="2:4">
      <c r="B22" s="24" t="s">
        <v>12</v>
      </c>
      <c r="C22" s="6"/>
      <c r="D22" s="7"/>
    </row>
    <row r="23" spans="2:4">
      <c r="B23" s="25"/>
      <c r="C23" s="26"/>
      <c r="D23" s="27"/>
    </row>
    <row r="25" spans="2:4">
      <c r="C25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80CB-A63B-40AB-AA6F-01AD5CE8AAF2}">
  <sheetPr>
    <pageSetUpPr fitToPage="1"/>
  </sheetPr>
  <dimension ref="A1:X43"/>
  <sheetViews>
    <sheetView tabSelected="1" zoomScale="90" zoomScaleNormal="90" workbookViewId="0">
      <pane ySplit="5" topLeftCell="A6" activePane="bottomLeft" state="frozen"/>
      <selection pane="bottomLeft"/>
    </sheetView>
  </sheetViews>
  <sheetFormatPr defaultRowHeight="12.75"/>
  <cols>
    <col min="1" max="1" width="5.5703125" customWidth="1"/>
    <col min="2" max="2" width="49" customWidth="1"/>
    <col min="3" max="3" width="35.5703125" style="30" customWidth="1"/>
    <col min="4" max="16" width="14.710937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>
      <c r="A1" s="29" t="s">
        <v>13</v>
      </c>
    </row>
    <row r="2" spans="1:16">
      <c r="A2" s="29" t="s">
        <v>14</v>
      </c>
    </row>
    <row r="3" spans="1:16">
      <c r="A3" s="29" t="s">
        <v>15</v>
      </c>
    </row>
    <row r="5" spans="1:16" ht="25.5">
      <c r="A5" s="31" t="s">
        <v>16</v>
      </c>
      <c r="B5" s="32"/>
      <c r="E5" s="33"/>
      <c r="F5" s="33"/>
      <c r="G5" s="33"/>
      <c r="H5" s="33"/>
    </row>
    <row r="6" spans="1:16">
      <c r="A6" s="34" t="s">
        <v>17</v>
      </c>
      <c r="B6" s="32"/>
      <c r="C6" s="35"/>
      <c r="D6" s="33" t="s">
        <v>18</v>
      </c>
      <c r="E6" s="36"/>
      <c r="F6" s="36"/>
      <c r="G6" s="36"/>
      <c r="H6" s="33"/>
    </row>
    <row r="7" spans="1:16">
      <c r="A7" s="37">
        <v>1</v>
      </c>
      <c r="B7" s="38" t="s">
        <v>19</v>
      </c>
      <c r="C7" s="30" t="s">
        <v>20</v>
      </c>
      <c r="D7" s="39">
        <v>145191095.09510398</v>
      </c>
      <c r="E7" s="39"/>
      <c r="F7" s="97"/>
      <c r="G7" s="97"/>
      <c r="H7" s="39"/>
    </row>
    <row r="8" spans="1:16">
      <c r="A8" s="40">
        <v>2</v>
      </c>
      <c r="B8" t="s">
        <v>21</v>
      </c>
      <c r="C8" s="30" t="s">
        <v>22</v>
      </c>
      <c r="D8" s="41">
        <v>4081606.818594561</v>
      </c>
      <c r="E8" s="41"/>
      <c r="F8" s="98"/>
      <c r="G8" s="98"/>
      <c r="H8" s="42"/>
    </row>
    <row r="9" spans="1:16">
      <c r="A9" s="40">
        <v>3</v>
      </c>
      <c r="B9" t="s">
        <v>23</v>
      </c>
      <c r="C9" s="30" t="str">
        <f>"Line "&amp;A7&amp;" / Line "&amp;A8</f>
        <v>Line 1 / Line 2</v>
      </c>
      <c r="D9" s="43">
        <f>+D7/D8</f>
        <v>35.572043449569286</v>
      </c>
      <c r="E9" s="44"/>
      <c r="F9" s="98"/>
      <c r="G9" s="98"/>
      <c r="H9" s="45"/>
      <c r="I9" s="46"/>
    </row>
    <row r="10" spans="1:16">
      <c r="A10" s="47"/>
      <c r="B10" s="32"/>
      <c r="D10" s="36"/>
      <c r="E10" s="36"/>
      <c r="F10" s="36"/>
      <c r="G10" s="36"/>
    </row>
    <row r="11" spans="1:16">
      <c r="A11" s="48" t="s">
        <v>24</v>
      </c>
      <c r="B11" s="49"/>
      <c r="D11" s="50">
        <v>44927</v>
      </c>
      <c r="E11" s="50">
        <f>EDATE(D11,1)</f>
        <v>44958</v>
      </c>
      <c r="F11" s="50">
        <f t="shared" ref="F11:O11" si="0">EDATE(E11,1)</f>
        <v>44986</v>
      </c>
      <c r="G11" s="50">
        <f t="shared" si="0"/>
        <v>45017</v>
      </c>
      <c r="H11" s="50">
        <f t="shared" si="0"/>
        <v>45047</v>
      </c>
      <c r="I11" s="50">
        <f t="shared" si="0"/>
        <v>45078</v>
      </c>
      <c r="J11" s="50">
        <f t="shared" si="0"/>
        <v>45108</v>
      </c>
      <c r="K11" s="50">
        <f t="shared" si="0"/>
        <v>45139</v>
      </c>
      <c r="L11" s="50">
        <f t="shared" si="0"/>
        <v>45170</v>
      </c>
      <c r="M11" s="50">
        <f t="shared" si="0"/>
        <v>45200</v>
      </c>
      <c r="N11" s="50">
        <f t="shared" si="0"/>
        <v>45231</v>
      </c>
      <c r="O11" s="50">
        <f t="shared" si="0"/>
        <v>45261</v>
      </c>
      <c r="P11" s="51" t="s">
        <v>25</v>
      </c>
    </row>
    <row r="12" spans="1:16">
      <c r="A12" s="37">
        <v>4</v>
      </c>
      <c r="B12" s="49" t="s">
        <v>26</v>
      </c>
      <c r="C12" s="30" t="str">
        <f>"Line "&amp;A9</f>
        <v>Line 3</v>
      </c>
      <c r="D12" s="52">
        <f>$D$9</f>
        <v>35.572043449569286</v>
      </c>
      <c r="E12" s="52">
        <f t="shared" ref="E12:O12" si="1">$D$9</f>
        <v>35.572043449569286</v>
      </c>
      <c r="F12" s="52">
        <f t="shared" si="1"/>
        <v>35.572043449569286</v>
      </c>
      <c r="G12" s="52">
        <f t="shared" si="1"/>
        <v>35.572043449569286</v>
      </c>
      <c r="H12" s="52">
        <f t="shared" si="1"/>
        <v>35.572043449569286</v>
      </c>
      <c r="I12" s="52">
        <f t="shared" si="1"/>
        <v>35.572043449569286</v>
      </c>
      <c r="J12" s="52">
        <f t="shared" si="1"/>
        <v>35.572043449569286</v>
      </c>
      <c r="K12" s="52">
        <f t="shared" si="1"/>
        <v>35.572043449569286</v>
      </c>
      <c r="L12" s="52">
        <f t="shared" si="1"/>
        <v>35.572043449569286</v>
      </c>
      <c r="M12" s="52">
        <f t="shared" si="1"/>
        <v>35.572043449569286</v>
      </c>
      <c r="N12" s="52">
        <f t="shared" si="1"/>
        <v>35.572043449569286</v>
      </c>
      <c r="O12" s="52">
        <f t="shared" si="1"/>
        <v>35.572043449569286</v>
      </c>
    </row>
    <row r="13" spans="1:16">
      <c r="A13" s="37">
        <v>5</v>
      </c>
      <c r="B13" s="49" t="s">
        <v>27</v>
      </c>
      <c r="C13" s="30" t="s">
        <v>22</v>
      </c>
      <c r="D13" s="53">
        <v>397967.68200000003</v>
      </c>
      <c r="E13" s="53">
        <v>335797.69199999998</v>
      </c>
      <c r="F13" s="53">
        <v>336092.07200000004</v>
      </c>
      <c r="G13" s="53">
        <v>287329.95200000005</v>
      </c>
      <c r="H13" s="53">
        <v>276723.60400000005</v>
      </c>
      <c r="I13" s="53">
        <v>297605.84999999998</v>
      </c>
      <c r="J13" s="53">
        <v>331175.21800000005</v>
      </c>
      <c r="K13" s="53">
        <v>328739.96100000001</v>
      </c>
      <c r="L13" s="53">
        <v>268309.48499999999</v>
      </c>
      <c r="M13" s="53">
        <v>281566.72699999996</v>
      </c>
      <c r="N13" s="53">
        <v>338623.6</v>
      </c>
      <c r="O13" s="53">
        <v>370116.07699999999</v>
      </c>
    </row>
    <row r="14" spans="1:16">
      <c r="A14" s="37">
        <v>6</v>
      </c>
      <c r="B14" s="54" t="s">
        <v>28</v>
      </c>
      <c r="C14" s="55" t="s">
        <v>29</v>
      </c>
      <c r="D14" s="56">
        <f>D12*D13</f>
        <v>14156523.675628373</v>
      </c>
      <c r="E14" s="56">
        <f t="shared" ref="E14:O14" si="2">E12*E13</f>
        <v>11945010.090089085</v>
      </c>
      <c r="F14" s="56">
        <f t="shared" si="2"/>
        <v>11955481.78823977</v>
      </c>
      <c r="G14" s="56">
        <f t="shared" si="2"/>
        <v>10220913.53690666</v>
      </c>
      <c r="H14" s="56">
        <f t="shared" si="2"/>
        <v>9843624.0650094058</v>
      </c>
      <c r="I14" s="56">
        <f t="shared" si="2"/>
        <v>10586448.227045998</v>
      </c>
      <c r="J14" s="56">
        <f t="shared" si="2"/>
        <v>11780579.244116582</v>
      </c>
      <c r="K14" s="56">
        <f t="shared" si="2"/>
        <v>11693952.176301712</v>
      </c>
      <c r="L14" s="56">
        <f t="shared" si="2"/>
        <v>9544316.6583515573</v>
      </c>
      <c r="M14" s="56">
        <f t="shared" si="2"/>
        <v>10015903.846797012</v>
      </c>
      <c r="N14" s="56">
        <f t="shared" si="2"/>
        <v>12045533.412249569</v>
      </c>
      <c r="O14" s="56">
        <f t="shared" si="2"/>
        <v>13165785.172428131</v>
      </c>
      <c r="P14" s="57">
        <f>SUM(D14:O14)</f>
        <v>136954071.89316383</v>
      </c>
    </row>
    <row r="15" spans="1:16">
      <c r="A15" s="37"/>
      <c r="B15" s="58"/>
      <c r="C15" s="59"/>
      <c r="D15" s="60"/>
      <c r="E15" s="60"/>
      <c r="F15" s="60"/>
      <c r="G15" s="60"/>
      <c r="H15" s="61"/>
      <c r="I15" s="61"/>
      <c r="J15" s="61"/>
      <c r="K15" s="61"/>
      <c r="L15" s="61"/>
      <c r="M15" s="61"/>
      <c r="N15" s="61"/>
      <c r="O15" s="61"/>
      <c r="P15" s="61"/>
    </row>
    <row r="16" spans="1:16">
      <c r="A16" s="37">
        <f>MAX($A$11:A15)+1</f>
        <v>7</v>
      </c>
      <c r="B16" s="62" t="s">
        <v>30</v>
      </c>
      <c r="C16" s="30" t="s">
        <v>31</v>
      </c>
      <c r="D16" s="63">
        <v>28718088.774478938</v>
      </c>
      <c r="E16" s="63">
        <v>26703703.092555422</v>
      </c>
      <c r="F16" s="63">
        <v>22272790.801711671</v>
      </c>
      <c r="G16" s="63">
        <v>14630007.80882868</v>
      </c>
      <c r="H16" s="63">
        <v>10852575.681936659</v>
      </c>
      <c r="I16" s="63">
        <v>12903267.862012578</v>
      </c>
      <c r="J16" s="63">
        <v>21065753.234366264</v>
      </c>
      <c r="K16" s="63">
        <v>21858063.246616866</v>
      </c>
      <c r="L16" s="63">
        <v>17952800.909776933</v>
      </c>
      <c r="M16" s="63">
        <v>8958310.7026881576</v>
      </c>
      <c r="N16" s="63">
        <v>20412227.578252118</v>
      </c>
      <c r="O16" s="63">
        <v>18111186.900529157</v>
      </c>
      <c r="P16" s="57">
        <f>SUM(D16:O16)</f>
        <v>224438776.5937534</v>
      </c>
    </row>
    <row r="17" spans="1:24">
      <c r="A17" s="37"/>
      <c r="B17" s="62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24">
      <c r="A18" s="37">
        <f>MAX($A$11:A17)+1</f>
        <v>8</v>
      </c>
      <c r="B18" s="54" t="s">
        <v>32</v>
      </c>
      <c r="C18" s="30" t="str">
        <f>"Line "&amp;A16&amp;" - Line "&amp;A14</f>
        <v>Line 7 - Line 6</v>
      </c>
      <c r="D18" s="56">
        <f t="shared" ref="D18:O18" si="3">+D16-D14</f>
        <v>14561565.098850565</v>
      </c>
      <c r="E18" s="56">
        <f t="shared" si="3"/>
        <v>14758693.002466338</v>
      </c>
      <c r="F18" s="56">
        <f t="shared" si="3"/>
        <v>10317309.013471901</v>
      </c>
      <c r="G18" s="56">
        <f t="shared" si="3"/>
        <v>4409094.2719220202</v>
      </c>
      <c r="H18" s="56">
        <f t="shared" si="3"/>
        <v>1008951.6169272531</v>
      </c>
      <c r="I18" s="56">
        <f t="shared" si="3"/>
        <v>2316819.6349665802</v>
      </c>
      <c r="J18" s="56">
        <f t="shared" si="3"/>
        <v>9285173.9902496822</v>
      </c>
      <c r="K18" s="56">
        <f t="shared" si="3"/>
        <v>10164111.070315154</v>
      </c>
      <c r="L18" s="56">
        <f t="shared" si="3"/>
        <v>8408484.2514253762</v>
      </c>
      <c r="M18" s="56">
        <f t="shared" si="3"/>
        <v>-1057593.1441088542</v>
      </c>
      <c r="N18" s="56">
        <f t="shared" si="3"/>
        <v>8366694.1660025492</v>
      </c>
      <c r="O18" s="56">
        <f t="shared" si="3"/>
        <v>4945401.7281010263</v>
      </c>
      <c r="P18" s="65"/>
    </row>
    <row r="19" spans="1:24">
      <c r="A19" s="37">
        <f>MAX($A$11:A18)+1</f>
        <v>9</v>
      </c>
      <c r="B19" s="54" t="s">
        <v>33</v>
      </c>
      <c r="C19" s="66" t="str">
        <f>"Line "&amp;A18&amp;" + Prior Month Line "&amp;A19</f>
        <v>Line 8 + Prior Month Line 9</v>
      </c>
      <c r="D19" s="67">
        <f>+D18</f>
        <v>14561565.098850565</v>
      </c>
      <c r="E19" s="67">
        <f t="shared" ref="E19:J19" si="4">+E18+D19</f>
        <v>29320258.101316903</v>
      </c>
      <c r="F19" s="67">
        <f t="shared" si="4"/>
        <v>39637567.1147888</v>
      </c>
      <c r="G19" s="67">
        <f t="shared" si="4"/>
        <v>44046661.386710823</v>
      </c>
      <c r="H19" s="67">
        <f t="shared" si="4"/>
        <v>45055613.003638074</v>
      </c>
      <c r="I19" s="67">
        <f t="shared" si="4"/>
        <v>47372432.638604656</v>
      </c>
      <c r="J19" s="67">
        <f t="shared" si="4"/>
        <v>56657606.628854334</v>
      </c>
      <c r="K19" s="67">
        <f>+K18+J19</f>
        <v>66821717.699169487</v>
      </c>
      <c r="L19" s="67">
        <f>+L18+K19</f>
        <v>75230201.950594857</v>
      </c>
      <c r="M19" s="67">
        <f>+M18+L19</f>
        <v>74172608.806486011</v>
      </c>
      <c r="N19" s="67">
        <f>+N18+M19</f>
        <v>82539302.972488552</v>
      </c>
      <c r="O19" s="67">
        <f>+O18+N19</f>
        <v>87484704.700589582</v>
      </c>
      <c r="P19" s="68">
        <f>+O19</f>
        <v>87484704.700589582</v>
      </c>
    </row>
    <row r="20" spans="1:24">
      <c r="A20" s="37"/>
      <c r="B20" s="54"/>
      <c r="C20" s="66"/>
      <c r="D20" s="69"/>
      <c r="E20" s="69"/>
      <c r="F20" s="69"/>
      <c r="G20" s="69"/>
      <c r="H20" s="70"/>
      <c r="I20" s="70"/>
      <c r="J20" s="70"/>
      <c r="K20" s="70"/>
      <c r="L20" s="70"/>
      <c r="M20" s="70"/>
      <c r="N20" s="70"/>
      <c r="O20" s="70"/>
      <c r="P20" s="71"/>
    </row>
    <row r="21" spans="1:24">
      <c r="A21" s="72" t="s">
        <v>34</v>
      </c>
      <c r="B21" s="54"/>
      <c r="C21" s="73"/>
      <c r="D21" s="69"/>
      <c r="E21" s="69"/>
      <c r="F21" s="69"/>
      <c r="G21" s="69"/>
      <c r="H21" s="71"/>
      <c r="I21" s="71"/>
      <c r="J21" s="71"/>
      <c r="K21" s="71"/>
      <c r="L21" s="71"/>
      <c r="M21" s="71"/>
      <c r="N21" s="71"/>
      <c r="O21" s="71"/>
    </row>
    <row r="22" spans="1:24">
      <c r="A22" s="37">
        <f>MAX($A$11:A21)+1</f>
        <v>10</v>
      </c>
      <c r="B22" s="62" t="s">
        <v>35</v>
      </c>
      <c r="C22" s="73"/>
      <c r="D22" s="69"/>
      <c r="E22" s="69"/>
      <c r="F22" s="69"/>
      <c r="G22" s="69"/>
      <c r="H22" s="71"/>
      <c r="I22" s="71"/>
      <c r="J22" s="71"/>
      <c r="K22" s="71"/>
      <c r="L22" s="71"/>
      <c r="M22" s="71"/>
      <c r="N22" s="71"/>
      <c r="O22" s="71"/>
      <c r="P22" s="61">
        <v>4000000</v>
      </c>
      <c r="Q22" s="71"/>
      <c r="R22" s="74"/>
      <c r="S22" s="74"/>
      <c r="T22" s="74"/>
    </row>
    <row r="23" spans="1:24">
      <c r="A23" s="37">
        <f>MAX($A$11:A22)+1</f>
        <v>11</v>
      </c>
      <c r="B23" s="62" t="s">
        <v>36</v>
      </c>
      <c r="C23" s="73"/>
      <c r="D23" s="75">
        <f>D24</f>
        <v>10561565.098850565</v>
      </c>
      <c r="E23" s="75">
        <f>E24-D24</f>
        <v>14758693.002466338</v>
      </c>
      <c r="F23" s="75">
        <f>F24-E24</f>
        <v>10317309.013471898</v>
      </c>
      <c r="G23" s="75">
        <f>G24-F24</f>
        <v>4409094.2719220221</v>
      </c>
      <c r="H23" s="75">
        <f>H24-G24</f>
        <v>1008951.6169272512</v>
      </c>
      <c r="I23" s="75">
        <f t="shared" ref="I23:O23" si="5">I24-H24</f>
        <v>2316819.6349665821</v>
      </c>
      <c r="J23" s="75">
        <f t="shared" si="5"/>
        <v>9285173.9902496785</v>
      </c>
      <c r="K23" s="75">
        <f t="shared" si="5"/>
        <v>10164111.070315152</v>
      </c>
      <c r="L23" s="75">
        <f t="shared" si="5"/>
        <v>8408484.2514253706</v>
      </c>
      <c r="M23" s="75">
        <f t="shared" si="5"/>
        <v>-1057593.1441088468</v>
      </c>
      <c r="N23" s="75">
        <f t="shared" si="5"/>
        <v>8366694.1660025418</v>
      </c>
      <c r="O23" s="75">
        <f t="shared" si="5"/>
        <v>4945401.72810103</v>
      </c>
      <c r="P23" s="71"/>
      <c r="R23" s="74"/>
      <c r="S23" s="74"/>
      <c r="T23" s="74"/>
    </row>
    <row r="24" spans="1:24" ht="12.75" customHeight="1">
      <c r="A24" s="37">
        <f>MAX($A$11:A23)+1</f>
        <v>12</v>
      </c>
      <c r="B24" s="62" t="s">
        <v>37</v>
      </c>
      <c r="C24" s="73"/>
      <c r="D24" s="67">
        <f t="shared" ref="D24:O24" si="6">IF(OR($P$19&gt;$P$22,$P$19&lt;-$P$22),IF(AND($P$19&gt;$P$22,D19&gt;$P$22),D19-$P$22,IF(AND($P$19&lt;-$P$22,D19&lt;-$P$22),D19+$P$22,0)),0)</f>
        <v>10561565.098850565</v>
      </c>
      <c r="E24" s="67">
        <f t="shared" si="6"/>
        <v>25320258.101316903</v>
      </c>
      <c r="F24" s="67">
        <f t="shared" si="6"/>
        <v>35637567.1147888</v>
      </c>
      <c r="G24" s="67">
        <f t="shared" si="6"/>
        <v>40046661.386710823</v>
      </c>
      <c r="H24" s="67">
        <f t="shared" si="6"/>
        <v>41055613.003638074</v>
      </c>
      <c r="I24" s="67">
        <f t="shared" si="6"/>
        <v>43372432.638604656</v>
      </c>
      <c r="J24" s="67">
        <f t="shared" si="6"/>
        <v>52657606.628854334</v>
      </c>
      <c r="K24" s="67">
        <f t="shared" si="6"/>
        <v>62821717.699169487</v>
      </c>
      <c r="L24" s="67">
        <f t="shared" si="6"/>
        <v>71230201.950594857</v>
      </c>
      <c r="M24" s="67">
        <f t="shared" si="6"/>
        <v>70172608.806486011</v>
      </c>
      <c r="N24" s="67">
        <f t="shared" si="6"/>
        <v>78539302.972488552</v>
      </c>
      <c r="O24" s="67">
        <f t="shared" si="6"/>
        <v>83484704.700589582</v>
      </c>
      <c r="P24" s="67">
        <f>+O24</f>
        <v>83484704.700589582</v>
      </c>
      <c r="R24" s="74"/>
      <c r="S24" s="74"/>
      <c r="T24" s="74"/>
    </row>
    <row r="25" spans="1:24">
      <c r="A25" s="37"/>
      <c r="B25" s="62"/>
      <c r="C25" s="73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71"/>
      <c r="R25" s="99" t="s">
        <v>38</v>
      </c>
      <c r="S25" s="99"/>
      <c r="T25" s="99"/>
      <c r="U25" s="99"/>
    </row>
    <row r="26" spans="1:24">
      <c r="A26" s="58" t="s">
        <v>39</v>
      </c>
      <c r="B26" s="62"/>
      <c r="C26" s="73"/>
      <c r="D26" s="69"/>
      <c r="E26" s="69"/>
      <c r="F26" s="69"/>
      <c r="G26" s="69"/>
      <c r="H26" s="71"/>
      <c r="I26" s="71"/>
      <c r="J26" s="71"/>
      <c r="K26" s="71"/>
      <c r="L26" s="71"/>
      <c r="M26" s="71"/>
      <c r="N26" s="71"/>
      <c r="O26" s="71"/>
      <c r="R26" t="s">
        <v>40</v>
      </c>
      <c r="S26" s="76" t="s">
        <v>41</v>
      </c>
      <c r="T26" t="s">
        <v>42</v>
      </c>
      <c r="U26" t="s">
        <v>43</v>
      </c>
    </row>
    <row r="27" spans="1:24" ht="25.5">
      <c r="A27" s="37">
        <f>MAX($A$11:A26)+1</f>
        <v>13</v>
      </c>
      <c r="B27" s="77" t="s">
        <v>44</v>
      </c>
      <c r="C27" s="73"/>
      <c r="D27" s="69">
        <f>IF(D24=0,0,IF(AND($P$19&gt;$P$22,$P$19&lt;$S$27),D23*$T$27,IF(AND($P$19&gt;$S$27,D24&lt;($S$27-$R$27)),D23*$T$27,IF(AND($P$19&gt;$S$27,D24&gt;($S$27-$R$27)),($S$27-$R$27)*$T$27,0))))</f>
        <v>3000000</v>
      </c>
      <c r="E27" s="69">
        <f>IF(E24=0,SUM($D$27:D27),IF(AND($P$19&gt;$P$22,$P$19&lt;$S$27),E23*$T$27,IF(AND($P$19&gt;$S$27,E24&lt;($S$27-$R$27)),E23*$T$27,IF(AND($P$19&gt;$S$27,E24&gt;($S$27-$R$27)),(($S$27-$R$27)*$T$27)-SUM($D$27:D27),0))))</f>
        <v>0</v>
      </c>
      <c r="F27" s="69">
        <f>IF(F24=0,SUM($D$27:E27),IF(AND($P$19&gt;$P$22,$P$19&lt;$S$27),F23*$T$27,IF(AND($P$19&gt;$S$27,F24&lt;($S$27-$R$27)),F23*$T$27,IF(AND($P$19&gt;$S$27,F24&gt;($S$27-$R$27)),(($S$27-$R$27)*$T$27)-SUM($D$27:E27),0))))</f>
        <v>0</v>
      </c>
      <c r="G27" s="69">
        <f>IF(G24=0,SUM($D$27:F27),IF(AND($P$19&gt;$P$22,$P$19&lt;$S$27),G23*$T$27,IF(AND($P$19&gt;$S$27,G24&lt;($S$27-$R$27)),G23*$T$27,IF(AND($P$19&gt;$S$27,G24&gt;($S$27-$R$27)),(($S$27-$R$27)*$T$27)-SUM($D$27:F27),0))))</f>
        <v>0</v>
      </c>
      <c r="H27" s="69">
        <f>IF(H24=0,SUM($D$27:G27),IF(AND($P$19&gt;$P$22,$P$19&lt;$S$27),H23*$T$27,IF(AND($P$19&gt;$S$27,H24&lt;($S$27-$R$27)),H23*$T$27,IF(AND($P$19&gt;$S$27,H24&gt;($S$27-$R$27)),(($S$27-$R$27)*$T$27)-SUM($D$27:G27),0))))</f>
        <v>0</v>
      </c>
      <c r="I27" s="69">
        <f>IF(I24=0,SUM($D$27:H27),IF(AND($P$19&gt;$P$22,$P$19&lt;$S$27),I23*$T$27,IF(AND($P$19&gt;$S$27,I24&lt;($S$27-$R$27)),I23*$T$27,IF(AND($P$19&gt;$S$27,I24&gt;($S$27-$R$27)),(($S$27-$R$27)*$T$27)-SUM($D$27:H27),0))))</f>
        <v>0</v>
      </c>
      <c r="J27" s="69">
        <f>IF(J24=0,SUM($D$27:I27),IF(AND($P$19&gt;$P$22,$P$19&lt;$S$27),J23*$T$27,IF(AND($P$19&gt;$S$27,J24&lt;($S$27-$R$27)),J23*$T$27,IF(AND($P$19&gt;$S$27,J24&gt;($S$27-$R$27)),(($S$27-$R$27)*$T$27)-SUM($D$27:I27),0))))</f>
        <v>0</v>
      </c>
      <c r="K27" s="69">
        <f>IF(K24=0,SUM($D$27:J27),IF(AND($P$19&gt;$P$22,$P$19&lt;$S$27),K23*$T$27,IF(AND($P$19&gt;$S$27,K24&lt;($S$27-$R$27)),K23*$T$27,IF(AND($P$19&gt;$S$27,K24&gt;($S$27-$R$27)),(($S$27-$R$27)*$T$27)-SUM($D$27:J27),0))))</f>
        <v>0</v>
      </c>
      <c r="L27" s="69">
        <f>IF(L24=0,SUM($D$27:K27),IF(AND($P$19&gt;$P$22,$P$19&lt;$S$27),L23*$T$27,IF(AND($P$19&gt;$S$27,L24&lt;($S$27-$R$27)),L23*$T$27,IF(AND($P$19&gt;$S$27,L24&gt;($S$27-$R$27)),(($S$27-$R$27)*$T$27)-SUM($D$27:K27),0))))</f>
        <v>0</v>
      </c>
      <c r="M27" s="69">
        <f>IF(M24=0,SUM($D$27:L27),IF(AND($P$19&gt;$P$22,$P$19&lt;$S$27),M23*$T$27,IF(AND($P$19&gt;$S$27,M24&lt;($S$27-$R$27)),M23*$T$27,IF(AND($P$19&gt;$S$27,M24&gt;($S$27-$R$27)),(($S$27-$R$27)*$T$27)-SUM($D$27:L27),0))))</f>
        <v>0</v>
      </c>
      <c r="N27" s="69">
        <f>IF(N24=0,SUM($D$27:M27),IF(AND($P$19&gt;$P$22,$P$19&lt;$S$27),N23*$T$27,IF(AND($P$19&gt;$S$27,N24&lt;($S$27-$R$27)),N23*$T$27,IF(AND($P$19&gt;$S$27,N24&gt;($S$27-$R$27)),(($S$27-$R$27)*$T$27)-SUM($D$27:M27),0))))</f>
        <v>0</v>
      </c>
      <c r="O27" s="69">
        <f>IF(O24=0,SUM($D$27:N27),IF(AND($P$19&gt;$P$22,$P$19&lt;$S$27),O23*$T$27,IF(AND($P$19&gt;$S$27,O24&lt;($S$27-$R$27)),O23*$T$27,IF(AND($P$19&gt;$S$27,O24&gt;($S$27-$R$27)),(($S$27-$R$27)*$T$27)-SUM($D$27:N27),0))))</f>
        <v>0</v>
      </c>
      <c r="P27" s="78"/>
      <c r="R27" s="39">
        <v>4000000</v>
      </c>
      <c r="S27" s="39">
        <v>10000000</v>
      </c>
      <c r="T27" s="79">
        <v>0.5</v>
      </c>
      <c r="U27" s="79">
        <v>0.5</v>
      </c>
    </row>
    <row r="28" spans="1:24" ht="25.5">
      <c r="A28" s="37">
        <f>MAX($A$11:A27)+1</f>
        <v>14</v>
      </c>
      <c r="B28" s="77" t="s">
        <v>45</v>
      </c>
      <c r="C28" s="73"/>
      <c r="D28" s="80">
        <f>IF(D24=0,0,IF(AND($P$19&gt;$R$28,D24&gt;($S$27-$R$27)),(D23-(D27/$T$27))*$T$28,0))</f>
        <v>4105408.5889655086</v>
      </c>
      <c r="E28" s="80">
        <f>IF(E24=0,SUM($D$28:D28),IF(AND($P$19&gt;$R$28,E24&gt;($S$27-$R$27)),(E23-(E27/$T$27))*$T$28,0))</f>
        <v>13282823.702219704</v>
      </c>
      <c r="F28" s="80">
        <f>IF(F24=0,SUM($D$28:E28),IF(AND($P$19&gt;$R$28,F24&gt;($S$27-$R$27)),(F23-(F27/$T$27))*$T$28,0))</f>
        <v>9285578.1121247075</v>
      </c>
      <c r="G28" s="80">
        <f>IF(G24=0,SUM($D$28:F28),IF(AND($P$19&gt;$R$28,G24&gt;($S$27-$R$27)),(G23-(G27/$T$27))*$T$28,0))</f>
        <v>3968184.8447298198</v>
      </c>
      <c r="H28" s="80">
        <f>IF(H24=0,SUM($D$28:G28),IF(AND($P$19&gt;$R$28,H24&gt;($S$27-$R$27)),(H23-(H27/$T$27))*$T$28,0))</f>
        <v>908056.45523452607</v>
      </c>
      <c r="I28" s="80">
        <f>IF(I24=0,SUM($D$28:H28),IF(AND($P$19&gt;$R$28,I24&gt;($S$27-$R$27)),(I23-(I27/$T$27))*$T$28,0))</f>
        <v>2085137.6714699238</v>
      </c>
      <c r="J28" s="80">
        <f>IF(J24=0,SUM($D$28:I28),IF(AND($P$19&gt;$R$28,J24&gt;($S$27-$R$27)),(J23-(J27/$T$27))*$T$28,0))</f>
        <v>8356656.5912247105</v>
      </c>
      <c r="K28" s="80">
        <f>IF(K24=0,SUM($D$28:J28),IF(AND($P$19&gt;$R$28,K24&gt;($S$27-$R$27)),(K23-(K27/$T$27))*$T$28,0))</f>
        <v>9147699.9632836375</v>
      </c>
      <c r="L28" s="80">
        <f>IF(L24=0,SUM($D$28:K28),IF(AND($P$19&gt;$R$28,L24&gt;($S$27-$R$27)),(L23-(L27/$T$27))*$T$28,0))</f>
        <v>7567635.8262828337</v>
      </c>
      <c r="M28" s="80">
        <f>IF(M24=0,SUM($D$28:L28),IF(AND($P$19&gt;$R$28,M24&gt;($S$27-$R$27)),(M23-(M27/$T$27))*$T$28,0))</f>
        <v>-951833.82969796215</v>
      </c>
      <c r="N28" s="80">
        <f>IF(N24=0,SUM($D$28:M28),IF(AND($P$19&gt;$R$28,N24&gt;($S$27-$R$27)),(N23-(N27/$T$27))*$T$28,0))</f>
        <v>7530024.7494022874</v>
      </c>
      <c r="O28" s="80">
        <f>IF(O24=0,SUM($D$28:N28),IF(AND($P$19&gt;$R$28,O24&gt;($S$27-$R$27)),(O23-(O27/$T$27))*$T$28,0))</f>
        <v>4450861.5552909272</v>
      </c>
      <c r="P28" s="78"/>
      <c r="R28" s="81">
        <v>10000000</v>
      </c>
      <c r="S28" s="61"/>
      <c r="T28" s="79">
        <v>0.9</v>
      </c>
      <c r="U28" s="79">
        <v>0.1</v>
      </c>
    </row>
    <row r="29" spans="1:24" ht="25.5">
      <c r="A29" s="37">
        <f>MAX($A$11:A28)+1</f>
        <v>15</v>
      </c>
      <c r="B29" s="77" t="s">
        <v>46</v>
      </c>
      <c r="C29" s="73"/>
      <c r="D29" s="80">
        <f>IF(D24=0,0,IF(AND($P$19&lt;$R$29,$P$19&gt;$S$29),D23*$T$29,IF(AND($P$19&lt;$S$29,D24&gt;($S$29-$R$29)),D23*$T$29,IF(AND($P$19&lt;$S$29,D24&lt;($S$29-$R$29)),($S$29-$R$29),0))))</f>
        <v>0</v>
      </c>
      <c r="E29" s="80">
        <f>IF(E24=0,-SUM($D$29:D29),IF(AND($P$19&lt;$R$29,$P$19&gt;$S$29),E23*$T$29,IF(AND($P$19&lt;$S$29,E24&gt;($S$29-$R$29)),E23*$T$29,IF(AND($P$19&lt;$S$29,E24&lt;($S$29-$R$29)),(($S$29-$R$29)*$T$29)-SUM($D$29:D29),0))))</f>
        <v>0</v>
      </c>
      <c r="F29" s="80">
        <f>IF(F24=0,-SUM($D$29:E29),IF(AND($P$19&lt;$R$29,$P$19&gt;$S$29),F23*$T$29,IF(AND($P$19&lt;$S$29,F24&gt;($S$29-$R$29)),F23*$T$29,IF(AND($P$19&lt;$S$29,F24&lt;($S$29-$R$29)),(($S$29-$R$29)*$T$29)-SUM($D$29:E29),0))))</f>
        <v>0</v>
      </c>
      <c r="G29" s="80">
        <f>IF(G24=0,-SUM($D$29:F29),IF(AND($P$19&lt;$R$29,$P$19&gt;$S$29),G23*$T$29,IF(AND($P$19&lt;$S$29,G24&gt;($S$29-$R$29)),G23*$T$29,IF(AND($P$19&lt;$S$29,G24&lt;($S$29-$R$29)),(($S$29-$R$29)*$T$29)-SUM($D$29:F29),0))))</f>
        <v>0</v>
      </c>
      <c r="H29" s="80">
        <f>IF(H24=0,-SUM($D$29:G29),IF(AND($P$19&lt;$R$29,$P$19&gt;$S$29),H23*$T$29,IF(AND($P$19&lt;$S$29,H24&gt;($S$29-$R$29)),H23*$T$29,IF(AND($P$19&lt;$S$29,H24&lt;($S$29-$R$29)),(($S$29-$R$29)*$T$29)-SUM($D$29:G29),0))))</f>
        <v>0</v>
      </c>
      <c r="I29" s="80">
        <f>IF(I24=0,-SUM($D$29:H29),IF(AND($P$19&lt;$R$29,$P$19&gt;$S$29),I23*$T$29,IF(AND($P$19&lt;$S$29,I24&gt;($S$29-$R$29)),I23*$T$29,IF(AND($P$19&lt;$S$29,I24&lt;($S$29-$R$29)),(($S$29-$R$29)*$T$29)-SUM($D$29:H29),0))))</f>
        <v>0</v>
      </c>
      <c r="J29" s="80">
        <f>IF(J24=0,-SUM($D$29:I29),IF(AND($P$19&lt;$R$29,$P$19&gt;$S$29),J23*$T$29,IF(AND($P$19&lt;$S$29,J24&gt;($S$29-$R$29)),J23*$T$29,IF(AND($P$19&lt;$S$29,J24&lt;($S$29-$R$29)),(($S$29-$R$29)*$T$29)-SUM($D$29:I29),0))))</f>
        <v>0</v>
      </c>
      <c r="K29" s="80">
        <f>IF(K24=0,-SUM($D$29:J29),IF(AND($P$19&lt;$R$29,$P$19&gt;$S$29),K23*$T$29,IF(AND($P$19&lt;$S$29,K24&gt;($S$29-$R$29)),K23*$T$29,IF(AND($P$19&lt;$S$29,K24&lt;($S$29-$R$29)),(($S$29-$R$29)*$T$29)-SUM($D$29:J29),0))))</f>
        <v>0</v>
      </c>
      <c r="L29" s="80">
        <f>IF(L24=0,-SUM($D$29:K29),IF(AND($P$19&lt;$R$29,$P$19&gt;$S$29),L23*$T$29,IF(AND($P$19&lt;$S$29,L24&gt;($S$29-$R$29)),L23*$T$29,IF(AND($P$19&lt;$S$29,L24&lt;($S$29-$R$29)),(($S$29-$R$29)*$T$29)-SUM($D$29:K29),0))))</f>
        <v>0</v>
      </c>
      <c r="M29" s="80">
        <f>IF(M24=0,-SUM($D$29:L29),IF(AND($P$19&lt;$R$29,$P$19&gt;$S$29),M23*$T$29,IF(AND($P$19&lt;$S$29,M24&gt;($S$29-$R$29)),M23*$T$29,IF(AND($P$19&lt;$S$29,M24&lt;($S$29-$R$29)),(($S$29-$R$29)*$T$29)-SUM($D$29:L29),0))))</f>
        <v>0</v>
      </c>
      <c r="N29" s="80">
        <f>IF(N24=0,-SUM($D$29:M29),IF(AND($P$19&lt;$R$29,$P$19&gt;$S$29),N23*$T$29,IF(AND($P$19&lt;$S$29,N24&gt;($S$29-$R$29)),N23*$T$29,IF(AND($P$19&lt;$S$29,N24&lt;($S$29-$R$29)),(($S$29-$R$29)*$T$29)-SUM($D$29:M29),0))))</f>
        <v>0</v>
      </c>
      <c r="O29" s="80">
        <f>IF(O24=0,-SUM($D$29:N29),IF(AND($P$19&lt;$R$29,$P$19&gt;$S$29),O23*$T$29,IF(AND($P$19&lt;$S$29,O24&gt;($S$29-$R$29)),O23*$T$29,IF(AND($P$19&lt;$S$29,O24&lt;($S$29-$R$29)),(($S$29-$R$29)*$T$29)-SUM($D$29:N29),0))))</f>
        <v>0</v>
      </c>
      <c r="P29" s="78"/>
      <c r="R29" s="81">
        <v>-4000000</v>
      </c>
      <c r="S29" s="81">
        <v>-10000000</v>
      </c>
      <c r="T29" s="79">
        <v>0.75</v>
      </c>
      <c r="U29" s="79">
        <v>0.25</v>
      </c>
      <c r="X29" s="71"/>
    </row>
    <row r="30" spans="1:24">
      <c r="A30" s="37">
        <f>MAX($A$11:A29)+1</f>
        <v>16</v>
      </c>
      <c r="B30" s="77" t="s">
        <v>47</v>
      </c>
      <c r="C30" s="73"/>
      <c r="D30" s="80">
        <f>IF(D24=0,0,IF(AND($P$19&lt;$R$30,D24&lt;($S$29-$R$29)),(D23-(D29/$T$29))*$T$30,0))</f>
        <v>0</v>
      </c>
      <c r="E30" s="80">
        <f>IF(E24=0,-SUM($D$30:D30),IF(AND($P$19&lt;$R$30,E24&lt;($S$29-$R$29)),(E23-(E29/$T$29))*$T$30,0))</f>
        <v>0</v>
      </c>
      <c r="F30" s="80">
        <f>IF(F24=0,-SUM($D$30:E30),IF(AND($P$19&lt;$R$30,F24&lt;($S$29-$R$29)),(F23-(F29/$T$29))*$T$30,0))</f>
        <v>0</v>
      </c>
      <c r="G30" s="80">
        <f>IF(G24=0,-SUM($D$30:F30),IF(AND($P$19&lt;$R$30,G24&lt;($S$29-$R$29)),(G23-(G29/$T$29))*$T$30,0))</f>
        <v>0</v>
      </c>
      <c r="H30" s="80">
        <f>IF(H24=0,-SUM($D$30:G30),IF(AND($P$19&lt;$R$30,H24&lt;($S$29-$R$29)),(H23-(H29/$T$29))*$T$30,0))</f>
        <v>0</v>
      </c>
      <c r="I30" s="80">
        <f>IF(I24=0,-SUM($D$30:H30),IF(AND($P$19&lt;$R$30,I24&lt;($S$29-$R$29)),(I23-(I29/$T$29))*$T$30,0))</f>
        <v>0</v>
      </c>
      <c r="J30" s="80">
        <f>IF(J24=0,-SUM($D$30:I30),IF(AND($P$19&lt;$R$30,J24&lt;($S$29-$R$29)),(J23-(J29/$T$29))*$T$30,0))</f>
        <v>0</v>
      </c>
      <c r="K30" s="80">
        <f>IF(K24=0,-SUM($D$30:J30),IF(AND($P$19&lt;$R$30,K24&lt;($S$29-$R$29)),(K23-(K29/$T$29))*$T$30,0))</f>
        <v>0</v>
      </c>
      <c r="L30" s="80">
        <f>IF(L24=0,-SUM($D$30:K30),IF(AND($P$19&lt;$R$30,L24&lt;($S$29-$R$29)),(L23-(L29/$T$29))*$T$30,0))</f>
        <v>0</v>
      </c>
      <c r="M30" s="80">
        <f>IF(M24=0,-SUM($D$30:L30),IF(AND($P$19&lt;$R$30,M24&lt;($S$29-$R$29)),(M23-(M29/$T$29))*$T$30,0))</f>
        <v>0</v>
      </c>
      <c r="N30" s="80">
        <f>IF(N24=0,-SUM($D$30:M30),IF(AND($P$19&lt;$R$30,N24&lt;($S$29-$R$29)),(N23-(N29/$T$29))*$T$30,0))</f>
        <v>0</v>
      </c>
      <c r="O30" s="80">
        <f>IF(O24=0,-SUM($D$30:N30),IF(AND($P$19&lt;$R$30,O24&lt;($S$29-$R$29)),(O23-(O29/$T$29))*$T$30,0))</f>
        <v>0</v>
      </c>
      <c r="P30" s="78"/>
      <c r="R30" s="81">
        <v>-10000000</v>
      </c>
      <c r="S30" s="61"/>
      <c r="T30" s="79">
        <v>0.9</v>
      </c>
      <c r="U30" s="79">
        <v>0.1</v>
      </c>
    </row>
    <row r="31" spans="1:24">
      <c r="A31" s="37">
        <f>MAX($A$11:A30)+1</f>
        <v>17</v>
      </c>
      <c r="B31" s="77" t="s">
        <v>48</v>
      </c>
      <c r="C31" s="73"/>
      <c r="D31" s="67">
        <f t="shared" ref="D31:O31" si="7">SUM(D27:D30)</f>
        <v>7105408.5889655091</v>
      </c>
      <c r="E31" s="67">
        <f t="shared" si="7"/>
        <v>13282823.702219704</v>
      </c>
      <c r="F31" s="67">
        <f t="shared" si="7"/>
        <v>9285578.1121247075</v>
      </c>
      <c r="G31" s="67">
        <f t="shared" si="7"/>
        <v>3968184.8447298198</v>
      </c>
      <c r="H31" s="67">
        <f t="shared" si="7"/>
        <v>908056.45523452607</v>
      </c>
      <c r="I31" s="67">
        <f t="shared" si="7"/>
        <v>2085137.6714699238</v>
      </c>
      <c r="J31" s="67">
        <f t="shared" si="7"/>
        <v>8356656.5912247105</v>
      </c>
      <c r="K31" s="67">
        <f t="shared" si="7"/>
        <v>9147699.9632836375</v>
      </c>
      <c r="L31" s="67">
        <f t="shared" si="7"/>
        <v>7567635.8262828337</v>
      </c>
      <c r="M31" s="67">
        <f t="shared" si="7"/>
        <v>-951833.82969796215</v>
      </c>
      <c r="N31" s="67">
        <f t="shared" si="7"/>
        <v>7530024.7494022874</v>
      </c>
      <c r="O31" s="67">
        <f t="shared" si="7"/>
        <v>4450861.5552909272</v>
      </c>
      <c r="P31" s="67">
        <f>SUM(D31:O31)</f>
        <v>72736234.230530635</v>
      </c>
    </row>
    <row r="32" spans="1:24">
      <c r="A32" s="37"/>
      <c r="B32" s="82"/>
      <c r="C32" s="7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7">
      <c r="A33" s="58" t="s">
        <v>49</v>
      </c>
      <c r="B33" s="77"/>
      <c r="C33" s="73"/>
      <c r="D33" s="84"/>
      <c r="E33" s="84"/>
      <c r="F33" s="84"/>
      <c r="G33" s="84"/>
      <c r="N33" s="71"/>
      <c r="O33" s="74"/>
    </row>
    <row r="34" spans="1:17">
      <c r="A34" s="37">
        <f>MAX($A$11:A33)+1</f>
        <v>18</v>
      </c>
      <c r="B34" s="77" t="s">
        <v>50</v>
      </c>
      <c r="C34" s="30" t="s">
        <v>51</v>
      </c>
      <c r="D34" s="85">
        <v>6.3100000000000003E-2</v>
      </c>
      <c r="E34" s="85">
        <f>$D$34</f>
        <v>6.3100000000000003E-2</v>
      </c>
      <c r="F34" s="85">
        <f t="shared" ref="F34" si="8">$D$34</f>
        <v>6.3100000000000003E-2</v>
      </c>
      <c r="G34" s="85">
        <v>7.4999999999999997E-2</v>
      </c>
      <c r="H34" s="85">
        <f>$G$34</f>
        <v>7.4999999999999997E-2</v>
      </c>
      <c r="I34" s="85">
        <f>$G$34</f>
        <v>7.4999999999999997E-2</v>
      </c>
      <c r="J34" s="85">
        <v>8.0199999999999994E-2</v>
      </c>
      <c r="K34" s="85">
        <f>$J$34</f>
        <v>8.0199999999999994E-2</v>
      </c>
      <c r="L34" s="85">
        <f>$J$34</f>
        <v>8.0199999999999994E-2</v>
      </c>
      <c r="M34" s="85">
        <v>8.3500000000000005E-2</v>
      </c>
      <c r="N34" s="85">
        <f>$M$34</f>
        <v>8.3500000000000005E-2</v>
      </c>
      <c r="O34" s="85">
        <f>$M$34</f>
        <v>8.3500000000000005E-2</v>
      </c>
    </row>
    <row r="35" spans="1:17">
      <c r="A35" s="37">
        <f>MAX($A$11:A34)+1</f>
        <v>19</v>
      </c>
      <c r="B35" s="54" t="s">
        <v>52</v>
      </c>
      <c r="D35" s="86">
        <v>0</v>
      </c>
      <c r="E35" s="39">
        <f t="shared" ref="E35:O35" si="9">+D38</f>
        <v>7124089.8923806641</v>
      </c>
      <c r="F35" s="39">
        <f t="shared" si="9"/>
        <v>20479297.191268224</v>
      </c>
      <c r="G35" s="39">
        <f t="shared" si="9"/>
        <v>29896975.606910147</v>
      </c>
      <c r="H35" s="39">
        <f t="shared" si="9"/>
        <v>34064417.126822934</v>
      </c>
      <c r="I35" s="39">
        <f t="shared" si="9"/>
        <v>35188213.865522712</v>
      </c>
      <c r="J35" s="39">
        <f t="shared" si="9"/>
        <v>37499793.928875498</v>
      </c>
      <c r="K35" s="39">
        <f t="shared" si="9"/>
        <v>46134999.303633869</v>
      </c>
      <c r="L35" s="39">
        <f t="shared" si="9"/>
        <v>55621603.409640767</v>
      </c>
      <c r="M35" s="39">
        <f t="shared" si="9"/>
        <v>63586265.468430862</v>
      </c>
      <c r="N35" s="39">
        <f t="shared" si="9"/>
        <v>63073574.480751574</v>
      </c>
      <c r="O35" s="39">
        <f t="shared" si="9"/>
        <v>71068684.397023052</v>
      </c>
      <c r="Q35" s="87"/>
    </row>
    <row r="36" spans="1:17">
      <c r="A36" s="37">
        <f>MAX($A$11:A35)+1</f>
        <v>20</v>
      </c>
      <c r="B36" s="54" t="s">
        <v>53</v>
      </c>
      <c r="C36" s="30" t="str">
        <f>"Line "&amp;$A$35&amp;""</f>
        <v>Line 19</v>
      </c>
      <c r="D36" s="88">
        <f t="shared" ref="D36:O36" si="10">+D31</f>
        <v>7105408.5889655091</v>
      </c>
      <c r="E36" s="88">
        <f t="shared" si="10"/>
        <v>13282823.702219704</v>
      </c>
      <c r="F36" s="88">
        <f t="shared" si="10"/>
        <v>9285578.1121247075</v>
      </c>
      <c r="G36" s="88">
        <f t="shared" si="10"/>
        <v>3968184.8447298198</v>
      </c>
      <c r="H36" s="88">
        <f t="shared" si="10"/>
        <v>908056.45523452607</v>
      </c>
      <c r="I36" s="88">
        <f t="shared" si="10"/>
        <v>2085137.6714699238</v>
      </c>
      <c r="J36" s="88">
        <f t="shared" si="10"/>
        <v>8356656.5912247105</v>
      </c>
      <c r="K36" s="88">
        <f t="shared" si="10"/>
        <v>9147699.9632836375</v>
      </c>
      <c r="L36" s="88">
        <f t="shared" si="10"/>
        <v>7567635.8262828337</v>
      </c>
      <c r="M36" s="88">
        <f t="shared" si="10"/>
        <v>-951833.82969796215</v>
      </c>
      <c r="N36" s="88">
        <f t="shared" si="10"/>
        <v>7530024.7494022874</v>
      </c>
      <c r="O36" s="88">
        <f t="shared" si="10"/>
        <v>4450861.5552909272</v>
      </c>
      <c r="Q36" s="88"/>
    </row>
    <row r="37" spans="1:17">
      <c r="A37" s="37">
        <f>MAX($A$11:A36)+1</f>
        <v>21</v>
      </c>
      <c r="B37" s="49" t="s">
        <v>54</v>
      </c>
      <c r="C37" s="89" t="str">
        <f>"Line "&amp;$A$35&amp;" + ( Line "&amp;A36&amp;" x 50%) x Line "&amp;$A$34&amp;"/12"</f>
        <v>Line 19 + ( Line 20 x 50%) x Line 18/12</v>
      </c>
      <c r="D37" s="90">
        <f>+((D36*0.5)+D35)*D34/12</f>
        <v>18681.303415155151</v>
      </c>
      <c r="E37" s="90">
        <f t="shared" ref="E37:O37" si="11">+((E36*0.5)+E35)*E34/12</f>
        <v>72383.596667854305</v>
      </c>
      <c r="F37" s="90">
        <f t="shared" si="11"/>
        <v>132100.30351721329</v>
      </c>
      <c r="G37" s="90">
        <f t="shared" si="11"/>
        <v>199256.67518296908</v>
      </c>
      <c r="H37" s="90">
        <f t="shared" si="11"/>
        <v>215740.28346525121</v>
      </c>
      <c r="I37" s="90">
        <f t="shared" si="11"/>
        <v>226442.39188286045</v>
      </c>
      <c r="J37" s="90">
        <f t="shared" si="11"/>
        <v>278548.78353366052</v>
      </c>
      <c r="K37" s="90">
        <f t="shared" si="11"/>
        <v>338904.14272325917</v>
      </c>
      <c r="L37" s="90">
        <f t="shared" si="11"/>
        <v>397026.23250726092</v>
      </c>
      <c r="M37" s="90">
        <f t="shared" si="11"/>
        <v>439142.84201867389</v>
      </c>
      <c r="N37" s="90">
        <f t="shared" si="11"/>
        <v>465085.16686919186</v>
      </c>
      <c r="O37" s="90">
        <f t="shared" si="11"/>
        <v>510004.88475706847</v>
      </c>
    </row>
    <row r="38" spans="1:17" ht="13.5" thickBot="1">
      <c r="A38" s="37">
        <f>MAX($A$11:A37)+1</f>
        <v>22</v>
      </c>
      <c r="B38" s="91" t="s">
        <v>55</v>
      </c>
      <c r="C38" s="89" t="str">
        <f>"∑ Lines "&amp;$A$35&amp;":"&amp;A37&amp;""</f>
        <v>∑ Lines 19:21</v>
      </c>
      <c r="D38" s="92">
        <f>SUM(D35:D37)</f>
        <v>7124089.8923806641</v>
      </c>
      <c r="E38" s="92">
        <f t="shared" ref="E38:O38" si="12">SUM(E35:E37)</f>
        <v>20479297.191268224</v>
      </c>
      <c r="F38" s="92">
        <f t="shared" si="12"/>
        <v>29896975.606910147</v>
      </c>
      <c r="G38" s="92">
        <f t="shared" si="12"/>
        <v>34064417.126822934</v>
      </c>
      <c r="H38" s="92">
        <f t="shared" si="12"/>
        <v>35188213.865522712</v>
      </c>
      <c r="I38" s="92">
        <f t="shared" si="12"/>
        <v>37499793.928875498</v>
      </c>
      <c r="J38" s="92">
        <f t="shared" si="12"/>
        <v>46134999.303633869</v>
      </c>
      <c r="K38" s="92">
        <f t="shared" si="12"/>
        <v>55621603.409640767</v>
      </c>
      <c r="L38" s="92">
        <f t="shared" si="12"/>
        <v>63586265.468430862</v>
      </c>
      <c r="M38" s="92">
        <f t="shared" si="12"/>
        <v>63073574.480751574</v>
      </c>
      <c r="N38" s="92">
        <f t="shared" si="12"/>
        <v>71068684.397023052</v>
      </c>
      <c r="O38" s="92">
        <f t="shared" si="12"/>
        <v>76029550.837071046</v>
      </c>
      <c r="P38" s="92">
        <f>O38</f>
        <v>76029550.837071046</v>
      </c>
    </row>
    <row r="39" spans="1:17" ht="13.5" thickTop="1">
      <c r="A39" s="37"/>
    </row>
    <row r="40" spans="1:17" ht="25.5">
      <c r="A40" s="37">
        <f>MAX($A$11:A39)+1</f>
        <v>23</v>
      </c>
      <c r="B40" s="62" t="s">
        <v>10</v>
      </c>
      <c r="C40" s="93" t="str">
        <f>"Line "&amp;$A$38&amp;" * (1 + 1.0850% / 9) ^ 12 - Line "&amp;$A$38&amp;""</f>
        <v>Line 22 * (1 + 1.0850% / 9) ^ 12 - Line 22</v>
      </c>
      <c r="P40" s="94">
        <f>(P38)*(1+0.085/12)^9-(P38)</f>
        <v>4986506.2624892145</v>
      </c>
    </row>
    <row r="41" spans="1:17">
      <c r="A41" s="37"/>
      <c r="B41" s="62"/>
      <c r="C41" s="93"/>
      <c r="H41" s="95"/>
    </row>
    <row r="42" spans="1:17" ht="13.5" thickBot="1">
      <c r="A42" s="37">
        <f>MAX($A$11:A41)+1</f>
        <v>24</v>
      </c>
      <c r="B42" s="29" t="s">
        <v>56</v>
      </c>
      <c r="C42" s="30" t="str">
        <f>"∑ Lines "&amp;$A$38&amp;":"&amp;A40&amp;""</f>
        <v>∑ Lines 22:23</v>
      </c>
      <c r="P42" s="96">
        <f>P38+P40</f>
        <v>81016057.099560261</v>
      </c>
    </row>
    <row r="43" spans="1:17" ht="13.5" thickTop="1"/>
  </sheetData>
  <mergeCells count="4">
    <mergeCell ref="F7:G7"/>
    <mergeCell ref="F8:G8"/>
    <mergeCell ref="F9:G9"/>
    <mergeCell ref="R25:U25"/>
  </mergeCells>
  <pageMargins left="0.7" right="0.7" top="0.75" bottom="0.75" header="0.3" footer="0.3"/>
  <pageSetup scale="42" orientation="landscape" r:id="rId1"/>
  <ignoredErrors>
    <ignoredError sqref="C7:C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F6A5367-03D1-4DDC-B3BB-E525D73F372F}"/>
</file>

<file path=customXml/itemProps2.xml><?xml version="1.0" encoding="utf-8"?>
<ds:datastoreItem xmlns:ds="http://schemas.openxmlformats.org/officeDocument/2006/customXml" ds:itemID="{39FCD21C-3524-4D66-84F2-B88AE227B6F2}"/>
</file>

<file path=customXml/itemProps3.xml><?xml version="1.0" encoding="utf-8"?>
<ds:datastoreItem xmlns:ds="http://schemas.openxmlformats.org/officeDocument/2006/customXml" ds:itemID="{08AB337F-F898-4597-8B5B-7962AB7BF946}"/>
</file>

<file path=customXml/itemProps4.xml><?xml version="1.0" encoding="utf-8"?>
<ds:datastoreItem xmlns:ds="http://schemas.openxmlformats.org/officeDocument/2006/customXml" ds:itemID="{9FABB141-9615-4C0D-9A5F-B93202F4B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BHE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Painter, Jack (PacifiCorp)</dc:creator>
  <cp:keywords/>
  <dc:description/>
  <cp:lastModifiedBy>Young, Doug (PacifiCorp)</cp:lastModifiedBy>
  <cp:revision/>
  <dcterms:created xsi:type="dcterms:W3CDTF">2024-06-07T20:06:57Z</dcterms:created>
  <dcterms:modified xsi:type="dcterms:W3CDTF">2024-06-07T23:40:03Z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