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/>
  <xr:revisionPtr revIDLastSave="0" documentId="13_ncr:1_{E4D21359-882C-4CD7-AA8E-5226BA7A4F75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2024 Totals" sheetId="5" r:id="rId1"/>
    <sheet name="APP" sheetId="3" r:id="rId2"/>
  </sheets>
  <definedNames>
    <definedName name="JR_PAGE_ANCHOR_0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5" l="1"/>
  <c r="P61" i="5"/>
  <c r="J61" i="5"/>
  <c r="I61" i="5"/>
  <c r="G61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4" i="5"/>
  <c r="I35" i="5"/>
  <c r="I36" i="5"/>
  <c r="I37" i="5"/>
  <c r="I41" i="5"/>
  <c r="I42" i="5"/>
  <c r="I43" i="5"/>
  <c r="I44" i="5"/>
  <c r="I45" i="5"/>
  <c r="I46" i="5"/>
  <c r="I47" i="5"/>
  <c r="I48" i="5"/>
  <c r="I49" i="5"/>
  <c r="I50" i="5"/>
  <c r="I51" i="5"/>
  <c r="I52" i="5"/>
  <c r="I56" i="5"/>
  <c r="I57" i="5"/>
  <c r="I58" i="5"/>
  <c r="I59" i="5"/>
  <c r="I60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84" i="5"/>
  <c r="I85" i="5"/>
  <c r="I86" i="5"/>
  <c r="I5" i="5"/>
  <c r="M28" i="5"/>
  <c r="M29" i="5"/>
  <c r="M30" i="5"/>
  <c r="M31" i="5"/>
  <c r="M32" i="5"/>
  <c r="M33" i="5"/>
  <c r="M40" i="5"/>
  <c r="M53" i="5"/>
  <c r="M54" i="5"/>
  <c r="M55" i="5"/>
  <c r="M78" i="5"/>
  <c r="M79" i="5"/>
  <c r="M80" i="5"/>
  <c r="M81" i="5"/>
  <c r="M82" i="5"/>
  <c r="M83" i="5"/>
  <c r="M87" i="5"/>
  <c r="M88" i="5"/>
  <c r="M89" i="5"/>
  <c r="M90" i="5"/>
  <c r="M91" i="5"/>
  <c r="M92" i="5"/>
  <c r="M93" i="5"/>
  <c r="M94" i="5"/>
  <c r="M95" i="5"/>
  <c r="M96" i="5"/>
  <c r="M97" i="5"/>
  <c r="M98" i="5"/>
  <c r="N99" i="5"/>
  <c r="D99" i="5"/>
  <c r="G62" i="5"/>
  <c r="M62" i="5" s="1"/>
  <c r="P76" i="5"/>
  <c r="J76" i="5"/>
  <c r="G76" i="5"/>
  <c r="M76" i="5" s="1"/>
  <c r="P75" i="5"/>
  <c r="J75" i="5"/>
  <c r="G75" i="5"/>
  <c r="M75" i="5" s="1"/>
  <c r="P77" i="5"/>
  <c r="J77" i="5"/>
  <c r="G77" i="5"/>
  <c r="M77" i="5" s="1"/>
  <c r="P62" i="5"/>
  <c r="J62" i="5"/>
  <c r="G63" i="5"/>
  <c r="M63" i="5" s="1"/>
  <c r="J63" i="5"/>
  <c r="P63" i="5"/>
  <c r="P88" i="5"/>
  <c r="J88" i="5"/>
  <c r="F88" i="5"/>
  <c r="I88" i="5" s="1"/>
  <c r="P87" i="5"/>
  <c r="J87" i="5"/>
  <c r="F87" i="5"/>
  <c r="I87" i="5" s="1"/>
  <c r="F89" i="5"/>
  <c r="I89" i="5" s="1"/>
  <c r="P89" i="5"/>
  <c r="J89" i="5"/>
  <c r="P84" i="5"/>
  <c r="J84" i="5"/>
  <c r="G84" i="5"/>
  <c r="M84" i="5" s="1"/>
  <c r="P73" i="5"/>
  <c r="J73" i="5"/>
  <c r="G73" i="5"/>
  <c r="M73" i="5" s="1"/>
  <c r="P71" i="5"/>
  <c r="J71" i="5"/>
  <c r="G71" i="5"/>
  <c r="M71" i="5" s="1"/>
  <c r="P69" i="5"/>
  <c r="J69" i="5"/>
  <c r="G69" i="5"/>
  <c r="M69" i="5" s="1"/>
  <c r="P45" i="5"/>
  <c r="J45" i="5"/>
  <c r="G45" i="5"/>
  <c r="M45" i="5" s="1"/>
  <c r="P43" i="5"/>
  <c r="J43" i="5"/>
  <c r="G43" i="5"/>
  <c r="M43" i="5" s="1"/>
  <c r="P41" i="5"/>
  <c r="J41" i="5"/>
  <c r="G41" i="5"/>
  <c r="M41" i="5" s="1"/>
  <c r="P36" i="5"/>
  <c r="J36" i="5"/>
  <c r="G36" i="5"/>
  <c r="M36" i="5" s="1"/>
  <c r="P34" i="5"/>
  <c r="J34" i="5"/>
  <c r="G34" i="5"/>
  <c r="M34" i="5" s="1"/>
  <c r="P20" i="5"/>
  <c r="J20" i="5"/>
  <c r="G20" i="5"/>
  <c r="M20" i="5" s="1"/>
  <c r="P19" i="5"/>
  <c r="J19" i="5"/>
  <c r="G19" i="5"/>
  <c r="M19" i="5" s="1"/>
  <c r="P17" i="5"/>
  <c r="J17" i="5"/>
  <c r="G17" i="5"/>
  <c r="M17" i="5" s="1"/>
  <c r="P15" i="5"/>
  <c r="J15" i="5"/>
  <c r="G15" i="5"/>
  <c r="M15" i="5" s="1"/>
  <c r="P13" i="5"/>
  <c r="J13" i="5"/>
  <c r="G13" i="5"/>
  <c r="M13" i="5" s="1"/>
  <c r="P11" i="5"/>
  <c r="J11" i="5"/>
  <c r="G11" i="5"/>
  <c r="M11" i="5" s="1"/>
  <c r="P9" i="5"/>
  <c r="J9" i="5"/>
  <c r="G9" i="5"/>
  <c r="M9" i="5" s="1"/>
  <c r="P7" i="5"/>
  <c r="J7" i="5"/>
  <c r="G7" i="5"/>
  <c r="M7" i="5" s="1"/>
  <c r="P6" i="5"/>
  <c r="J6" i="5"/>
  <c r="G6" i="5"/>
  <c r="M6" i="5" s="1"/>
  <c r="E99" i="5"/>
  <c r="P98" i="5"/>
  <c r="J98" i="5"/>
  <c r="F98" i="5"/>
  <c r="I98" i="5" s="1"/>
  <c r="P97" i="5"/>
  <c r="J97" i="5"/>
  <c r="F97" i="5"/>
  <c r="I97" i="5" s="1"/>
  <c r="P96" i="5"/>
  <c r="J96" i="5"/>
  <c r="F96" i="5"/>
  <c r="I96" i="5" s="1"/>
  <c r="P95" i="5"/>
  <c r="J95" i="5"/>
  <c r="F95" i="5"/>
  <c r="I95" i="5" s="1"/>
  <c r="P94" i="5"/>
  <c r="J94" i="5"/>
  <c r="F94" i="5"/>
  <c r="I94" i="5" s="1"/>
  <c r="P93" i="5"/>
  <c r="J93" i="5"/>
  <c r="F93" i="5"/>
  <c r="I93" i="5" s="1"/>
  <c r="P92" i="5"/>
  <c r="J92" i="5"/>
  <c r="F92" i="5"/>
  <c r="I92" i="5" s="1"/>
  <c r="P91" i="5"/>
  <c r="J91" i="5"/>
  <c r="F91" i="5"/>
  <c r="I91" i="5" s="1"/>
  <c r="P90" i="5"/>
  <c r="J90" i="5"/>
  <c r="F90" i="5"/>
  <c r="I90" i="5" s="1"/>
  <c r="P86" i="5"/>
  <c r="J86" i="5"/>
  <c r="G86" i="5"/>
  <c r="M86" i="5" s="1"/>
  <c r="P85" i="5"/>
  <c r="J85" i="5"/>
  <c r="G85" i="5"/>
  <c r="M85" i="5" s="1"/>
  <c r="P83" i="5"/>
  <c r="J83" i="5"/>
  <c r="F83" i="5"/>
  <c r="I83" i="5" s="1"/>
  <c r="P82" i="5"/>
  <c r="J82" i="5"/>
  <c r="F82" i="5"/>
  <c r="I82" i="5" s="1"/>
  <c r="P81" i="5"/>
  <c r="J81" i="5"/>
  <c r="F81" i="5"/>
  <c r="I81" i="5" s="1"/>
  <c r="P80" i="5"/>
  <c r="J80" i="5"/>
  <c r="F80" i="5"/>
  <c r="I80" i="5" s="1"/>
  <c r="P79" i="5"/>
  <c r="J79" i="5"/>
  <c r="F79" i="5"/>
  <c r="I79" i="5" s="1"/>
  <c r="P78" i="5"/>
  <c r="J78" i="5"/>
  <c r="F78" i="5"/>
  <c r="I78" i="5" s="1"/>
  <c r="P74" i="5"/>
  <c r="J74" i="5"/>
  <c r="G74" i="5"/>
  <c r="M74" i="5" s="1"/>
  <c r="P72" i="5"/>
  <c r="J72" i="5"/>
  <c r="G72" i="5"/>
  <c r="M72" i="5" s="1"/>
  <c r="P70" i="5"/>
  <c r="J70" i="5"/>
  <c r="M70" i="5"/>
  <c r="P68" i="5"/>
  <c r="J68" i="5"/>
  <c r="G68" i="5"/>
  <c r="M68" i="5" s="1"/>
  <c r="P67" i="5"/>
  <c r="J67" i="5"/>
  <c r="G67" i="5"/>
  <c r="M67" i="5" s="1"/>
  <c r="P66" i="5"/>
  <c r="J66" i="5"/>
  <c r="G66" i="5"/>
  <c r="M66" i="5" s="1"/>
  <c r="P65" i="5"/>
  <c r="J65" i="5"/>
  <c r="G65" i="5"/>
  <c r="M65" i="5" s="1"/>
  <c r="P64" i="5"/>
  <c r="J64" i="5"/>
  <c r="G64" i="5"/>
  <c r="M64" i="5" s="1"/>
  <c r="P60" i="5"/>
  <c r="J60" i="5"/>
  <c r="G60" i="5"/>
  <c r="M60" i="5" s="1"/>
  <c r="P59" i="5"/>
  <c r="J59" i="5"/>
  <c r="G59" i="5"/>
  <c r="M59" i="5" s="1"/>
  <c r="P58" i="5"/>
  <c r="J58" i="5"/>
  <c r="G58" i="5"/>
  <c r="M58" i="5" s="1"/>
  <c r="P57" i="5"/>
  <c r="J57" i="5"/>
  <c r="G57" i="5"/>
  <c r="M57" i="5" s="1"/>
  <c r="P56" i="5"/>
  <c r="J56" i="5"/>
  <c r="G56" i="5"/>
  <c r="M56" i="5" s="1"/>
  <c r="P55" i="5"/>
  <c r="J55" i="5"/>
  <c r="F55" i="5"/>
  <c r="I55" i="5" s="1"/>
  <c r="P54" i="5"/>
  <c r="J54" i="5"/>
  <c r="F54" i="5"/>
  <c r="I54" i="5" s="1"/>
  <c r="P53" i="5"/>
  <c r="J53" i="5"/>
  <c r="F53" i="5"/>
  <c r="I53" i="5" s="1"/>
  <c r="P52" i="5"/>
  <c r="J52" i="5"/>
  <c r="G52" i="5"/>
  <c r="M52" i="5" s="1"/>
  <c r="P51" i="5"/>
  <c r="J51" i="5"/>
  <c r="G51" i="5"/>
  <c r="M51" i="5" s="1"/>
  <c r="P50" i="5"/>
  <c r="J50" i="5"/>
  <c r="G50" i="5"/>
  <c r="M50" i="5" s="1"/>
  <c r="P49" i="5"/>
  <c r="J49" i="5"/>
  <c r="G49" i="5"/>
  <c r="M49" i="5" s="1"/>
  <c r="P48" i="5"/>
  <c r="J48" i="5"/>
  <c r="G48" i="5"/>
  <c r="M48" i="5" s="1"/>
  <c r="P47" i="5"/>
  <c r="J47" i="5"/>
  <c r="G47" i="5"/>
  <c r="M47" i="5" s="1"/>
  <c r="P46" i="5"/>
  <c r="J46" i="5"/>
  <c r="G46" i="5"/>
  <c r="M46" i="5" s="1"/>
  <c r="P44" i="5"/>
  <c r="J44" i="5"/>
  <c r="G44" i="5"/>
  <c r="M44" i="5" s="1"/>
  <c r="P42" i="5"/>
  <c r="J42" i="5"/>
  <c r="G42" i="5"/>
  <c r="M42" i="5" s="1"/>
  <c r="P40" i="5"/>
  <c r="J40" i="5"/>
  <c r="F40" i="5"/>
  <c r="I40" i="5" s="1"/>
  <c r="P39" i="5"/>
  <c r="J39" i="5"/>
  <c r="G39" i="5"/>
  <c r="P38" i="5"/>
  <c r="J38" i="5"/>
  <c r="G38" i="5"/>
  <c r="M38" i="5" s="1"/>
  <c r="P37" i="5"/>
  <c r="J37" i="5"/>
  <c r="G37" i="5"/>
  <c r="M37" i="5" s="1"/>
  <c r="P35" i="5"/>
  <c r="J35" i="5"/>
  <c r="G35" i="5"/>
  <c r="M35" i="5" s="1"/>
  <c r="P33" i="5"/>
  <c r="J33" i="5"/>
  <c r="F33" i="5"/>
  <c r="I33" i="5" s="1"/>
  <c r="P32" i="5"/>
  <c r="J32" i="5"/>
  <c r="F32" i="5"/>
  <c r="I32" i="5" s="1"/>
  <c r="P31" i="5"/>
  <c r="J31" i="5"/>
  <c r="F31" i="5"/>
  <c r="P30" i="5"/>
  <c r="J30" i="5"/>
  <c r="P29" i="5"/>
  <c r="J29" i="5"/>
  <c r="P28" i="5"/>
  <c r="J28" i="5"/>
  <c r="P27" i="5"/>
  <c r="J27" i="5"/>
  <c r="G27" i="5"/>
  <c r="P26" i="5"/>
  <c r="J26" i="5"/>
  <c r="G26" i="5"/>
  <c r="P25" i="5"/>
  <c r="J25" i="5"/>
  <c r="G25" i="5"/>
  <c r="P24" i="5"/>
  <c r="J24" i="5"/>
  <c r="G24" i="5"/>
  <c r="P23" i="5"/>
  <c r="J23" i="5"/>
  <c r="G23" i="5"/>
  <c r="P22" i="5"/>
  <c r="J22" i="5"/>
  <c r="G22" i="5"/>
  <c r="P21" i="5"/>
  <c r="J21" i="5"/>
  <c r="G21" i="5"/>
  <c r="M21" i="5" s="1"/>
  <c r="P18" i="5"/>
  <c r="J18" i="5"/>
  <c r="G18" i="5"/>
  <c r="M18" i="5" s="1"/>
  <c r="P16" i="5"/>
  <c r="J16" i="5"/>
  <c r="G16" i="5"/>
  <c r="M16" i="5" s="1"/>
  <c r="P14" i="5"/>
  <c r="J14" i="5"/>
  <c r="G14" i="5"/>
  <c r="M14" i="5" s="1"/>
  <c r="P12" i="5"/>
  <c r="J12" i="5"/>
  <c r="G12" i="5"/>
  <c r="M12" i="5" s="1"/>
  <c r="P10" i="5"/>
  <c r="J10" i="5"/>
  <c r="G10" i="5"/>
  <c r="M10" i="5" s="1"/>
  <c r="P8" i="5"/>
  <c r="J8" i="5"/>
  <c r="G8" i="5"/>
  <c r="M8" i="5" s="1"/>
  <c r="P5" i="5"/>
  <c r="J5" i="5"/>
  <c r="G5" i="5"/>
  <c r="M5" i="5" s="1"/>
  <c r="M61" i="5" l="1"/>
  <c r="K61" i="5"/>
  <c r="Q61" i="5"/>
  <c r="M22" i="5"/>
  <c r="T22" i="5" s="1"/>
  <c r="M23" i="5"/>
  <c r="T23" i="5" s="1"/>
  <c r="M24" i="5"/>
  <c r="T24" i="5" s="1"/>
  <c r="M25" i="5"/>
  <c r="T25" i="5" s="1"/>
  <c r="M26" i="5"/>
  <c r="T26" i="5" s="1"/>
  <c r="M27" i="5"/>
  <c r="T27" i="5" s="1"/>
  <c r="F39" i="5"/>
  <c r="I39" i="5" s="1"/>
  <c r="M39" i="5"/>
  <c r="M99" i="5"/>
  <c r="P99" i="5"/>
  <c r="I31" i="5"/>
  <c r="K76" i="5"/>
  <c r="K75" i="5"/>
  <c r="T75" i="5" s="1"/>
  <c r="T76" i="5"/>
  <c r="Q76" i="5"/>
  <c r="Q75" i="5"/>
  <c r="K77" i="5"/>
  <c r="Q63" i="5"/>
  <c r="T77" i="5"/>
  <c r="Q77" i="5"/>
  <c r="K62" i="5"/>
  <c r="T62" i="5"/>
  <c r="Q62" i="5"/>
  <c r="K63" i="5"/>
  <c r="T63" i="5" s="1"/>
  <c r="K88" i="5"/>
  <c r="T88" i="5" s="1"/>
  <c r="K87" i="5"/>
  <c r="T87" i="5" s="1"/>
  <c r="Q88" i="5"/>
  <c r="Q87" i="5"/>
  <c r="K89" i="5"/>
  <c r="T89" i="5" s="1"/>
  <c r="Q89" i="5"/>
  <c r="K84" i="5"/>
  <c r="K73" i="5"/>
  <c r="T73" i="5" s="1"/>
  <c r="Q73" i="5"/>
  <c r="K71" i="5"/>
  <c r="T71" i="5" s="1"/>
  <c r="Q71" i="5"/>
  <c r="K69" i="5"/>
  <c r="T69" i="5" s="1"/>
  <c r="Q69" i="5"/>
  <c r="K45" i="5"/>
  <c r="T45" i="5" s="1"/>
  <c r="K43" i="5"/>
  <c r="T43" i="5" s="1"/>
  <c r="Q45" i="5"/>
  <c r="Q43" i="5"/>
  <c r="K41" i="5"/>
  <c r="T41" i="5" s="1"/>
  <c r="Q41" i="5"/>
  <c r="K36" i="5"/>
  <c r="T36" i="5" s="1"/>
  <c r="K34" i="5"/>
  <c r="T34" i="5" s="1"/>
  <c r="Q36" i="5"/>
  <c r="Q34" i="5"/>
  <c r="K20" i="5"/>
  <c r="T20" i="5" s="1"/>
  <c r="K19" i="5"/>
  <c r="T19" i="5" s="1"/>
  <c r="Q20" i="5"/>
  <c r="Q19" i="5"/>
  <c r="K17" i="5"/>
  <c r="T17" i="5" s="1"/>
  <c r="Q17" i="5"/>
  <c r="K54" i="5"/>
  <c r="T54" i="5" s="1"/>
  <c r="K96" i="5"/>
  <c r="T96" i="5" s="1"/>
  <c r="K15" i="5"/>
  <c r="T15" i="5" s="1"/>
  <c r="Q15" i="5"/>
  <c r="K13" i="5"/>
  <c r="T13" i="5" s="1"/>
  <c r="K5" i="5"/>
  <c r="T5" i="5" s="1"/>
  <c r="Q13" i="5"/>
  <c r="K11" i="5"/>
  <c r="T11" i="5" s="1"/>
  <c r="K53" i="5"/>
  <c r="T53" i="5" s="1"/>
  <c r="Q97" i="5"/>
  <c r="K28" i="5"/>
  <c r="T28" i="5" s="1"/>
  <c r="K72" i="5"/>
  <c r="Q11" i="5"/>
  <c r="K90" i="5"/>
  <c r="T90" i="5" s="1"/>
  <c r="K9" i="5"/>
  <c r="T9" i="5" s="1"/>
  <c r="Q32" i="5"/>
  <c r="K55" i="5"/>
  <c r="T55" i="5" s="1"/>
  <c r="F38" i="5"/>
  <c r="Q81" i="5"/>
  <c r="Q94" i="5"/>
  <c r="Q9" i="5"/>
  <c r="K37" i="5"/>
  <c r="T37" i="5" s="1"/>
  <c r="K98" i="5"/>
  <c r="T98" i="5" s="1"/>
  <c r="Q24" i="5"/>
  <c r="K23" i="5"/>
  <c r="U23" i="5" s="1"/>
  <c r="K26" i="5"/>
  <c r="U26" i="5" s="1"/>
  <c r="K68" i="5"/>
  <c r="T68" i="5" s="1"/>
  <c r="K7" i="5"/>
  <c r="T7" i="5" s="1"/>
  <c r="Q80" i="5"/>
  <c r="K25" i="5"/>
  <c r="U25" i="5" s="1"/>
  <c r="K50" i="5"/>
  <c r="T50" i="5" s="1"/>
  <c r="K59" i="5"/>
  <c r="K64" i="5"/>
  <c r="T64" i="5" s="1"/>
  <c r="Q78" i="5"/>
  <c r="Q64" i="5"/>
  <c r="K67" i="5"/>
  <c r="T67" i="5" s="1"/>
  <c r="Q7" i="5"/>
  <c r="K48" i="5"/>
  <c r="K51" i="5"/>
  <c r="T51" i="5" s="1"/>
  <c r="K79" i="5"/>
  <c r="T79" i="5" s="1"/>
  <c r="K82" i="5"/>
  <c r="T82" i="5" s="1"/>
  <c r="Q96" i="5"/>
  <c r="K35" i="5"/>
  <c r="K47" i="5"/>
  <c r="Q98" i="5"/>
  <c r="K10" i="5"/>
  <c r="T10" i="5" s="1"/>
  <c r="K97" i="5"/>
  <c r="T97" i="5" s="1"/>
  <c r="K21" i="5"/>
  <c r="K52" i="5"/>
  <c r="T52" i="5" s="1"/>
  <c r="K80" i="5"/>
  <c r="T80" i="5" s="1"/>
  <c r="Q82" i="5"/>
  <c r="K86" i="5"/>
  <c r="T86" i="5" s="1"/>
  <c r="K8" i="5"/>
  <c r="T8" i="5" s="1"/>
  <c r="K56" i="5"/>
  <c r="Q23" i="5"/>
  <c r="Q49" i="5"/>
  <c r="K60" i="5"/>
  <c r="K6" i="5"/>
  <c r="T6" i="5" s="1"/>
  <c r="Q22" i="5"/>
  <c r="Q50" i="5"/>
  <c r="K39" i="5"/>
  <c r="Q79" i="5"/>
  <c r="K74" i="5"/>
  <c r="K93" i="5"/>
  <c r="T93" i="5" s="1"/>
  <c r="K12" i="5"/>
  <c r="T12" i="5" s="1"/>
  <c r="K18" i="5"/>
  <c r="K70" i="5"/>
  <c r="T70" i="5" s="1"/>
  <c r="K40" i="5"/>
  <c r="T40" i="5" s="1"/>
  <c r="K58" i="5"/>
  <c r="K24" i="5"/>
  <c r="U24" i="5" s="1"/>
  <c r="K31" i="5"/>
  <c r="T31" i="5" s="1"/>
  <c r="Q40" i="5"/>
  <c r="K49" i="5"/>
  <c r="T49" i="5" s="1"/>
  <c r="Q53" i="5"/>
  <c r="Q55" i="5"/>
  <c r="K65" i="5"/>
  <c r="T65" i="5" s="1"/>
  <c r="K57" i="5"/>
  <c r="Q70" i="5"/>
  <c r="Q28" i="5"/>
  <c r="Q95" i="5"/>
  <c r="K46" i="5"/>
  <c r="K27" i="5"/>
  <c r="U27" i="5" s="1"/>
  <c r="K78" i="5"/>
  <c r="T78" i="5" s="1"/>
  <c r="K91" i="5"/>
  <c r="T91" i="5" s="1"/>
  <c r="Q12" i="5"/>
  <c r="K22" i="5"/>
  <c r="U22" i="5" s="1"/>
  <c r="Q6" i="5"/>
  <c r="Q33" i="5"/>
  <c r="Q91" i="5"/>
  <c r="K66" i="5"/>
  <c r="T66" i="5" s="1"/>
  <c r="K85" i="5"/>
  <c r="T85" i="5" s="1"/>
  <c r="G99" i="5"/>
  <c r="N61" i="5" s="1"/>
  <c r="K14" i="5"/>
  <c r="Q66" i="5"/>
  <c r="Q25" i="5"/>
  <c r="Q38" i="5"/>
  <c r="K95" i="5"/>
  <c r="Q5" i="5"/>
  <c r="K30" i="5"/>
  <c r="T30" i="5" s="1"/>
  <c r="K32" i="5"/>
  <c r="Q37" i="5"/>
  <c r="K92" i="5"/>
  <c r="K94" i="5"/>
  <c r="K44" i="5"/>
  <c r="K29" i="5"/>
  <c r="K33" i="5"/>
  <c r="Q52" i="5"/>
  <c r="Q57" i="5"/>
  <c r="Q65" i="5"/>
  <c r="J99" i="5"/>
  <c r="Q83" i="5"/>
  <c r="K16" i="5"/>
  <c r="K42" i="5"/>
  <c r="K81" i="5"/>
  <c r="Q85" i="5"/>
  <c r="Q16" i="5"/>
  <c r="Q51" i="5"/>
  <c r="K83" i="5"/>
  <c r="T83" i="5" s="1"/>
  <c r="Q8" i="5"/>
  <c r="Q67" i="5"/>
  <c r="Q10" i="5"/>
  <c r="Q27" i="5"/>
  <c r="Q54" i="5"/>
  <c r="Q68" i="5"/>
  <c r="Q90" i="5"/>
  <c r="Q86" i="5"/>
  <c r="Q30" i="5"/>
  <c r="Q59" i="5"/>
  <c r="Q92" i="5"/>
  <c r="Q31" i="5"/>
  <c r="Q93" i="5"/>
  <c r="Q26" i="5"/>
  <c r="R61" i="5" l="1"/>
  <c r="V61" i="5"/>
  <c r="S61" i="5"/>
  <c r="U61" i="5"/>
  <c r="T61" i="5"/>
  <c r="I38" i="5"/>
  <c r="K38" i="5" s="1"/>
  <c r="T38" i="5" s="1"/>
  <c r="L99" i="5"/>
  <c r="N76" i="5"/>
  <c r="R76" i="5" s="1"/>
  <c r="S99" i="5"/>
  <c r="S76" i="5"/>
  <c r="V76" i="5"/>
  <c r="U76" i="5"/>
  <c r="N6" i="5"/>
  <c r="N75" i="5"/>
  <c r="N62" i="5"/>
  <c r="R62" i="5" s="1"/>
  <c r="N77" i="5"/>
  <c r="N11" i="5"/>
  <c r="N18" i="5"/>
  <c r="N66" i="5"/>
  <c r="N15" i="5"/>
  <c r="N7" i="5"/>
  <c r="N43" i="5"/>
  <c r="N70" i="5"/>
  <c r="N69" i="5"/>
  <c r="N21" i="5"/>
  <c r="U21" i="5" s="1"/>
  <c r="N19" i="5"/>
  <c r="N27" i="5"/>
  <c r="N42" i="5"/>
  <c r="R42" i="5" s="1"/>
  <c r="N39" i="5"/>
  <c r="N84" i="5"/>
  <c r="S84" i="5" s="1"/>
  <c r="N51" i="5"/>
  <c r="N29" i="5"/>
  <c r="R29" i="5" s="1"/>
  <c r="U62" i="5"/>
  <c r="N81" i="5"/>
  <c r="U81" i="5" s="1"/>
  <c r="N93" i="5"/>
  <c r="N40" i="5"/>
  <c r="N82" i="5"/>
  <c r="N94" i="5"/>
  <c r="V94" i="5" s="1"/>
  <c r="N41" i="5"/>
  <c r="V41" i="5" s="1"/>
  <c r="N53" i="5"/>
  <c r="N68" i="5"/>
  <c r="N83" i="5"/>
  <c r="U83" i="5" s="1"/>
  <c r="N95" i="5"/>
  <c r="V95" i="5" s="1"/>
  <c r="N22" i="5"/>
  <c r="N73" i="5"/>
  <c r="N5" i="5"/>
  <c r="N35" i="5"/>
  <c r="U35" i="5" s="1"/>
  <c r="N74" i="5"/>
  <c r="N36" i="5"/>
  <c r="R36" i="5" s="1"/>
  <c r="N78" i="5"/>
  <c r="N64" i="5"/>
  <c r="N91" i="5"/>
  <c r="N26" i="5"/>
  <c r="N65" i="5"/>
  <c r="N92" i="5"/>
  <c r="U92" i="5" s="1"/>
  <c r="N30" i="5"/>
  <c r="U30" i="5" s="1"/>
  <c r="N54" i="5"/>
  <c r="N96" i="5"/>
  <c r="N31" i="5"/>
  <c r="N55" i="5"/>
  <c r="N97" i="5"/>
  <c r="S97" i="5" s="1"/>
  <c r="N20" i="5"/>
  <c r="R20" i="5" s="1"/>
  <c r="N32" i="5"/>
  <c r="V32" i="5" s="1"/>
  <c r="N56" i="5"/>
  <c r="N86" i="5"/>
  <c r="N98" i="5"/>
  <c r="N63" i="5"/>
  <c r="N9" i="5"/>
  <c r="R9" i="5" s="1"/>
  <c r="N33" i="5"/>
  <c r="N45" i="5"/>
  <c r="R45" i="5" s="1"/>
  <c r="N72" i="5"/>
  <c r="U72" i="5" s="1"/>
  <c r="N87" i="5"/>
  <c r="N10" i="5"/>
  <c r="N46" i="5"/>
  <c r="N58" i="5"/>
  <c r="U58" i="5" s="1"/>
  <c r="N88" i="5"/>
  <c r="R88" i="5" s="1"/>
  <c r="N23" i="5"/>
  <c r="N47" i="5"/>
  <c r="N59" i="5"/>
  <c r="R59" i="5" s="1"/>
  <c r="N89" i="5"/>
  <c r="V89" i="5" s="1"/>
  <c r="N12" i="5"/>
  <c r="N48" i="5"/>
  <c r="U48" i="5" s="1"/>
  <c r="N60" i="5"/>
  <c r="U60" i="5" s="1"/>
  <c r="N90" i="5"/>
  <c r="N13" i="5"/>
  <c r="R13" i="5" s="1"/>
  <c r="N25" i="5"/>
  <c r="N37" i="5"/>
  <c r="N49" i="5"/>
  <c r="N79" i="5"/>
  <c r="N14" i="5"/>
  <c r="V14" i="5" s="1"/>
  <c r="N38" i="5"/>
  <c r="N50" i="5"/>
  <c r="N80" i="5"/>
  <c r="N28" i="5"/>
  <c r="N85" i="5"/>
  <c r="N52" i="5"/>
  <c r="N16" i="5"/>
  <c r="U16" i="5" s="1"/>
  <c r="N67" i="5"/>
  <c r="N8" i="5"/>
  <c r="N57" i="5"/>
  <c r="U57" i="5" s="1"/>
  <c r="N17" i="5"/>
  <c r="R17" i="5" s="1"/>
  <c r="N71" i="5"/>
  <c r="V71" i="5" s="1"/>
  <c r="N44" i="5"/>
  <c r="U44" i="5" s="1"/>
  <c r="N24" i="5"/>
  <c r="N34" i="5"/>
  <c r="T84" i="5"/>
  <c r="Q84" i="5"/>
  <c r="T74" i="5"/>
  <c r="T39" i="5"/>
  <c r="Q39" i="5"/>
  <c r="T47" i="5"/>
  <c r="T44" i="5"/>
  <c r="Q74" i="5"/>
  <c r="T16" i="5"/>
  <c r="K99" i="5"/>
  <c r="K101" i="5" s="1"/>
  <c r="T29" i="5"/>
  <c r="Q29" i="5"/>
  <c r="T94" i="5"/>
  <c r="Q18" i="5"/>
  <c r="T18" i="5"/>
  <c r="T59" i="5"/>
  <c r="T32" i="5"/>
  <c r="T95" i="5"/>
  <c r="Q58" i="5"/>
  <c r="T58" i="5"/>
  <c r="Q99" i="5"/>
  <c r="T33" i="5"/>
  <c r="T56" i="5"/>
  <c r="Q56" i="5"/>
  <c r="Q44" i="5"/>
  <c r="Q46" i="5"/>
  <c r="T46" i="5"/>
  <c r="T92" i="5"/>
  <c r="T57" i="5"/>
  <c r="Q35" i="5"/>
  <c r="T35" i="5"/>
  <c r="Q48" i="5"/>
  <c r="T48" i="5"/>
  <c r="T81" i="5"/>
  <c r="T14" i="5"/>
  <c r="Q14" i="5"/>
  <c r="Q60" i="5"/>
  <c r="T60" i="5"/>
  <c r="T72" i="5"/>
  <c r="Q72" i="5"/>
  <c r="Q21" i="5"/>
  <c r="T21" i="5"/>
  <c r="T42" i="5"/>
  <c r="Q42" i="5"/>
  <c r="Q47" i="5"/>
  <c r="V62" i="5" l="1"/>
  <c r="S62" i="5"/>
  <c r="R75" i="5"/>
  <c r="U75" i="5"/>
  <c r="S75" i="5"/>
  <c r="V75" i="5"/>
  <c r="R77" i="5"/>
  <c r="U77" i="5"/>
  <c r="V77" i="5"/>
  <c r="S77" i="5"/>
  <c r="R84" i="5"/>
  <c r="R63" i="5"/>
  <c r="S63" i="5"/>
  <c r="V63" i="5"/>
  <c r="U63" i="5"/>
  <c r="U88" i="5"/>
  <c r="S88" i="5"/>
  <c r="V88" i="5"/>
  <c r="U89" i="5"/>
  <c r="S89" i="5"/>
  <c r="R89" i="5"/>
  <c r="R87" i="5"/>
  <c r="U87" i="5"/>
  <c r="V87" i="5"/>
  <c r="S87" i="5"/>
  <c r="V84" i="5"/>
  <c r="U84" i="5"/>
  <c r="U45" i="5"/>
  <c r="U71" i="5"/>
  <c r="R73" i="5"/>
  <c r="U73" i="5"/>
  <c r="V73" i="5"/>
  <c r="S73" i="5"/>
  <c r="R71" i="5"/>
  <c r="S71" i="5"/>
  <c r="S45" i="5"/>
  <c r="V45" i="5"/>
  <c r="R69" i="5"/>
  <c r="U69" i="5"/>
  <c r="V69" i="5"/>
  <c r="S69" i="5"/>
  <c r="R43" i="5"/>
  <c r="U43" i="5"/>
  <c r="V43" i="5"/>
  <c r="S43" i="5"/>
  <c r="R41" i="5"/>
  <c r="S41" i="5"/>
  <c r="U41" i="5"/>
  <c r="U20" i="5"/>
  <c r="U36" i="5"/>
  <c r="V36" i="5"/>
  <c r="S36" i="5"/>
  <c r="V20" i="5"/>
  <c r="S20" i="5"/>
  <c r="R34" i="5"/>
  <c r="U34" i="5"/>
  <c r="V34" i="5"/>
  <c r="S34" i="5"/>
  <c r="S17" i="5"/>
  <c r="V9" i="5"/>
  <c r="R19" i="5"/>
  <c r="U19" i="5"/>
  <c r="V19" i="5"/>
  <c r="S19" i="5"/>
  <c r="U17" i="5"/>
  <c r="V17" i="5"/>
  <c r="S9" i="5"/>
  <c r="U13" i="5"/>
  <c r="V13" i="5"/>
  <c r="S13" i="5"/>
  <c r="R15" i="5"/>
  <c r="U15" i="5"/>
  <c r="V15" i="5"/>
  <c r="S15" i="5"/>
  <c r="S11" i="5"/>
  <c r="R11" i="5"/>
  <c r="U11" i="5"/>
  <c r="V11" i="5"/>
  <c r="U9" i="5"/>
  <c r="U29" i="5"/>
  <c r="U59" i="5"/>
  <c r="V29" i="5"/>
  <c r="S29" i="5"/>
  <c r="R7" i="5"/>
  <c r="U7" i="5"/>
  <c r="S7" i="5"/>
  <c r="V7" i="5"/>
  <c r="S60" i="5"/>
  <c r="V60" i="5"/>
  <c r="U42" i="5"/>
  <c r="V99" i="5"/>
  <c r="V59" i="5"/>
  <c r="S59" i="5"/>
  <c r="R60" i="5"/>
  <c r="S42" i="5"/>
  <c r="V42" i="5"/>
  <c r="V30" i="5"/>
  <c r="U94" i="5"/>
  <c r="V16" i="5"/>
  <c r="U32" i="5"/>
  <c r="U14" i="5"/>
  <c r="R6" i="5"/>
  <c r="V6" i="5"/>
  <c r="U6" i="5"/>
  <c r="S6" i="5"/>
  <c r="U99" i="5"/>
  <c r="R18" i="5"/>
  <c r="V18" i="5"/>
  <c r="S18" i="5"/>
  <c r="R33" i="5"/>
  <c r="S33" i="5"/>
  <c r="R64" i="5"/>
  <c r="S64" i="5"/>
  <c r="U64" i="5"/>
  <c r="V64" i="5"/>
  <c r="R79" i="5"/>
  <c r="S79" i="5"/>
  <c r="U79" i="5"/>
  <c r="V79" i="5"/>
  <c r="R12" i="5"/>
  <c r="V12" i="5"/>
  <c r="U12" i="5"/>
  <c r="S12" i="5"/>
  <c r="S55" i="5"/>
  <c r="R55" i="5"/>
  <c r="V55" i="5"/>
  <c r="U55" i="5"/>
  <c r="R98" i="5"/>
  <c r="U98" i="5"/>
  <c r="S98" i="5"/>
  <c r="V98" i="5"/>
  <c r="S80" i="5"/>
  <c r="R80" i="5"/>
  <c r="U80" i="5"/>
  <c r="V80" i="5"/>
  <c r="S49" i="5"/>
  <c r="R49" i="5"/>
  <c r="V49" i="5"/>
  <c r="U49" i="5"/>
  <c r="R8" i="5"/>
  <c r="V8" i="5"/>
  <c r="U8" i="5"/>
  <c r="S8" i="5"/>
  <c r="R96" i="5"/>
  <c r="S96" i="5"/>
  <c r="U96" i="5"/>
  <c r="V96" i="5"/>
  <c r="U33" i="5"/>
  <c r="U95" i="5"/>
  <c r="U18" i="5"/>
  <c r="R65" i="5"/>
  <c r="U65" i="5"/>
  <c r="V65" i="5"/>
  <c r="S65" i="5"/>
  <c r="R10" i="5"/>
  <c r="V10" i="5"/>
  <c r="U10" i="5"/>
  <c r="S10" i="5"/>
  <c r="V33" i="5"/>
  <c r="R86" i="5"/>
  <c r="U86" i="5"/>
  <c r="S86" i="5"/>
  <c r="V86" i="5"/>
  <c r="R26" i="5"/>
  <c r="V26" i="5"/>
  <c r="S26" i="5"/>
  <c r="R28" i="5"/>
  <c r="S28" i="5"/>
  <c r="U28" i="5"/>
  <c r="V28" i="5"/>
  <c r="R81" i="5"/>
  <c r="S81" i="5"/>
  <c r="V81" i="5"/>
  <c r="R58" i="5"/>
  <c r="S58" i="5"/>
  <c r="V58" i="5"/>
  <c r="T99" i="5"/>
  <c r="V35" i="5"/>
  <c r="S35" i="5"/>
  <c r="R35" i="5"/>
  <c r="R14" i="5"/>
  <c r="S14" i="5"/>
  <c r="R25" i="5"/>
  <c r="S25" i="5"/>
  <c r="V25" i="5"/>
  <c r="R68" i="5"/>
  <c r="V68" i="5"/>
  <c r="S68" i="5"/>
  <c r="U68" i="5"/>
  <c r="S32" i="5"/>
  <c r="R32" i="5"/>
  <c r="R97" i="5"/>
  <c r="U97" i="5"/>
  <c r="V97" i="5"/>
  <c r="R57" i="5"/>
  <c r="V57" i="5"/>
  <c r="S57" i="5"/>
  <c r="R47" i="5"/>
  <c r="S47" i="5"/>
  <c r="V47" i="5"/>
  <c r="S40" i="5"/>
  <c r="R40" i="5"/>
  <c r="V40" i="5"/>
  <c r="U40" i="5"/>
  <c r="S21" i="5"/>
  <c r="R21" i="5"/>
  <c r="V21" i="5"/>
  <c r="R95" i="5"/>
  <c r="S95" i="5"/>
  <c r="R70" i="5"/>
  <c r="S70" i="5"/>
  <c r="V70" i="5"/>
  <c r="U70" i="5"/>
  <c r="U47" i="5"/>
  <c r="R85" i="5"/>
  <c r="V85" i="5"/>
  <c r="S85" i="5"/>
  <c r="U85" i="5"/>
  <c r="R51" i="5"/>
  <c r="S51" i="5"/>
  <c r="U51" i="5"/>
  <c r="V51" i="5"/>
  <c r="R16" i="5"/>
  <c r="S16" i="5"/>
  <c r="R74" i="5"/>
  <c r="S74" i="5"/>
  <c r="U74" i="5"/>
  <c r="V74" i="5"/>
  <c r="S91" i="5"/>
  <c r="R91" i="5"/>
  <c r="V91" i="5"/>
  <c r="U91" i="5"/>
  <c r="S78" i="5"/>
  <c r="R78" i="5"/>
  <c r="U78" i="5"/>
  <c r="V78" i="5"/>
  <c r="R39" i="5"/>
  <c r="S39" i="5"/>
  <c r="U39" i="5"/>
  <c r="V39" i="5"/>
  <c r="V48" i="5"/>
  <c r="S48" i="5"/>
  <c r="R48" i="5"/>
  <c r="V92" i="5"/>
  <c r="R52" i="5"/>
  <c r="S52" i="5"/>
  <c r="V52" i="5"/>
  <c r="U52" i="5"/>
  <c r="R53" i="5"/>
  <c r="V53" i="5"/>
  <c r="U53" i="5"/>
  <c r="S53" i="5"/>
  <c r="R82" i="5"/>
  <c r="V82" i="5"/>
  <c r="U82" i="5"/>
  <c r="S82" i="5"/>
  <c r="R24" i="5"/>
  <c r="S24" i="5"/>
  <c r="V24" i="5"/>
  <c r="R67" i="5"/>
  <c r="V67" i="5"/>
  <c r="S67" i="5"/>
  <c r="U67" i="5"/>
  <c r="R31" i="5"/>
  <c r="V31" i="5"/>
  <c r="S31" i="5"/>
  <c r="U31" i="5"/>
  <c r="R93" i="5"/>
  <c r="S93" i="5"/>
  <c r="V93" i="5"/>
  <c r="U93" i="5"/>
  <c r="S22" i="5"/>
  <c r="R22" i="5"/>
  <c r="V22" i="5"/>
  <c r="R38" i="5"/>
  <c r="U38" i="5"/>
  <c r="V38" i="5"/>
  <c r="S38" i="5"/>
  <c r="R72" i="5"/>
  <c r="V72" i="5"/>
  <c r="S72" i="5"/>
  <c r="R46" i="5"/>
  <c r="V46" i="5"/>
  <c r="S46" i="5"/>
  <c r="U46" i="5"/>
  <c r="R66" i="5"/>
  <c r="U66" i="5"/>
  <c r="V66" i="5"/>
  <c r="S66" i="5"/>
  <c r="S30" i="5"/>
  <c r="R30" i="5"/>
  <c r="R94" i="5"/>
  <c r="S94" i="5"/>
  <c r="R23" i="5"/>
  <c r="V23" i="5"/>
  <c r="S23" i="5"/>
  <c r="R99" i="5"/>
  <c r="R5" i="5"/>
  <c r="V5" i="5"/>
  <c r="U5" i="5"/>
  <c r="S5" i="5"/>
  <c r="S92" i="5"/>
  <c r="R92" i="5"/>
  <c r="R27" i="5"/>
  <c r="S27" i="5"/>
  <c r="V27" i="5"/>
  <c r="R37" i="5"/>
  <c r="V37" i="5"/>
  <c r="S37" i="5"/>
  <c r="U37" i="5"/>
  <c r="R56" i="5"/>
  <c r="V56" i="5"/>
  <c r="S56" i="5"/>
  <c r="U56" i="5"/>
  <c r="R83" i="5"/>
  <c r="V83" i="5"/>
  <c r="S83" i="5"/>
  <c r="R90" i="5"/>
  <c r="U90" i="5"/>
  <c r="V90" i="5"/>
  <c r="S90" i="5"/>
  <c r="R54" i="5"/>
  <c r="V54" i="5"/>
  <c r="S54" i="5"/>
  <c r="U54" i="5"/>
  <c r="R50" i="5"/>
  <c r="V50" i="5"/>
  <c r="S50" i="5"/>
  <c r="U50" i="5"/>
  <c r="R44" i="5"/>
  <c r="S44" i="5"/>
  <c r="V44" i="5"/>
</calcChain>
</file>

<file path=xl/sharedStrings.xml><?xml version="1.0" encoding="utf-8"?>
<sst xmlns="http://schemas.openxmlformats.org/spreadsheetml/2006/main" count="349" uniqueCount="112">
  <si>
    <t xml:space="preserve">PROGRAM YEAR </t>
  </si>
  <si>
    <t xml:space="preserve"> CASCADE NATURAL GAS CORPORATION</t>
  </si>
  <si>
    <t>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</si>
  <si>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</si>
  <si>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</si>
  <si>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</si>
  <si>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</si>
  <si>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</si>
  <si>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</si>
  <si>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</si>
  <si>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</si>
  <si>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PARTICIPANT  NEIS</t>
  </si>
  <si>
    <t>TOTAL  INCREMENTAL  COST</t>
  </si>
  <si>
    <t>TOTAL  NET  INCREMENTAL  COST  WITH  NEBS</t>
  </si>
  <si>
    <t>MEASURE  LIFE</t>
  </si>
  <si>
    <t>DISCOUNTED  THERM  SAVINGS</t>
  </si>
  <si>
    <t>PROGRAM  DELIVERY  &amp;  ADMIN</t>
  </si>
  <si>
    <t>PROGRAM  REBATE</t>
  </si>
  <si>
    <t>*TOTAL  REBATES  COST</t>
  </si>
  <si>
    <t>UTILITY  COST</t>
  </si>
  <si>
    <t>UC  W/DELIVERY  &amp;  ADMIN</t>
  </si>
  <si>
    <t>UTILITY COST TEST RATIO</t>
  </si>
  <si>
    <t>TOTAL  RESOURCE  COST</t>
  </si>
  <si>
    <t>TRC  W/DELIVERY  &amp;  ADMIN</t>
  </si>
  <si>
    <t>TOTAL RESOURCE COST TEST RATIO</t>
  </si>
  <si>
    <t>0.91 UEF Tankless Water Heater</t>
  </si>
  <si>
    <t>Zone 1</t>
  </si>
  <si>
    <t>0.91+ UEF</t>
  </si>
  <si>
    <t>Zone 2</t>
  </si>
  <si>
    <t>Zone 3</t>
  </si>
  <si>
    <t>95% AFUE New Gas Furnace (New &amp; Existing)</t>
  </si>
  <si>
    <t>95+% Annual Fuel Utilization Efficiency (AFUE)</t>
  </si>
  <si>
    <t>98% AFUE New Gas Furnace (New &amp; Existing)</t>
  </si>
  <si>
    <t>98+% Annual Fuel Utilization Efficiency (AFUE)</t>
  </si>
  <si>
    <t>Bundle A</t>
  </si>
  <si>
    <t>N/A</t>
  </si>
  <si>
    <t>Bundle B</t>
  </si>
  <si>
    <t>Ceiling</t>
  </si>
  <si>
    <t>Post R-60+, Cavity Fill R-49+</t>
  </si>
  <si>
    <t>Ceiling Tier II</t>
  </si>
  <si>
    <t>Tier 2: Post R-49+</t>
  </si>
  <si>
    <t>Condensing Boiler</t>
  </si>
  <si>
    <t>Duct Insulation</t>
  </si>
  <si>
    <t>Post R ? 8, prior condition must not exceed R-0</t>
  </si>
  <si>
    <t>Duct Sealing</t>
  </si>
  <si>
    <t>30% or more of supply ducts in unconditioned space</t>
  </si>
  <si>
    <t>ENERGY STAR Clothes Washer</t>
  </si>
  <si>
    <t>ENERGY STAR Clothes Washers</t>
  </si>
  <si>
    <t>ENERGY STAR Smart Thermostat</t>
  </si>
  <si>
    <t>Floor Insulation</t>
  </si>
  <si>
    <t>Post R 30+, or to fill cavity</t>
  </si>
  <si>
    <t>High-Efficiency Combination Domestic Hot Water and Hydronic Space Heating System using pre-approved Tankless Water Heater</t>
  </si>
  <si>
    <t>95+% Annual Fuel Utilization Efficiency (AFUE) Hydronic Space Heating &amp; DHW</t>
  </si>
  <si>
    <t>High-Efficiency Exterior Entry (not sliding) Door</t>
  </si>
  <si>
    <t>High-Efficiency Natural Gas Furnace</t>
  </si>
  <si>
    <t>High-Efficiency Natural Gas Hearth (Fireplace)</t>
  </si>
  <si>
    <t>Natural Gas Hearth (Fireplace) - 70% FE Hearth</t>
  </si>
  <si>
    <t>Prescriptive Air Sealing with Insulation Install</t>
  </si>
  <si>
    <t>BPA Weatherization Specifications section 4.4 &amp; 6.2</t>
  </si>
  <si>
    <t>Programmable Thermostat</t>
  </si>
  <si>
    <t>5-2 Programmable</t>
  </si>
  <si>
    <t>Smart Thermostat</t>
  </si>
  <si>
    <t>Wall Insulation</t>
  </si>
  <si>
    <t>Post R-11+, or to fill cavity</t>
  </si>
  <si>
    <t>Wall/Sloped Ceiling Insulation</t>
  </si>
  <si>
    <t>Post R-11+, or fill cavity</t>
  </si>
  <si>
    <t>Whole House Residential Air Sealing</t>
  </si>
  <si>
    <t>Min. 400 CFM50 reduction</t>
  </si>
  <si>
    <t>Windows</t>
  </si>
  <si>
    <t>U Factor&lt;= 0.30</t>
  </si>
  <si>
    <t>Windows 0.22 U-factor</t>
  </si>
  <si>
    <t>U Factor&lt;= 0.22</t>
  </si>
  <si>
    <t>Windows 0.27 U-factor</t>
  </si>
  <si>
    <t>U Factor&lt;= 0.27</t>
  </si>
  <si>
    <t>Windows 0.30 U-factor</t>
  </si>
  <si>
    <t>TOTAL PROGRAM</t>
  </si>
  <si>
    <t xml:space="preserve"> </t>
  </si>
  <si>
    <t>IRP Discount Rate</t>
  </si>
  <si>
    <t>NEI:</t>
  </si>
  <si>
    <t>*Totals per 2024 DSMC to GL Recon</t>
  </si>
  <si>
    <t>Inflation Rate</t>
  </si>
  <si>
    <t>Long Term Discount Rate</t>
  </si>
  <si>
    <t>Total Res Program Admin</t>
  </si>
  <si>
    <t>CASCADE NATURAL GAS CORPORATION</t>
  </si>
  <si>
    <t>INTEGRATED RESOURCE PLAN</t>
  </si>
  <si>
    <t>PORTFOLIO COST APPENDIX 1 TABLE H</t>
  </si>
  <si>
    <t>45 YEAR RESOURCE SUMMARY COSTS - MELDED COST PER THERM</t>
  </si>
  <si>
    <t> </t>
  </si>
  <si>
    <t>YEAR</t>
  </si>
  <si>
    <t>IRP ANNUAL</t>
  </si>
  <si>
    <t>NOMINAL</t>
  </si>
  <si>
    <t>PV OF</t>
  </si>
  <si>
    <t>NON</t>
  </si>
  <si>
    <t>PORTFOLIO</t>
  </si>
  <si>
    <t xml:space="preserve"> PORTFOLIO</t>
  </si>
  <si>
    <t xml:space="preserve"> COST</t>
  </si>
  <si>
    <t xml:space="preserve"> RESOURCE</t>
  </si>
  <si>
    <t xml:space="preserve"> ENERGY</t>
  </si>
  <si>
    <t xml:space="preserve"> COSTS  WITH</t>
  </si>
  <si>
    <t xml:space="preserve"> COST PER</t>
  </si>
  <si>
    <t xml:space="preserve"> PER</t>
  </si>
  <si>
    <t xml:space="preserve"> BENEFIT</t>
  </si>
  <si>
    <t xml:space="preserve"> CONSERVATION</t>
  </si>
  <si>
    <t xml:space="preserve"> THERM (PV)*</t>
  </si>
  <si>
    <t xml:space="preserve"> THERM</t>
  </si>
  <si>
    <t xml:space="preserve"> COST/THERM</t>
  </si>
  <si>
    <t xml:space="preserve"> CREDIT</t>
  </si>
  <si>
    <t>Cascade's Long Term Real Discount Rate:</t>
  </si>
  <si>
    <t>IRP Discount Rate =</t>
  </si>
  <si>
    <t>Revised Discount Rate=</t>
  </si>
  <si>
    <t>Years 21-45 Escalation =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</si>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</sst>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00"/>
    <numFmt numFmtId="165" formatCode="\$#,##0.00;\(\$#,##0.00\)"/>
  </numFmts>
  <fonts count="21">
    <font>
      <sz val="11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sz val="11"/>
      <color rgb="FF000000"/>
      <name val="Calibri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16"/>
      <color rgb="FF3634E0"/>
      <name val="Arial"/>
      <family val="2"/>
    </font>
    <font>
      <b/>
      <sz val="16"/>
      <color rgb="FFA61712"/>
      <name val="Arial"/>
      <family val="2"/>
    </font>
    <font>
      <sz val="9"/>
      <color rgb="FF000000"/>
      <name val="SansSerif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8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499984740745262"/>
        <bgColor indexed="65"/>
      </patternFill>
    </fill>
  </fills>
  <borders count="16">
    <border>
      <left/>
      <right/>
      <top/>
      <bottom/>
      <diagonal/>
    </border>
    <border>
      <left style="thick">
        <color rgb="FFD6D2D2"/>
      </left>
      <right style="thick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/>
      <right/>
      <top style="medium">
        <color rgb="FFD6D2D2"/>
      </top>
      <bottom style="medium">
        <color rgb="FFD6D2D2"/>
      </bottom>
      <diagonal/>
    </border>
    <border>
      <left/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1" fontId="0" fillId="0" borderId="0" xfId="0" applyNumberFormat="1"/>
    <xf numFmtId="4" fontId="16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8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0" fillId="0" borderId="12" xfId="0" applyFont="1" applyBorder="1"/>
    <xf numFmtId="0" fontId="14" fillId="0" borderId="14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8" fontId="15" fillId="0" borderId="12" xfId="0" applyNumberFormat="1" applyFont="1" applyBorder="1" applyAlignment="1">
      <alignment wrapText="1"/>
    </xf>
    <xf numFmtId="9" fontId="15" fillId="0" borderId="12" xfId="0" applyNumberFormat="1" applyFont="1" applyBorder="1" applyAlignment="1">
      <alignment wrapText="1"/>
    </xf>
    <xf numFmtId="10" fontId="20" fillId="0" borderId="0" xfId="0" applyNumberFormat="1" applyFont="1"/>
    <xf numFmtId="4" fontId="6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8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0" fillId="0" borderId="15" xfId="0" applyFont="1" applyBorder="1"/>
    <xf numFmtId="0" fontId="20" fillId="0" borderId="11" xfId="0" applyFont="1" applyBorder="1"/>
    <xf numFmtId="0" fontId="20" fillId="0" borderId="12" xfId="0" applyFont="1" applyBorder="1"/>
    <xf numFmtId="0" fontId="14" fillId="0" borderId="8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0" fillId="0" borderId="1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D20A-BA82-4316-88F6-819A638A45F8}">
  <dimension ref="A1:X107"/>
  <sheetViews>
    <sheetView tabSelected="1" workbookViewId="0">
      <pane ySplit="4" topLeftCell="A82" activePane="bottomLeft" state="frozen"/>
      <selection pane="bottomLeft" activeCell="B2" sqref="B2:V2"/>
    </sheetView>
  </sheetViews>
  <sheetFormatPr defaultRowHeight="14.5"/>
  <cols>
    <col min="1" max="1" width="22.81640625" customWidth="1"/>
    <col min="2" max="2" width="23.81640625" customWidth="1"/>
    <col min="3" max="3" width="17.1796875" customWidth="1"/>
    <col min="5" max="5" width="16.54296875" customWidth="1"/>
    <col min="6" max="6" width="11.453125" style="30" bestFit="1" customWidth="1"/>
    <col min="7" max="7" width="14" customWidth="1"/>
    <col min="8" max="8" width="17.54296875" customWidth="1"/>
    <col min="9" max="9" width="20" customWidth="1"/>
    <col min="10" max="10" width="16.26953125" customWidth="1"/>
    <col min="11" max="11" width="15.81640625" customWidth="1"/>
    <col min="12" max="12" width="12.1796875" style="23" customWidth="1"/>
    <col min="13" max="13" width="16.453125" customWidth="1"/>
    <col min="14" max="14" width="16.26953125" customWidth="1"/>
    <col min="15" max="15" width="10.54296875" bestFit="1" customWidth="1"/>
    <col min="16" max="16" width="15.26953125" customWidth="1"/>
    <col min="17" max="18" width="8.81640625" bestFit="1" customWidth="1"/>
    <col min="19" max="19" width="12.54296875" bestFit="1" customWidth="1"/>
    <col min="20" max="21" width="8.81640625" bestFit="1" customWidth="1"/>
    <col min="22" max="22" width="12.54296875" bestFit="1" customWidth="1"/>
  </cols>
  <sheetData>
    <row r="1" spans="1:24" ht="38.5" thickBot="1">
      <c r="A1" s="1" t="s">
        <v>0</v>
      </c>
      <c r="B1" s="57" t="s">
        <v>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9"/>
      <c r="W1" s="2"/>
      <c r="X1" s="2"/>
    </row>
    <row r="2" spans="1:24" ht="22" customHeight="1" thickBot="1">
      <c r="A2" s="1">
        <v>2024</v>
      </c>
      <c r="B2" s="60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2"/>
      <c r="W2" s="2"/>
      <c r="X2" s="2"/>
    </row>
    <row r="3" spans="1:24" ht="29.5" thickBot="1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  <c r="W3" s="2"/>
      <c r="X3" s="2"/>
    </row>
    <row r="4" spans="1:24" ht="52.5" thickBot="1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3" t="s">
        <v>8</v>
      </c>
      <c r="G4" s="32" t="s">
        <v>9</v>
      </c>
      <c r="H4" s="32" t="s">
        <v>10</v>
      </c>
      <c r="I4" s="34" t="s">
        <v>11</v>
      </c>
      <c r="J4" s="32" t="s">
        <v>12</v>
      </c>
      <c r="K4" s="32" t="s">
        <v>13</v>
      </c>
      <c r="L4" s="35" t="s">
        <v>14</v>
      </c>
      <c r="M4" s="32" t="s">
        <v>15</v>
      </c>
      <c r="N4" s="32" t="s">
        <v>16</v>
      </c>
      <c r="O4" s="32" t="s">
        <v>17</v>
      </c>
      <c r="P4" s="32" t="s">
        <v>18</v>
      </c>
      <c r="Q4" s="32" t="s">
        <v>19</v>
      </c>
      <c r="R4" s="32" t="s">
        <v>20</v>
      </c>
      <c r="S4" s="32" t="s">
        <v>21</v>
      </c>
      <c r="T4" s="32" t="s">
        <v>22</v>
      </c>
      <c r="U4" s="32" t="s">
        <v>23</v>
      </c>
      <c r="V4" s="32" t="s">
        <v>24</v>
      </c>
      <c r="W4" s="2"/>
      <c r="X4" s="2"/>
    </row>
    <row r="5" spans="1:24" ht="25.5" thickBot="1">
      <c r="A5" s="3" t="s">
        <v>25</v>
      </c>
      <c r="B5" s="3" t="s">
        <v>26</v>
      </c>
      <c r="C5" s="3" t="s">
        <v>27</v>
      </c>
      <c r="D5" s="3">
        <v>50</v>
      </c>
      <c r="E5" s="3">
        <v>50</v>
      </c>
      <c r="F5" s="29">
        <v>64.58</v>
      </c>
      <c r="G5" s="4">
        <f>IF(ISNUMBER(E5),E5*F5,"")</f>
        <v>3229</v>
      </c>
      <c r="H5" s="18">
        <v>1171</v>
      </c>
      <c r="I5" s="6">
        <f>PV($B$103,$L5,(-0.05*0.95*$F5))</f>
        <v>28.711447532733338</v>
      </c>
      <c r="J5" s="6">
        <f>IF(ISNUMBER(H5),H5*E5,"")</f>
        <v>58550</v>
      </c>
      <c r="K5" s="6">
        <f>J5-D5*(I5)</f>
        <v>57114.427623363335</v>
      </c>
      <c r="L5" s="21">
        <v>13</v>
      </c>
      <c r="M5" s="4">
        <f>PV($B$103,$L5,-$G5)</f>
        <v>30222.576350245621</v>
      </c>
      <c r="N5" s="8">
        <f t="shared" ref="N5:N36" si="0">(G5/VLOOKUP("TOTAL PROGRAM",$A$4:$G$213,7,FALSE))*$B$105</f>
        <v>5570.7535659012619</v>
      </c>
      <c r="O5" s="6">
        <v>350</v>
      </c>
      <c r="P5" s="6">
        <f>IF(ISNUMBER(O5),O5*E5,"")</f>
        <v>17500</v>
      </c>
      <c r="Q5" s="6">
        <f>IF(ISERROR(P5/M5),0,P5/M5)</f>
        <v>0.57903733279369407</v>
      </c>
      <c r="R5" s="6">
        <f>IF(ISERROR((N5+P5)/M5),0,(N5+P5)/M5)</f>
        <v>0.76336157773371838</v>
      </c>
      <c r="S5" s="3">
        <f>IF($P5=0,"-",(VLOOKUP(L5,APP!B16:H60,6)*$G5)/($P5+$N5))</f>
        <v>2.4787049038797204</v>
      </c>
      <c r="T5" s="6">
        <f>IF(ISERROR(RK5/M5),0,K5/M5)</f>
        <v>1.8897934762897592</v>
      </c>
      <c r="U5" s="6">
        <f>IF(ISERROR(K5/M5),0,(K5+N5)/M5)</f>
        <v>2.0741177212297837</v>
      </c>
      <c r="V5" s="3">
        <f>IF($P5=0,"-",(VLOOKUP(L5,APP!$B$13:$G$57,4)*$G5)/($K5+$N5))</f>
        <v>0.8293331695578352</v>
      </c>
      <c r="W5" s="9"/>
      <c r="X5" s="9"/>
    </row>
    <row r="6" spans="1:24" ht="25">
      <c r="A6" s="3" t="s">
        <v>25</v>
      </c>
      <c r="B6" s="3" t="s">
        <v>26</v>
      </c>
      <c r="C6" s="3" t="s">
        <v>27</v>
      </c>
      <c r="D6" s="3">
        <v>100</v>
      </c>
      <c r="E6" s="3">
        <v>100</v>
      </c>
      <c r="F6" s="29">
        <v>64.8</v>
      </c>
      <c r="G6" s="4">
        <f>IF(ISNUMBER(E6),E6*F6,"")</f>
        <v>6480</v>
      </c>
      <c r="H6" s="18">
        <v>1171</v>
      </c>
      <c r="I6" s="6">
        <f t="shared" ref="I6:I70" si="1">PV($B$103,$L6,(-0.05*0.95*$F6))</f>
        <v>28.809256737707035</v>
      </c>
      <c r="J6" s="6">
        <f>IF(ISNUMBER(H6),H6*E6,"")</f>
        <v>117100</v>
      </c>
      <c r="K6" s="6">
        <f>J6-D6*(I6)</f>
        <v>114219.0743262293</v>
      </c>
      <c r="L6" s="21">
        <v>13</v>
      </c>
      <c r="M6" s="4">
        <f t="shared" ref="M6:M70" si="2">PV($B$103,$L6,-$G6)</f>
        <v>60651.066816225342</v>
      </c>
      <c r="N6" s="8">
        <f t="shared" si="0"/>
        <v>11179.462095707704</v>
      </c>
      <c r="O6" s="6">
        <v>700</v>
      </c>
      <c r="P6" s="6">
        <f>IF(ISNUMBER(O6),O6*E6,"")</f>
        <v>70000</v>
      </c>
      <c r="Q6" s="6">
        <f>IF(ISERROR(P6/M6),0,P6/M6)</f>
        <v>1.1541429306116284</v>
      </c>
      <c r="R6" s="6">
        <f>IF(ISERROR((N6+P6)/M6),0,(N6+P6)/M6)</f>
        <v>1.3384671755516526</v>
      </c>
      <c r="S6" s="3">
        <f>IF($P6=0,"-",(VLOOKUP(L6,APP!B17:H61,6)*$G6)/($P6+$N6))</f>
        <v>1.413667903646628</v>
      </c>
      <c r="T6" s="6">
        <f>IF(ISERROR(RK6/M6),0,K6/M6)</f>
        <v>1.8832162453517383</v>
      </c>
      <c r="U6" s="6">
        <f>IF(ISERROR(K6/M6),0,(K6+N6)/M6)</f>
        <v>2.0675404902917625</v>
      </c>
      <c r="V6" s="3">
        <f>IF($P6=0,"-",(VLOOKUP(L6,APP!$B$13:$G$57,4)*$G6)/($K6+$N6))</f>
        <v>0.83197143265660201</v>
      </c>
      <c r="W6" s="9"/>
      <c r="X6" s="9"/>
    </row>
    <row r="7" spans="1:24" ht="25">
      <c r="A7" s="3" t="s">
        <v>25</v>
      </c>
      <c r="B7" s="3" t="s">
        <v>28</v>
      </c>
      <c r="C7" s="3" t="s">
        <v>27</v>
      </c>
      <c r="D7" s="3">
        <v>10</v>
      </c>
      <c r="E7" s="3">
        <v>10</v>
      </c>
      <c r="F7" s="19">
        <v>64.22</v>
      </c>
      <c r="G7" s="4">
        <f t="shared" ref="G7" si="3">IF(ISNUMBER(E7),E7*F7,"")</f>
        <v>642.20000000000005</v>
      </c>
      <c r="H7" s="18">
        <v>1171</v>
      </c>
      <c r="I7" s="6">
        <f t="shared" si="1"/>
        <v>28.551396106412746</v>
      </c>
      <c r="J7" s="6">
        <f t="shared" ref="J7" si="4">IF(ISNUMBER(H7),H7*E7,"")</f>
        <v>11710</v>
      </c>
      <c r="K7" s="6">
        <f t="shared" ref="K7" si="5">J7-D7*(I7)</f>
        <v>11424.486038935873</v>
      </c>
      <c r="L7" s="21">
        <v>13</v>
      </c>
      <c r="M7" s="4">
        <f t="shared" si="2"/>
        <v>6010.8202329289998</v>
      </c>
      <c r="N7" s="8">
        <f t="shared" si="0"/>
        <v>1107.9399009048593</v>
      </c>
      <c r="O7" s="6">
        <v>350</v>
      </c>
      <c r="P7" s="6">
        <f t="shared" ref="P7" si="6">IF(ISNUMBER(O7),O7*E7,"")</f>
        <v>3500</v>
      </c>
      <c r="Q7" s="6">
        <f t="shared" ref="Q7" si="7">IF(ISERROR(P7/M7),0,P7/M7)</f>
        <v>0.58228325991617491</v>
      </c>
      <c r="R7" s="6">
        <f t="shared" ref="R7" si="8">IF(ISERROR((N7+P7)/M7),0,(N7+P7)/M7)</f>
        <v>0.76660750485619933</v>
      </c>
      <c r="S7" s="3">
        <f>IF($P7=0,"-",(VLOOKUP(L7,APP!B14:H58,6)*$G7)/($P7+$N7))</f>
        <v>2.4682097085872621</v>
      </c>
      <c r="T7" s="6">
        <f t="shared" ref="T7" si="9">IF(ISERROR(RK7/M7),0,K7/M7)</f>
        <v>1.9006534210338311</v>
      </c>
      <c r="U7" s="6">
        <f t="shared" ref="U7" si="10">IF(ISERROR(K7/M7),0,(K7+N7)/M7)</f>
        <v>2.0849776659738555</v>
      </c>
      <c r="V7" s="3">
        <f>IF($P7=0,"-",(VLOOKUP(L7,APP!$B$13:$G$57,4)*$G7)/($K7+$N7))</f>
        <v>0.82501345307223095</v>
      </c>
      <c r="W7" s="9"/>
      <c r="X7" s="9"/>
    </row>
    <row r="8" spans="1:24" ht="25">
      <c r="A8" s="3" t="s">
        <v>25</v>
      </c>
      <c r="B8" s="3" t="s">
        <v>28</v>
      </c>
      <c r="C8" s="3" t="s">
        <v>27</v>
      </c>
      <c r="D8" s="3">
        <v>21</v>
      </c>
      <c r="E8" s="3">
        <v>21</v>
      </c>
      <c r="F8" s="19">
        <v>64.44</v>
      </c>
      <c r="G8" s="4">
        <f t="shared" ref="G8:G86" si="11">IF(ISNUMBER(E8),E8*F8,"")</f>
        <v>1353.24</v>
      </c>
      <c r="H8" s="18">
        <v>1171</v>
      </c>
      <c r="I8" s="6">
        <f t="shared" si="1"/>
        <v>28.649205311386439</v>
      </c>
      <c r="J8" s="6">
        <f t="shared" ref="J8:J93" si="12">IF(ISNUMBER(H8),H8*E8,"")</f>
        <v>24591</v>
      </c>
      <c r="K8" s="6">
        <f t="shared" ref="K8:K93" si="13">J8-D8*(I8)</f>
        <v>23989.366688460887</v>
      </c>
      <c r="L8" s="21">
        <v>13</v>
      </c>
      <c r="M8" s="4">
        <f t="shared" si="2"/>
        <v>12665.964453455059</v>
      </c>
      <c r="N8" s="8">
        <f t="shared" si="0"/>
        <v>2334.6443343202923</v>
      </c>
      <c r="O8" s="6">
        <v>700</v>
      </c>
      <c r="P8" s="6">
        <f t="shared" ref="P8:P86" si="14">IF(ISNUMBER(O8),O8*E8,"")</f>
        <v>14700</v>
      </c>
      <c r="Q8" s="6">
        <f t="shared" ref="Q8:Q93" si="15">IF(ISERROR(P8/M8),0,P8/M8)</f>
        <v>1.1605906564809672</v>
      </c>
      <c r="R8" s="6">
        <f t="shared" ref="R8:R93" si="16">IF(ISERROR((N8+P8)/M8),0,(N8+P8)/M8)</f>
        <v>1.3449149014209913</v>
      </c>
      <c r="S8" s="3">
        <f>IF($P8=0,"-",(VLOOKUP(L8,APP!B15:H59,6)*$G8)/($P8+$N8))</f>
        <v>1.4068905654645871</v>
      </c>
      <c r="T8" s="6">
        <f t="shared" ref="T8:T93" si="17">IF(ISERROR(RK8/M8),0,K8/M8)</f>
        <v>1.8940023696274464</v>
      </c>
      <c r="U8" s="6">
        <f t="shared" ref="U8:U93" si="18">IF(ISERROR(K8/M8),0,(K8+N8)/M8)</f>
        <v>2.0783266145674708</v>
      </c>
      <c r="V8" s="3">
        <f>IF($P8=0,"-",(VLOOKUP(L8,APP!$B$13:$G$57,4)*$G8)/($K8+$N8))</f>
        <v>0.82765365738318053</v>
      </c>
      <c r="W8" s="9"/>
      <c r="X8" s="9"/>
    </row>
    <row r="9" spans="1:24" ht="25">
      <c r="A9" s="3" t="s">
        <v>25</v>
      </c>
      <c r="B9" s="3" t="s">
        <v>29</v>
      </c>
      <c r="C9" s="3" t="s">
        <v>27</v>
      </c>
      <c r="D9" s="3">
        <v>24</v>
      </c>
      <c r="E9" s="3">
        <v>24</v>
      </c>
      <c r="F9" s="29">
        <v>63.68</v>
      </c>
      <c r="G9" s="4">
        <f t="shared" ref="G9" si="19">IF(ISNUMBER(E9),E9*F9,"")</f>
        <v>1528.32</v>
      </c>
      <c r="H9" s="18">
        <v>1171</v>
      </c>
      <c r="I9" s="6">
        <f t="shared" si="1"/>
        <v>28.311318966931854</v>
      </c>
      <c r="J9" s="6">
        <f t="shared" ref="J9" si="20">IF(ISNUMBER(H9),H9*E9,"")</f>
        <v>28104</v>
      </c>
      <c r="K9" s="6">
        <f t="shared" ref="K9" si="21">J9-D9*(I9)</f>
        <v>27424.528344793634</v>
      </c>
      <c r="L9" s="21">
        <v>13</v>
      </c>
      <c r="M9" s="4">
        <f t="shared" si="2"/>
        <v>14304.666425397147</v>
      </c>
      <c r="N9" s="8">
        <f t="shared" si="0"/>
        <v>2636.6968379802465</v>
      </c>
      <c r="O9" s="6">
        <v>350</v>
      </c>
      <c r="P9" s="6">
        <f t="shared" ref="P9" si="22">IF(ISNUMBER(O9),O9*E9,"")</f>
        <v>8400</v>
      </c>
      <c r="Q9" s="6">
        <f t="shared" ref="Q9" si="23">IF(ISERROR(P9/M9),0,P9/M9)</f>
        <v>0.5872209634393335</v>
      </c>
      <c r="R9" s="6">
        <f t="shared" ref="R9" si="24">IF(ISERROR((N9+P9)/M9),0,(N9+P9)/M9)</f>
        <v>0.77154520837935781</v>
      </c>
      <c r="S9" s="3">
        <f>IF($P9=0,"-",(VLOOKUP(L9,APP!B15:H59,6)*$G9)/($P9+$N9))</f>
        <v>2.4524137608688066</v>
      </c>
      <c r="T9" s="6">
        <f t="shared" ref="T9" si="25">IF(ISERROR(RK9/M9),0,K9/M9)</f>
        <v>1.9171735662498846</v>
      </c>
      <c r="U9" s="6">
        <f t="shared" ref="U9" si="26">IF(ISERROR(K9/M9),0,(K9+N9)/M9)</f>
        <v>2.1014978111899087</v>
      </c>
      <c r="V9" s="3">
        <f>IF($P9=0,"-",(VLOOKUP(L9,APP!$B$13:$G$57,4)*$G9)/($K9+$N9))</f>
        <v>0.81852791595799834</v>
      </c>
      <c r="W9" s="9"/>
      <c r="X9" s="9"/>
    </row>
    <row r="10" spans="1:24" ht="25">
      <c r="A10" s="3" t="s">
        <v>25</v>
      </c>
      <c r="B10" s="3" t="s">
        <v>29</v>
      </c>
      <c r="C10" s="3" t="s">
        <v>27</v>
      </c>
      <c r="D10" s="3">
        <v>23</v>
      </c>
      <c r="E10" s="3">
        <v>23</v>
      </c>
      <c r="F10" s="29">
        <v>61.83</v>
      </c>
      <c r="G10" s="4">
        <f t="shared" si="11"/>
        <v>1422.09</v>
      </c>
      <c r="H10" s="18">
        <v>1171</v>
      </c>
      <c r="I10" s="6">
        <f t="shared" si="1"/>
        <v>27.488832470562134</v>
      </c>
      <c r="J10" s="6">
        <f t="shared" si="12"/>
        <v>26933</v>
      </c>
      <c r="K10" s="6">
        <f t="shared" si="13"/>
        <v>26300.75685317707</v>
      </c>
      <c r="L10" s="21">
        <v>13</v>
      </c>
      <c r="M10" s="4">
        <f t="shared" si="2"/>
        <v>13310.382038377453</v>
      </c>
      <c r="N10" s="8">
        <f t="shared" si="0"/>
        <v>2453.4261190871866</v>
      </c>
      <c r="O10" s="6">
        <v>700</v>
      </c>
      <c r="P10" s="6">
        <f t="shared" si="14"/>
        <v>16100</v>
      </c>
      <c r="Q10" s="6">
        <f t="shared" si="15"/>
        <v>1.209582110684676</v>
      </c>
      <c r="R10" s="6">
        <f t="shared" si="16"/>
        <v>1.3939063556247004</v>
      </c>
      <c r="S10" s="3">
        <f>IF($P10=0,"-",(VLOOKUP(L10,APP!B16:H60,6)*$G10)/($P10+$N10))</f>
        <v>1.3574427568442593</v>
      </c>
      <c r="T10" s="6">
        <f t="shared" si="17"/>
        <v>1.9759580737310793</v>
      </c>
      <c r="U10" s="6">
        <f t="shared" si="18"/>
        <v>2.1602823186711038</v>
      </c>
      <c r="V10" s="3">
        <f>IF($P10=0,"-",(VLOOKUP(L10,APP!$B$13:$G$57,4)*$G10)/($K10+$N10))</f>
        <v>0.79625454919323257</v>
      </c>
      <c r="W10" s="9"/>
      <c r="X10" s="9"/>
    </row>
    <row r="11" spans="1:24" ht="37.5">
      <c r="A11" s="3" t="s">
        <v>30</v>
      </c>
      <c r="B11" s="3" t="s">
        <v>26</v>
      </c>
      <c r="C11" s="3" t="s">
        <v>31</v>
      </c>
      <c r="D11" s="3">
        <v>243</v>
      </c>
      <c r="E11" s="3">
        <v>244</v>
      </c>
      <c r="F11" s="19">
        <v>94.58</v>
      </c>
      <c r="G11" s="4">
        <f t="shared" ref="G11" si="27">IF(ISNUMBER(E11),E11*F11,"")</f>
        <v>23077.52</v>
      </c>
      <c r="H11" s="6">
        <v>1024</v>
      </c>
      <c r="I11" s="6">
        <f t="shared" si="1"/>
        <v>58.813300087428331</v>
      </c>
      <c r="J11" s="6">
        <f t="shared" ref="J11" si="28">IF(ISNUMBER(H11),H11*E11,"")</f>
        <v>249856</v>
      </c>
      <c r="K11" s="6">
        <f t="shared" ref="K11" si="29">J11-D11*(I11)</f>
        <v>235564.36807875492</v>
      </c>
      <c r="L11" s="21">
        <v>22</v>
      </c>
      <c r="M11" s="4">
        <f t="shared" si="2"/>
        <v>302114.63623857929</v>
      </c>
      <c r="N11" s="8">
        <f t="shared" si="0"/>
        <v>39813.929028230938</v>
      </c>
      <c r="O11" s="6">
        <v>650</v>
      </c>
      <c r="P11" s="6">
        <f t="shared" ref="P11" si="30">IF(ISNUMBER(O11),O11*E11,"")</f>
        <v>158600</v>
      </c>
      <c r="Q11" s="6">
        <f t="shared" ref="Q11" si="31">IF(ISERROR(P11/M11),0,P11/M11)</f>
        <v>0.52496629085773228</v>
      </c>
      <c r="R11" s="6">
        <f t="shared" ref="R11" si="32">IF(ISERROR((N11+P11)/M11),0,(N11+P11)/M11)</f>
        <v>0.65675046895624045</v>
      </c>
      <c r="S11" s="3">
        <f>IF($P11=0,"-",(VLOOKUP(L11,APP!B15:H59,6)*$G11)/($P11+$N11))</f>
        <v>4.929216927410593</v>
      </c>
      <c r="T11" s="6">
        <f t="shared" ref="T11" si="33">IF(ISERROR(RK11/M11),0,K11/M11)</f>
        <v>0.77971849034394425</v>
      </c>
      <c r="U11" s="6">
        <f t="shared" ref="U11" si="34">IF(ISERROR(K11/M11),0,(K11+N11)/M11)</f>
        <v>0.91150266844245242</v>
      </c>
      <c r="V11" s="3">
        <f>IF($P11=0,"-",(VLOOKUP(L11,APP!$B$13:$G$57,4)*$G11)/($K11+$N11))</f>
        <v>3.22892855007579</v>
      </c>
      <c r="W11" s="9"/>
      <c r="X11" s="9"/>
    </row>
    <row r="12" spans="1:24" ht="37.5">
      <c r="A12" s="3" t="s">
        <v>30</v>
      </c>
      <c r="B12" s="3" t="s">
        <v>26</v>
      </c>
      <c r="C12" s="3" t="s">
        <v>31</v>
      </c>
      <c r="D12" s="3">
        <v>488</v>
      </c>
      <c r="E12" s="3">
        <v>489</v>
      </c>
      <c r="F12" s="19">
        <v>87.14</v>
      </c>
      <c r="G12" s="4">
        <f t="shared" si="11"/>
        <v>42611.46</v>
      </c>
      <c r="H12" s="6">
        <v>1024</v>
      </c>
      <c r="I12" s="6">
        <f t="shared" si="1"/>
        <v>54.186836219269459</v>
      </c>
      <c r="J12" s="6">
        <f t="shared" si="12"/>
        <v>500736</v>
      </c>
      <c r="K12" s="6">
        <f t="shared" si="13"/>
        <v>474292.82392499648</v>
      </c>
      <c r="L12" s="21">
        <v>22</v>
      </c>
      <c r="M12" s="4">
        <f t="shared" si="2"/>
        <v>557839.21918363718</v>
      </c>
      <c r="N12" s="8">
        <f t="shared" si="0"/>
        <v>73514.383011229162</v>
      </c>
      <c r="O12" s="6">
        <v>800</v>
      </c>
      <c r="P12" s="6">
        <f t="shared" si="14"/>
        <v>391200</v>
      </c>
      <c r="Q12" s="6">
        <f t="shared" si="15"/>
        <v>0.70127733322962971</v>
      </c>
      <c r="R12" s="6">
        <f t="shared" si="16"/>
        <v>0.83306151132813788</v>
      </c>
      <c r="S12" s="3">
        <f>IF($P12=0,"-",(VLOOKUP(L12,APP!B16:H60,6)*$G12)/($P12+$N12))</f>
        <v>3.8859861902668156</v>
      </c>
      <c r="T12" s="6">
        <f t="shared" si="17"/>
        <v>0.85023212354824096</v>
      </c>
      <c r="U12" s="6">
        <f t="shared" si="18"/>
        <v>0.98201630164674913</v>
      </c>
      <c r="V12" s="3">
        <f>IF($P12=0,"-",(VLOOKUP(L12,APP!$B$13:$G$57,4)*$G12)/($K12+$N12))</f>
        <v>2.9970754911793933</v>
      </c>
      <c r="W12" s="9"/>
      <c r="X12" s="9"/>
    </row>
    <row r="13" spans="1:24" ht="37.5">
      <c r="A13" s="3" t="s">
        <v>30</v>
      </c>
      <c r="B13" s="3" t="s">
        <v>28</v>
      </c>
      <c r="C13" s="3" t="s">
        <v>31</v>
      </c>
      <c r="D13" s="3">
        <v>66</v>
      </c>
      <c r="E13" s="3">
        <v>66</v>
      </c>
      <c r="F13" s="19">
        <v>95.62</v>
      </c>
      <c r="G13" s="4">
        <f t="shared" ref="G13" si="35">IF(ISNUMBER(E13),E13*F13,"")</f>
        <v>6310.92</v>
      </c>
      <c r="H13" s="6">
        <v>1024</v>
      </c>
      <c r="I13" s="6">
        <f t="shared" si="1"/>
        <v>59.460010090504312</v>
      </c>
      <c r="J13" s="6">
        <f t="shared" ref="J13" si="36">IF(ISNUMBER(H13),H13*E13,"")</f>
        <v>67584</v>
      </c>
      <c r="K13" s="6">
        <f t="shared" ref="K13" si="37">J13-D13*(I13)</f>
        <v>63659.639334026717</v>
      </c>
      <c r="L13" s="21">
        <v>22</v>
      </c>
      <c r="M13" s="4">
        <f t="shared" si="2"/>
        <v>82618.119283648091</v>
      </c>
      <c r="N13" s="8">
        <f t="shared" si="0"/>
        <v>10887.760945840073</v>
      </c>
      <c r="O13" s="6">
        <v>650</v>
      </c>
      <c r="P13" s="6">
        <f t="shared" ref="P13" si="38">IF(ISNUMBER(O13),O13*E13,"")</f>
        <v>42900</v>
      </c>
      <c r="Q13" s="6">
        <f t="shared" ref="Q13" si="39">IF(ISERROR(P13/M13),0,P13/M13)</f>
        <v>0.51925655500234602</v>
      </c>
      <c r="R13" s="6">
        <f t="shared" ref="R13" si="40">IF(ISERROR((N13+P13)/M13),0,(N13+P13)/M13)</f>
        <v>0.6510407331008542</v>
      </c>
      <c r="S13" s="3">
        <f>IF($P13=0,"-",(VLOOKUP(L13,APP!B15:H59,6)*$G13)/($P13+$N13))</f>
        <v>4.972446982303417</v>
      </c>
      <c r="T13" s="6">
        <f t="shared" ref="T13" si="41">IF(ISERROR(RK13/M13),0,K13/M13)</f>
        <v>0.77052878818831128</v>
      </c>
      <c r="U13" s="6">
        <f t="shared" ref="U13" si="42">IF(ISERROR(K13/M13),0,(K13+N13)/M13)</f>
        <v>0.90231296628681956</v>
      </c>
      <c r="V13" s="3">
        <f>IF($P13=0,"-",(VLOOKUP(L13,APP!$B$13:$G$57,4)*$G13)/($K13+$N13))</f>
        <v>3.2618139155373171</v>
      </c>
      <c r="W13" s="9"/>
      <c r="X13" s="9"/>
    </row>
    <row r="14" spans="1:24" ht="37.5">
      <c r="A14" s="3" t="s">
        <v>30</v>
      </c>
      <c r="B14" s="3" t="s">
        <v>28</v>
      </c>
      <c r="C14" s="3" t="s">
        <v>31</v>
      </c>
      <c r="D14" s="3">
        <v>71</v>
      </c>
      <c r="E14" s="3">
        <v>71</v>
      </c>
      <c r="F14" s="19">
        <v>87.62</v>
      </c>
      <c r="G14" s="4">
        <f t="shared" si="11"/>
        <v>6221.02</v>
      </c>
      <c r="H14" s="6">
        <v>1024</v>
      </c>
      <c r="I14" s="6">
        <f t="shared" si="1"/>
        <v>54.485317759150675</v>
      </c>
      <c r="J14" s="6">
        <f t="shared" si="12"/>
        <v>72704</v>
      </c>
      <c r="K14" s="6">
        <f t="shared" si="13"/>
        <v>68835.542439100303</v>
      </c>
      <c r="L14" s="21">
        <v>22</v>
      </c>
      <c r="M14" s="4">
        <f t="shared" si="2"/>
        <v>81441.211808414708</v>
      </c>
      <c r="N14" s="8">
        <f t="shared" si="0"/>
        <v>10732.663161518449</v>
      </c>
      <c r="O14" s="6">
        <v>800</v>
      </c>
      <c r="P14" s="6">
        <f t="shared" si="14"/>
        <v>56800</v>
      </c>
      <c r="Q14" s="6">
        <f t="shared" si="15"/>
        <v>0.69743559481431094</v>
      </c>
      <c r="R14" s="6">
        <f t="shared" si="16"/>
        <v>0.82921977291281912</v>
      </c>
      <c r="S14" s="3">
        <f>IF($P14=0,"-",(VLOOKUP(L14,APP!B16:H60,6)*$G14)/($P14+$N14))</f>
        <v>3.903989791864622</v>
      </c>
      <c r="T14" s="6">
        <f t="shared" si="17"/>
        <v>0.84521756136231807</v>
      </c>
      <c r="U14" s="6">
        <f t="shared" si="18"/>
        <v>0.97700173946082625</v>
      </c>
      <c r="V14" s="3">
        <f>IF($P14=0,"-",(VLOOKUP(L14,APP!$B$13:$G$57,4)*$G14)/($K14+$N14))</f>
        <v>3.0124582902261161</v>
      </c>
      <c r="W14" s="9"/>
      <c r="X14" s="9"/>
    </row>
    <row r="15" spans="1:24" ht="37.5">
      <c r="A15" s="3" t="s">
        <v>30</v>
      </c>
      <c r="B15" s="3" t="s">
        <v>29</v>
      </c>
      <c r="C15" s="3" t="s">
        <v>31</v>
      </c>
      <c r="D15" s="3">
        <v>130</v>
      </c>
      <c r="E15" s="3">
        <v>135</v>
      </c>
      <c r="F15" s="19">
        <v>83.8</v>
      </c>
      <c r="G15" s="4">
        <f t="shared" ref="G15" si="43">IF(ISNUMBER(E15),E15*F15,"")</f>
        <v>11313</v>
      </c>
      <c r="H15" s="6">
        <v>1024</v>
      </c>
      <c r="I15" s="6">
        <f t="shared" si="1"/>
        <v>52.10990217092931</v>
      </c>
      <c r="J15" s="6">
        <f t="shared" ref="J15" si="44">IF(ISNUMBER(H15),H15*E15,"")</f>
        <v>138240</v>
      </c>
      <c r="K15" s="6">
        <f t="shared" ref="K15" si="45">J15-D15*(I15)</f>
        <v>131465.71271777918</v>
      </c>
      <c r="L15" s="21">
        <v>22</v>
      </c>
      <c r="M15" s="4">
        <f t="shared" si="2"/>
        <v>148101.82722264121</v>
      </c>
      <c r="N15" s="8">
        <f t="shared" si="0"/>
        <v>19517.477575423036</v>
      </c>
      <c r="O15" s="6">
        <v>650</v>
      </c>
      <c r="P15" s="6">
        <f t="shared" ref="P15" si="46">IF(ISNUMBER(O15),O15*E15,"")</f>
        <v>87750</v>
      </c>
      <c r="Q15" s="6">
        <f t="shared" ref="Q15" si="47">IF(ISERROR(P15/M15),0,P15/M15)</f>
        <v>0.59249775404921634</v>
      </c>
      <c r="R15" s="6">
        <f t="shared" ref="R15" si="48">IF(ISERROR((N15+P15)/M15),0,(N15+P15)/M15)</f>
        <v>0.72428193214772452</v>
      </c>
      <c r="S15" s="3">
        <f>IF($P15=0,"-",(VLOOKUP(L15,APP!B15:H59,6)*$G15)/($P15+$N15))</f>
        <v>4.4696207167068662</v>
      </c>
      <c r="T15" s="6">
        <f t="shared" ref="T15" si="49">IF(ISERROR(RK15/M15),0,K15/M15)</f>
        <v>0.88767110563833229</v>
      </c>
      <c r="U15" s="6">
        <f t="shared" ref="U15" si="50">IF(ISERROR(K15/M15),0,(K15+N15)/M15)</f>
        <v>1.0194552837368407</v>
      </c>
      <c r="V15" s="3">
        <f>IF($P15=0,"-",(VLOOKUP(L15,APP!$B$13:$G$57,4)*$G15)/($K15+$N15))</f>
        <v>2.8870094025270125</v>
      </c>
      <c r="W15" s="9"/>
      <c r="X15" s="9"/>
    </row>
    <row r="16" spans="1:24" ht="37.5">
      <c r="A16" s="3" t="s">
        <v>30</v>
      </c>
      <c r="B16" s="3" t="s">
        <v>29</v>
      </c>
      <c r="C16" s="3" t="s">
        <v>31</v>
      </c>
      <c r="D16" s="3">
        <v>225</v>
      </c>
      <c r="E16" s="3">
        <v>225</v>
      </c>
      <c r="F16" s="19">
        <v>74.8</v>
      </c>
      <c r="G16" s="4">
        <f t="shared" si="11"/>
        <v>16830</v>
      </c>
      <c r="H16" s="6">
        <v>1024</v>
      </c>
      <c r="I16" s="6">
        <f t="shared" si="1"/>
        <v>46.51337329815648</v>
      </c>
      <c r="J16" s="6">
        <f t="shared" si="12"/>
        <v>230400</v>
      </c>
      <c r="K16" s="6">
        <f t="shared" si="13"/>
        <v>219934.4910079148</v>
      </c>
      <c r="L16" s="21">
        <v>22</v>
      </c>
      <c r="M16" s="4">
        <f t="shared" si="2"/>
        <v>220326.50509653066</v>
      </c>
      <c r="N16" s="8">
        <f t="shared" si="0"/>
        <v>29035.547387463066</v>
      </c>
      <c r="O16" s="6">
        <v>800</v>
      </c>
      <c r="P16" s="6">
        <f t="shared" si="14"/>
        <v>180000</v>
      </c>
      <c r="Q16" s="6">
        <f t="shared" si="15"/>
        <v>0.81696934248168374</v>
      </c>
      <c r="R16" s="6">
        <f t="shared" si="16"/>
        <v>0.94875352058019191</v>
      </c>
      <c r="S16" s="3">
        <f>IF($P16=0,"-",(VLOOKUP(L16,APP!B16:H60,6)*$G16)/($P16+$N16))</f>
        <v>3.4121249180548592</v>
      </c>
      <c r="T16" s="6">
        <f t="shared" si="17"/>
        <v>0.99822075837655522</v>
      </c>
      <c r="U16" s="6">
        <f t="shared" si="18"/>
        <v>1.1300049364750635</v>
      </c>
      <c r="V16" s="3">
        <f>IF($P16=0,"-",(VLOOKUP(L16,APP!$B$13:$G$57,4)*$G16)/($K16+$N16))</f>
        <v>2.6045700285036335</v>
      </c>
      <c r="W16" s="9"/>
      <c r="X16" s="9"/>
    </row>
    <row r="17" spans="1:24" ht="34.5">
      <c r="A17" s="3" t="s">
        <v>32</v>
      </c>
      <c r="B17" s="3" t="s">
        <v>26</v>
      </c>
      <c r="C17" s="17" t="s">
        <v>33</v>
      </c>
      <c r="D17" s="3">
        <v>19</v>
      </c>
      <c r="E17" s="3">
        <v>19</v>
      </c>
      <c r="F17" s="30">
        <v>113.5</v>
      </c>
      <c r="G17" s="4">
        <f t="shared" ref="G17" si="51">IF(ISNUMBER(E17),E17*F17,"")</f>
        <v>2156.5</v>
      </c>
      <c r="H17" s="6">
        <v>1024</v>
      </c>
      <c r="I17" s="6">
        <f t="shared" si="1"/>
        <v>70.578447451079683</v>
      </c>
      <c r="J17" s="6">
        <f t="shared" ref="J17" si="52">IF(ISNUMBER(H17),H17*E17,"")</f>
        <v>19456</v>
      </c>
      <c r="K17" s="6">
        <f t="shared" ref="K17" si="53">J17-D17*(I17)</f>
        <v>18115.009498429485</v>
      </c>
      <c r="L17" s="21">
        <v>22</v>
      </c>
      <c r="M17" s="4">
        <f t="shared" si="2"/>
        <v>28231.378980431873</v>
      </c>
      <c r="N17" s="8">
        <f t="shared" si="0"/>
        <v>3720.4490755237139</v>
      </c>
      <c r="O17" s="6">
        <v>900</v>
      </c>
      <c r="P17" s="6">
        <f t="shared" ref="P17" si="54">IF(ISNUMBER(O17),O17*E17,"")</f>
        <v>17100</v>
      </c>
      <c r="Q17" s="6">
        <f t="shared" ref="Q17" si="55">IF(ISERROR(P17/M17),0,P17/M17)</f>
        <v>0.60570898828047293</v>
      </c>
      <c r="R17" s="6">
        <f t="shared" ref="R17" si="56">IF(ISERROR((N17+P17)/M17),0,(N17+P17)/M17)</f>
        <v>0.7374931663789811</v>
      </c>
      <c r="S17" s="3">
        <f>IF($P17=0,"-",(VLOOKUP(L17,APP!B15:H59,6)*$G17)/($P17+$N17))</f>
        <v>4.3895532545184128</v>
      </c>
      <c r="T17" s="6">
        <f t="shared" ref="T17" si="57">IF(ISERROR(RK17/M17),0,K17/M17)</f>
        <v>0.64166222666578254</v>
      </c>
      <c r="U17" s="6">
        <f t="shared" ref="U17" si="58">IF(ISERROR(K17/M17),0,(K17+N17)/M17)</f>
        <v>0.77344640476429061</v>
      </c>
      <c r="V17" s="3">
        <f>IF($P17=0,"-",(VLOOKUP(L17,APP!$B$13:$G$57,4)*$G17)/($K17+$N17))</f>
        <v>3.8052759331152899</v>
      </c>
      <c r="W17" s="9"/>
      <c r="X17" s="9"/>
    </row>
    <row r="18" spans="1:24" ht="34.5">
      <c r="A18" s="3" t="s">
        <v>32</v>
      </c>
      <c r="B18" s="3" t="s">
        <v>26</v>
      </c>
      <c r="C18" s="17" t="s">
        <v>33</v>
      </c>
      <c r="D18" s="3">
        <v>23</v>
      </c>
      <c r="E18" s="3">
        <v>23</v>
      </c>
      <c r="F18" s="30">
        <v>134.27000000000001</v>
      </c>
      <c r="G18" s="4">
        <f t="shared" si="11"/>
        <v>3088.21</v>
      </c>
      <c r="H18" s="6">
        <v>1024</v>
      </c>
      <c r="I18" s="6">
        <f t="shared" si="1"/>
        <v>83.493992416356562</v>
      </c>
      <c r="J18" s="6">
        <f t="shared" si="12"/>
        <v>23552</v>
      </c>
      <c r="K18" s="6">
        <f t="shared" si="13"/>
        <v>21631.638174423799</v>
      </c>
      <c r="L18" s="21">
        <v>22</v>
      </c>
      <c r="M18" s="4">
        <f t="shared" si="2"/>
        <v>40428.67001213054</v>
      </c>
      <c r="N18" s="8">
        <f t="shared" si="0"/>
        <v>5327.8590491644281</v>
      </c>
      <c r="O18" s="6">
        <v>1200</v>
      </c>
      <c r="P18" s="6">
        <f t="shared" si="14"/>
        <v>27600</v>
      </c>
      <c r="Q18" s="6">
        <f t="shared" si="15"/>
        <v>0.6826838476684659</v>
      </c>
      <c r="R18" s="6">
        <f t="shared" si="16"/>
        <v>0.81446802576697408</v>
      </c>
      <c r="S18" s="3">
        <f>IF($P18=0,"-",(VLOOKUP(L18,APP!B16:H60,6)*$G18)/($P18+$N18))</f>
        <v>3.9746993451528749</v>
      </c>
      <c r="T18" s="6">
        <f t="shared" si="17"/>
        <v>0.53505688334375756</v>
      </c>
      <c r="U18" s="6">
        <f t="shared" si="18"/>
        <v>0.66684106144226574</v>
      </c>
      <c r="V18" s="3">
        <f>IF($P18=0,"-",(VLOOKUP(L18,APP!$B$13:$G$57,4)*$G18)/($K18+$N18))</f>
        <v>4.4136109183776151</v>
      </c>
      <c r="W18" s="9"/>
      <c r="X18" s="9"/>
    </row>
    <row r="19" spans="1:24" ht="34.5">
      <c r="A19" s="3" t="s">
        <v>32</v>
      </c>
      <c r="B19" s="3" t="s">
        <v>28</v>
      </c>
      <c r="C19" s="17" t="s">
        <v>33</v>
      </c>
      <c r="D19" s="3">
        <v>1</v>
      </c>
      <c r="E19" s="3">
        <v>1</v>
      </c>
      <c r="F19" s="30">
        <v>114.74</v>
      </c>
      <c r="G19" s="4">
        <f t="shared" ref="G19" si="59">IF(ISNUMBER(E19),E19*F19,"")</f>
        <v>114.74</v>
      </c>
      <c r="H19" s="6">
        <v>1024</v>
      </c>
      <c r="I19" s="6">
        <f t="shared" si="1"/>
        <v>71.349524762439501</v>
      </c>
      <c r="J19" s="6">
        <f t="shared" ref="J19" si="60">IF(ISNUMBER(H19),H19*E19,"")</f>
        <v>1024</v>
      </c>
      <c r="K19" s="6">
        <f t="shared" ref="K19" si="61">J19-D19*(I19)</f>
        <v>952.6504752375605</v>
      </c>
      <c r="L19" s="21">
        <v>22</v>
      </c>
      <c r="M19" s="4">
        <f t="shared" si="2"/>
        <v>1502.0952581566207</v>
      </c>
      <c r="N19" s="8">
        <f t="shared" si="0"/>
        <v>197.95238902183672</v>
      </c>
      <c r="O19" s="6">
        <v>900</v>
      </c>
      <c r="P19" s="6">
        <f t="shared" ref="P19" si="62">IF(ISNUMBER(O19),O19*E19,"")</f>
        <v>900</v>
      </c>
      <c r="Q19" s="6">
        <f t="shared" ref="Q19" si="63">IF(ISERROR(P19/M19),0,P19/M19)</f>
        <v>0.59916306579949186</v>
      </c>
      <c r="R19" s="6">
        <f t="shared" ref="R19" si="64">IF(ISERROR((N19+P19)/M19),0,(N19+P19)/M19)</f>
        <v>0.73094724389800003</v>
      </c>
      <c r="S19" s="3">
        <f>IF($P19=0,"-",(VLOOKUP(L19,APP!B15:H59,6)*$G19)/($P19+$N19))</f>
        <v>4.4288634449187283</v>
      </c>
      <c r="T19" s="6">
        <f t="shared" ref="T19" si="65">IF(ISERROR(RK19/M19),0,K19/M19)</f>
        <v>0.63421442153186625</v>
      </c>
      <c r="U19" s="6">
        <f t="shared" ref="U19" si="66">IF(ISERROR(K19/M19),0,(K19+N19)/M19)</f>
        <v>0.76599859963037442</v>
      </c>
      <c r="V19" s="3">
        <f>IF($P19=0,"-",(VLOOKUP(L19,APP!$B$13:$G$57,4)*$G19)/($K19+$N19))</f>
        <v>3.8422746347373296</v>
      </c>
      <c r="W19" s="9"/>
      <c r="X19" s="9"/>
    </row>
    <row r="20" spans="1:24" ht="34.5">
      <c r="A20" s="3" t="s">
        <v>32</v>
      </c>
      <c r="B20" s="3" t="s">
        <v>29</v>
      </c>
      <c r="C20" s="17" t="s">
        <v>33</v>
      </c>
      <c r="D20" s="3">
        <v>7</v>
      </c>
      <c r="E20" s="3">
        <v>7</v>
      </c>
      <c r="F20" s="30">
        <v>100.56</v>
      </c>
      <c r="G20" s="4">
        <f t="shared" ref="G20" si="67">IF(ISNUMBER(E20),E20*F20,"")</f>
        <v>703.92000000000007</v>
      </c>
      <c r="H20" s="6">
        <v>1024</v>
      </c>
      <c r="I20" s="6">
        <f t="shared" si="1"/>
        <v>62.531882605115186</v>
      </c>
      <c r="J20" s="6">
        <f t="shared" ref="J20" si="68">IF(ISNUMBER(H20),H20*E20,"")</f>
        <v>7168</v>
      </c>
      <c r="K20" s="6">
        <f t="shared" ref="K20" si="69">J20-D20*(I20)</f>
        <v>6730.2768217641933</v>
      </c>
      <c r="L20" s="21">
        <v>22</v>
      </c>
      <c r="M20" s="4">
        <f t="shared" si="2"/>
        <v>9215.224804964344</v>
      </c>
      <c r="N20" s="8">
        <f t="shared" si="0"/>
        <v>1214.4208269152111</v>
      </c>
      <c r="O20" s="6">
        <v>900</v>
      </c>
      <c r="P20" s="6">
        <f t="shared" ref="P20" si="70">IF(ISNUMBER(O20),O20*E20,"")</f>
        <v>6300</v>
      </c>
      <c r="Q20" s="6">
        <f t="shared" ref="Q20" si="71">IF(ISERROR(P20/M20),0,P20/M20)</f>
        <v>0.68365125467217247</v>
      </c>
      <c r="R20" s="6">
        <f t="shared" ref="R20" si="72">IF(ISERROR((N20+P20)/M20),0,(N20+P20)/M20)</f>
        <v>0.81543543277068065</v>
      </c>
      <c r="S20" s="3">
        <f>IF($P20=0,"-",(VLOOKUP(L20,APP!B16:H60,6)*$G20)/($P20+$N20))</f>
        <v>3.9699838866020185</v>
      </c>
      <c r="T20" s="6">
        <f t="shared" ref="T20" si="73">IF(ISERROR(RK20/M20),0,K20/M20)</f>
        <v>0.73034320531589403</v>
      </c>
      <c r="U20" s="6">
        <f t="shared" ref="U20" si="74">IF(ISERROR(K20/M20),0,(K20+N20)/M20)</f>
        <v>0.8621273834144022</v>
      </c>
      <c r="V20" s="3">
        <f>IF($P20=0,"-",(VLOOKUP(L20,APP!$B$13:$G$57,4)*$G20)/($K20+$N20))</f>
        <v>3.4138539689434655</v>
      </c>
      <c r="W20" s="9"/>
      <c r="X20" s="9"/>
    </row>
    <row r="21" spans="1:24" ht="34.5">
      <c r="A21" s="3" t="s">
        <v>32</v>
      </c>
      <c r="B21" s="3" t="s">
        <v>29</v>
      </c>
      <c r="C21" s="17" t="s">
        <v>33</v>
      </c>
      <c r="D21" s="3">
        <v>20</v>
      </c>
      <c r="E21" s="3">
        <v>21</v>
      </c>
      <c r="F21" s="30">
        <v>136.15</v>
      </c>
      <c r="G21" s="4">
        <f t="shared" si="11"/>
        <v>2859.15</v>
      </c>
      <c r="H21" s="6">
        <v>1024</v>
      </c>
      <c r="I21" s="6">
        <f t="shared" si="1"/>
        <v>84.663045114224659</v>
      </c>
      <c r="J21" s="6">
        <f t="shared" si="12"/>
        <v>21504</v>
      </c>
      <c r="K21" s="6">
        <f t="shared" si="13"/>
        <v>19810.739097715508</v>
      </c>
      <c r="L21" s="21">
        <v>22</v>
      </c>
      <c r="M21" s="4">
        <f t="shared" si="2"/>
        <v>37429.977839973013</v>
      </c>
      <c r="N21" s="8">
        <f t="shared" si="0"/>
        <v>4932.678865886217</v>
      </c>
      <c r="O21" s="6">
        <v>1200</v>
      </c>
      <c r="P21" s="6">
        <f t="shared" si="14"/>
        <v>25200</v>
      </c>
      <c r="Q21" s="6">
        <f t="shared" si="15"/>
        <v>0.67325714452034446</v>
      </c>
      <c r="R21" s="6">
        <f t="shared" si="16"/>
        <v>0.80504132261885253</v>
      </c>
      <c r="S21" s="3">
        <f>IF($P21=0,"-",(VLOOKUP(L21,APP!B17:H61,6)*$G21)/($P21+$N21))</f>
        <v>4.0212414415360787</v>
      </c>
      <c r="T21" s="6">
        <f t="shared" si="17"/>
        <v>0.52927466808593204</v>
      </c>
      <c r="U21" s="6">
        <f t="shared" si="18"/>
        <v>0.66105884618444022</v>
      </c>
      <c r="V21" s="3">
        <f>IF($P21=0,"-",(VLOOKUP(L21,APP!$B$13:$G$57,4)*$G21)/($K21+$N21))</f>
        <v>4.4522163292901977</v>
      </c>
      <c r="W21" s="9"/>
      <c r="X21" s="9"/>
    </row>
    <row r="22" spans="1:24" ht="15" thickBot="1">
      <c r="A22" s="3" t="s">
        <v>34</v>
      </c>
      <c r="B22" s="3" t="s">
        <v>26</v>
      </c>
      <c r="C22" s="3" t="s">
        <v>35</v>
      </c>
      <c r="D22" s="3">
        <v>251</v>
      </c>
      <c r="E22" s="3">
        <v>251</v>
      </c>
      <c r="F22" s="19">
        <v>0</v>
      </c>
      <c r="G22" s="4">
        <f t="shared" si="11"/>
        <v>0</v>
      </c>
      <c r="H22" s="6">
        <v>250</v>
      </c>
      <c r="I22" s="6">
        <f t="shared" si="1"/>
        <v>0</v>
      </c>
      <c r="J22" s="6">
        <f t="shared" si="12"/>
        <v>62750</v>
      </c>
      <c r="K22" s="6">
        <f t="shared" si="13"/>
        <v>62750</v>
      </c>
      <c r="L22" s="21">
        <v>0</v>
      </c>
      <c r="M22" s="4">
        <f t="shared" si="2"/>
        <v>0</v>
      </c>
      <c r="N22" s="8">
        <f t="shared" si="0"/>
        <v>0</v>
      </c>
      <c r="O22" s="6">
        <v>250</v>
      </c>
      <c r="P22" s="6">
        <f t="shared" si="14"/>
        <v>62750</v>
      </c>
      <c r="Q22" s="6">
        <f t="shared" si="15"/>
        <v>0</v>
      </c>
      <c r="R22" s="6">
        <f t="shared" si="16"/>
        <v>0</v>
      </c>
      <c r="S22" s="3" t="e">
        <f>IF($P22=0,"-",(VLOOKUP(L22,APP!B16:H60,6)*$G22)/($P22+$N22))</f>
        <v>#N/A</v>
      </c>
      <c r="T22" s="6">
        <f t="shared" si="17"/>
        <v>0</v>
      </c>
      <c r="U22" s="6">
        <f t="shared" si="18"/>
        <v>0</v>
      </c>
      <c r="V22" s="3" t="e">
        <f>IF($P22=0,"-",(VLOOKUP(L22,APP!$B$13:$G$57,4)*$G22)/($K22+$N22))</f>
        <v>#N/A</v>
      </c>
      <c r="W22" s="9"/>
      <c r="X22" s="9"/>
    </row>
    <row r="23" spans="1:24" ht="15" thickBot="1">
      <c r="A23" s="3" t="s">
        <v>34</v>
      </c>
      <c r="B23" s="3" t="s">
        <v>28</v>
      </c>
      <c r="C23" s="3" t="s">
        <v>35</v>
      </c>
      <c r="D23" s="3">
        <v>77</v>
      </c>
      <c r="E23" s="3">
        <v>77</v>
      </c>
      <c r="F23" s="19">
        <v>0</v>
      </c>
      <c r="G23" s="4">
        <f t="shared" si="11"/>
        <v>0</v>
      </c>
      <c r="H23" s="6">
        <v>250</v>
      </c>
      <c r="I23" s="6">
        <f t="shared" si="1"/>
        <v>0</v>
      </c>
      <c r="J23" s="6">
        <f t="shared" si="12"/>
        <v>19250</v>
      </c>
      <c r="K23" s="6">
        <f t="shared" si="13"/>
        <v>19250</v>
      </c>
      <c r="L23" s="21">
        <v>0</v>
      </c>
      <c r="M23" s="4">
        <f t="shared" si="2"/>
        <v>0</v>
      </c>
      <c r="N23" s="8">
        <f t="shared" si="0"/>
        <v>0</v>
      </c>
      <c r="O23" s="6">
        <v>250</v>
      </c>
      <c r="P23" s="6">
        <f t="shared" si="14"/>
        <v>19250</v>
      </c>
      <c r="Q23" s="6">
        <f t="shared" si="15"/>
        <v>0</v>
      </c>
      <c r="R23" s="6">
        <f t="shared" si="16"/>
        <v>0</v>
      </c>
      <c r="S23" s="3" t="e">
        <f>IF($P23=0,"-",(VLOOKUP(L23,APP!B16:H60,6)*$G23)/($P23+$N23))</f>
        <v>#N/A</v>
      </c>
      <c r="T23" s="6">
        <f t="shared" si="17"/>
        <v>0</v>
      </c>
      <c r="U23" s="6">
        <f t="shared" si="18"/>
        <v>0</v>
      </c>
      <c r="V23" s="3" t="e">
        <f>IF($P23=0,"-",(VLOOKUP(L23,APP!$B$13:$G$57,4)*$G23)/($K23+$N23))</f>
        <v>#N/A</v>
      </c>
      <c r="W23" s="9"/>
      <c r="X23" s="9"/>
    </row>
    <row r="24" spans="1:24" ht="15" thickBot="1">
      <c r="A24" s="3" t="s">
        <v>34</v>
      </c>
      <c r="B24" s="3" t="s">
        <v>29</v>
      </c>
      <c r="C24" s="3" t="s">
        <v>35</v>
      </c>
      <c r="D24" s="3">
        <v>77</v>
      </c>
      <c r="E24" s="3">
        <v>77</v>
      </c>
      <c r="F24" s="19">
        <v>0</v>
      </c>
      <c r="G24" s="4">
        <f t="shared" si="11"/>
        <v>0</v>
      </c>
      <c r="H24" s="6">
        <v>250</v>
      </c>
      <c r="I24" s="6">
        <f t="shared" si="1"/>
        <v>0</v>
      </c>
      <c r="J24" s="6">
        <f t="shared" si="12"/>
        <v>19250</v>
      </c>
      <c r="K24" s="6">
        <f t="shared" si="13"/>
        <v>19250</v>
      </c>
      <c r="L24" s="21">
        <v>0</v>
      </c>
      <c r="M24" s="4">
        <f t="shared" si="2"/>
        <v>0</v>
      </c>
      <c r="N24" s="8">
        <f t="shared" si="0"/>
        <v>0</v>
      </c>
      <c r="O24" s="6">
        <v>250</v>
      </c>
      <c r="P24" s="6">
        <f t="shared" si="14"/>
        <v>19250</v>
      </c>
      <c r="Q24" s="6">
        <f t="shared" si="15"/>
        <v>0</v>
      </c>
      <c r="R24" s="6">
        <f t="shared" si="16"/>
        <v>0</v>
      </c>
      <c r="S24" s="3" t="e">
        <f>IF($P24=0,"-",(VLOOKUP(L24,APP!B16:H60,6)*$G24)/($P24+$N24))</f>
        <v>#N/A</v>
      </c>
      <c r="T24" s="6">
        <f t="shared" si="17"/>
        <v>0</v>
      </c>
      <c r="U24" s="6">
        <f t="shared" si="18"/>
        <v>0</v>
      </c>
      <c r="V24" s="3" t="e">
        <f>IF($P24=0,"-",(VLOOKUP(L24,APP!$B$13:$G$57,4)*$G24)/($K24+$N24))</f>
        <v>#N/A</v>
      </c>
      <c r="W24" s="9"/>
      <c r="X24" s="9"/>
    </row>
    <row r="25" spans="1:24" ht="15" thickBot="1">
      <c r="A25" s="3" t="s">
        <v>36</v>
      </c>
      <c r="B25" s="3" t="s">
        <v>26</v>
      </c>
      <c r="C25" s="3" t="s">
        <v>35</v>
      </c>
      <c r="D25" s="3">
        <v>5</v>
      </c>
      <c r="E25" s="3">
        <v>5</v>
      </c>
      <c r="F25" s="19">
        <v>0</v>
      </c>
      <c r="G25" s="4">
        <f t="shared" si="11"/>
        <v>0</v>
      </c>
      <c r="H25" s="6">
        <v>500</v>
      </c>
      <c r="I25" s="6">
        <f t="shared" si="1"/>
        <v>0</v>
      </c>
      <c r="J25" s="6">
        <f t="shared" si="12"/>
        <v>2500</v>
      </c>
      <c r="K25" s="6">
        <f t="shared" si="13"/>
        <v>2500</v>
      </c>
      <c r="L25" s="21">
        <v>0</v>
      </c>
      <c r="M25" s="4">
        <f t="shared" si="2"/>
        <v>0</v>
      </c>
      <c r="N25" s="8">
        <f t="shared" si="0"/>
        <v>0</v>
      </c>
      <c r="O25" s="6">
        <v>500</v>
      </c>
      <c r="P25" s="6">
        <f t="shared" si="14"/>
        <v>2500</v>
      </c>
      <c r="Q25" s="6">
        <f t="shared" si="15"/>
        <v>0</v>
      </c>
      <c r="R25" s="6">
        <f t="shared" si="16"/>
        <v>0</v>
      </c>
      <c r="S25" s="3" t="e">
        <f>IF($P25=0,"-",(VLOOKUP(L25,APP!B16:H60,6)*$G25)/($P25+$N25))</f>
        <v>#N/A</v>
      </c>
      <c r="T25" s="6">
        <f t="shared" si="17"/>
        <v>0</v>
      </c>
      <c r="U25" s="6">
        <f t="shared" si="18"/>
        <v>0</v>
      </c>
      <c r="V25" s="3" t="e">
        <f>IF($P25=0,"-",(VLOOKUP(L25,APP!$B$13:$G$57,4)*$G25)/($K25+$N25))</f>
        <v>#N/A</v>
      </c>
      <c r="W25" s="9"/>
      <c r="X25" s="9"/>
    </row>
    <row r="26" spans="1:24" ht="15" thickBot="1">
      <c r="A26" s="3" t="s">
        <v>36</v>
      </c>
      <c r="B26" s="3" t="s">
        <v>26</v>
      </c>
      <c r="C26" s="3" t="s">
        <v>35</v>
      </c>
      <c r="D26" s="3">
        <v>7</v>
      </c>
      <c r="E26" s="3">
        <v>7</v>
      </c>
      <c r="F26" s="19">
        <v>0</v>
      </c>
      <c r="G26" s="4">
        <f t="shared" si="11"/>
        <v>0</v>
      </c>
      <c r="H26" s="6">
        <v>1000</v>
      </c>
      <c r="I26" s="6">
        <f t="shared" si="1"/>
        <v>0</v>
      </c>
      <c r="J26" s="6">
        <f t="shared" si="12"/>
        <v>7000</v>
      </c>
      <c r="K26" s="6">
        <f t="shared" si="13"/>
        <v>7000</v>
      </c>
      <c r="L26" s="21">
        <v>0</v>
      </c>
      <c r="M26" s="4">
        <f t="shared" si="2"/>
        <v>0</v>
      </c>
      <c r="N26" s="8">
        <f t="shared" si="0"/>
        <v>0</v>
      </c>
      <c r="O26" s="6">
        <v>1000</v>
      </c>
      <c r="P26" s="6">
        <f t="shared" si="14"/>
        <v>7000</v>
      </c>
      <c r="Q26" s="6">
        <f t="shared" si="15"/>
        <v>0</v>
      </c>
      <c r="R26" s="6">
        <f t="shared" si="16"/>
        <v>0</v>
      </c>
      <c r="S26" s="3" t="e">
        <f>IF($P26=0,"-",(VLOOKUP(L26,APP!B16:H60,6)*$G26)/($P26+$N26))</f>
        <v>#N/A</v>
      </c>
      <c r="T26" s="6">
        <f t="shared" si="17"/>
        <v>0</v>
      </c>
      <c r="U26" s="6">
        <f t="shared" si="18"/>
        <v>0</v>
      </c>
      <c r="V26" s="3" t="e">
        <f>IF($P26=0,"-",(VLOOKUP(L26,APP!$B$13:$G$57,4)*$G26)/($K26+$N26))</f>
        <v>#N/A</v>
      </c>
      <c r="W26" s="9"/>
      <c r="X26" s="9"/>
    </row>
    <row r="27" spans="1:24" ht="15" thickBot="1">
      <c r="A27" s="3" t="s">
        <v>36</v>
      </c>
      <c r="B27" s="3" t="s">
        <v>29</v>
      </c>
      <c r="C27" s="3" t="s">
        <v>35</v>
      </c>
      <c r="D27" s="3">
        <v>6</v>
      </c>
      <c r="E27" s="3">
        <v>6</v>
      </c>
      <c r="F27" s="19">
        <v>0</v>
      </c>
      <c r="G27" s="4">
        <f t="shared" si="11"/>
        <v>0</v>
      </c>
      <c r="H27" s="6">
        <v>1000</v>
      </c>
      <c r="I27" s="6">
        <f t="shared" si="1"/>
        <v>0</v>
      </c>
      <c r="J27" s="6">
        <f t="shared" si="12"/>
        <v>6000</v>
      </c>
      <c r="K27" s="6">
        <f t="shared" si="13"/>
        <v>6000</v>
      </c>
      <c r="L27" s="21">
        <v>0</v>
      </c>
      <c r="M27" s="4">
        <f t="shared" si="2"/>
        <v>0</v>
      </c>
      <c r="N27" s="8">
        <f t="shared" si="0"/>
        <v>0</v>
      </c>
      <c r="O27" s="6">
        <v>1000</v>
      </c>
      <c r="P27" s="6">
        <f t="shared" si="14"/>
        <v>6000</v>
      </c>
      <c r="Q27" s="6">
        <f t="shared" si="15"/>
        <v>0</v>
      </c>
      <c r="R27" s="6">
        <f t="shared" si="16"/>
        <v>0</v>
      </c>
      <c r="S27" s="3" t="e">
        <f>IF($P27=0,"-",(VLOOKUP(L27,APP!B16:H60,6)*$G27)/($P27+$N27))</f>
        <v>#N/A</v>
      </c>
      <c r="T27" s="6">
        <f t="shared" si="17"/>
        <v>0</v>
      </c>
      <c r="U27" s="6">
        <f t="shared" si="18"/>
        <v>0</v>
      </c>
      <c r="V27" s="3" t="e">
        <f>IF($P27=0,"-",(VLOOKUP(L27,APP!$B$13:$G$57,4)*$G27)/($K27+$N27))</f>
        <v>#N/A</v>
      </c>
      <c r="W27" s="9"/>
      <c r="X27" s="9"/>
    </row>
    <row r="28" spans="1:24" ht="23">
      <c r="A28" s="3" t="s">
        <v>37</v>
      </c>
      <c r="B28" s="3" t="s">
        <v>26</v>
      </c>
      <c r="C28" s="17" t="s">
        <v>38</v>
      </c>
      <c r="D28" s="3">
        <v>314</v>
      </c>
      <c r="E28" s="4">
        <v>390418.7</v>
      </c>
      <c r="F28" s="19">
        <v>0.156</v>
      </c>
      <c r="G28" s="4">
        <v>60921.752</v>
      </c>
      <c r="H28" s="6">
        <v>0.67</v>
      </c>
      <c r="I28" s="6">
        <f t="shared" si="1"/>
        <v>0.13055777439824076</v>
      </c>
      <c r="J28" s="6">
        <f t="shared" si="12"/>
        <v>261580.52900000001</v>
      </c>
      <c r="K28" s="6">
        <f t="shared" si="13"/>
        <v>261539.53385883896</v>
      </c>
      <c r="L28" s="21">
        <v>45</v>
      </c>
      <c r="M28" s="4">
        <f t="shared" si="2"/>
        <v>1073388.4417761907</v>
      </c>
      <c r="N28" s="8">
        <f t="shared" si="0"/>
        <v>105103.76810001621</v>
      </c>
      <c r="O28" s="6">
        <v>2</v>
      </c>
      <c r="P28" s="6">
        <f t="shared" si="14"/>
        <v>780837.4</v>
      </c>
      <c r="Q28" s="6">
        <f t="shared" si="15"/>
        <v>0.72745091116120886</v>
      </c>
      <c r="R28" s="6">
        <f t="shared" si="16"/>
        <v>0.82536864905495355</v>
      </c>
      <c r="S28" s="3">
        <f>IF($P28=0,"-",(VLOOKUP(L28,APP!B16:H60,6)*$G28)/($P28+$N28))</f>
        <v>6.6255085738800901</v>
      </c>
      <c r="T28" s="6">
        <f t="shared" si="17"/>
        <v>0.24365786296902558</v>
      </c>
      <c r="U28" s="6">
        <f t="shared" si="18"/>
        <v>0.34157560086277045</v>
      </c>
      <c r="V28" s="3">
        <f>IF($P28=0,"-",(VLOOKUP(L28,APP!$B$13:$G$57,4)*$G28)/($K28+$N28))</f>
        <v>14.554026295232369</v>
      </c>
      <c r="W28" s="9"/>
      <c r="X28" s="9"/>
    </row>
    <row r="29" spans="1:24" ht="23">
      <c r="A29" s="3" t="s">
        <v>37</v>
      </c>
      <c r="B29" s="3" t="s">
        <v>28</v>
      </c>
      <c r="C29" s="17" t="s">
        <v>38</v>
      </c>
      <c r="D29" s="3">
        <v>128</v>
      </c>
      <c r="E29" s="4">
        <v>188147</v>
      </c>
      <c r="F29" s="19">
        <v>0.17899999999999999</v>
      </c>
      <c r="G29" s="4">
        <v>33866.46</v>
      </c>
      <c r="H29" s="6">
        <v>0.67</v>
      </c>
      <c r="I29" s="6">
        <f t="shared" si="1"/>
        <v>0.14980667703387882</v>
      </c>
      <c r="J29" s="6">
        <f t="shared" si="12"/>
        <v>126058.49</v>
      </c>
      <c r="K29" s="6">
        <f t="shared" si="13"/>
        <v>126039.31474533967</v>
      </c>
      <c r="L29" s="21">
        <v>45</v>
      </c>
      <c r="M29" s="4">
        <f t="shared" si="2"/>
        <v>596697.65780661872</v>
      </c>
      <c r="N29" s="8">
        <f t="shared" si="0"/>
        <v>58427.284858919928</v>
      </c>
      <c r="O29" s="6">
        <v>2</v>
      </c>
      <c r="P29" s="6">
        <f t="shared" si="14"/>
        <v>376294</v>
      </c>
      <c r="Q29" s="6">
        <f t="shared" si="15"/>
        <v>0.63062758011017961</v>
      </c>
      <c r="R29" s="6">
        <f t="shared" si="16"/>
        <v>0.72854531800392441</v>
      </c>
      <c r="S29" s="3">
        <f>IF($P29=0,"-",(VLOOKUP(L29,APP!B16:H60,6)*$G29)/($P29+$N29))</f>
        <v>7.5060355557675349</v>
      </c>
      <c r="T29" s="6">
        <f t="shared" si="17"/>
        <v>0.21122810370773606</v>
      </c>
      <c r="U29" s="6">
        <f t="shared" si="18"/>
        <v>0.3091458416014809</v>
      </c>
      <c r="V29" s="3">
        <f>IF($P29=0,"-",(VLOOKUP(L29,APP!$B$13:$G$57,4)*$G29)/($K29+$N29))</f>
        <v>16.080760624220357</v>
      </c>
      <c r="W29" s="9"/>
      <c r="X29" s="9"/>
    </row>
    <row r="30" spans="1:24" ht="23">
      <c r="A30" s="3" t="s">
        <v>37</v>
      </c>
      <c r="B30" s="3" t="s">
        <v>29</v>
      </c>
      <c r="C30" s="17" t="s">
        <v>38</v>
      </c>
      <c r="D30" s="3">
        <v>1137</v>
      </c>
      <c r="E30" s="4">
        <v>1829037</v>
      </c>
      <c r="F30" s="19">
        <v>0.11899999999999999</v>
      </c>
      <c r="G30" s="4">
        <v>217881.72</v>
      </c>
      <c r="H30" s="6">
        <v>0.67</v>
      </c>
      <c r="I30" s="6">
        <f t="shared" si="1"/>
        <v>9.9592148419170828E-2</v>
      </c>
      <c r="J30" s="6">
        <f t="shared" si="12"/>
        <v>1225454.79</v>
      </c>
      <c r="K30" s="6">
        <f t="shared" si="13"/>
        <v>1225341.5537272475</v>
      </c>
      <c r="L30" s="21">
        <v>45</v>
      </c>
      <c r="M30" s="4">
        <f t="shared" si="2"/>
        <v>3838886.9696708047</v>
      </c>
      <c r="N30" s="8">
        <f t="shared" si="0"/>
        <v>375895.12809993816</v>
      </c>
      <c r="O30" s="6">
        <v>2</v>
      </c>
      <c r="P30" s="6">
        <f t="shared" si="14"/>
        <v>3658074</v>
      </c>
      <c r="Q30" s="6">
        <f t="shared" si="15"/>
        <v>0.95289963703038905</v>
      </c>
      <c r="R30" s="6">
        <f t="shared" si="16"/>
        <v>1.0508173749241339</v>
      </c>
      <c r="S30" s="3">
        <f>IF($P30=0,"-",(VLOOKUP(L30,APP!B16:H60,6)*$G30)/($P30+$N30))</f>
        <v>5.2040318245786832</v>
      </c>
      <c r="T30" s="6">
        <f t="shared" si="17"/>
        <v>0.31919188124268322</v>
      </c>
      <c r="U30" s="6">
        <f t="shared" si="18"/>
        <v>0.41710961913642802</v>
      </c>
      <c r="V30" s="3">
        <f>IF($P30=0,"-",(VLOOKUP(L30,APP!$B$13:$G$57,4)*$G30)/($K30+$N30))</f>
        <v>11.918450327419915</v>
      </c>
      <c r="W30" s="9"/>
      <c r="X30" s="9"/>
    </row>
    <row r="31" spans="1:24" ht="15" thickBot="1">
      <c r="A31" s="3" t="s">
        <v>39</v>
      </c>
      <c r="B31" s="3" t="s">
        <v>26</v>
      </c>
      <c r="C31" s="3" t="s">
        <v>40</v>
      </c>
      <c r="D31" s="3">
        <v>242</v>
      </c>
      <c r="E31" s="4">
        <v>313786</v>
      </c>
      <c r="F31" s="19">
        <f>G31/E31</f>
        <v>5.6718719127048373E-2</v>
      </c>
      <c r="G31" s="4">
        <v>17797.54</v>
      </c>
      <c r="H31" s="6">
        <v>0.67</v>
      </c>
      <c r="I31" s="6">
        <f t="shared" si="1"/>
        <v>4.7468395743245927E-2</v>
      </c>
      <c r="J31" s="6">
        <f t="shared" si="12"/>
        <v>210236.62000000002</v>
      </c>
      <c r="K31" s="6">
        <f t="shared" si="13"/>
        <v>210225.13264823015</v>
      </c>
      <c r="L31" s="21">
        <v>45</v>
      </c>
      <c r="M31" s="4">
        <f t="shared" si="2"/>
        <v>313577.22161452979</v>
      </c>
      <c r="N31" s="8">
        <f t="shared" si="0"/>
        <v>30704.772195500263</v>
      </c>
      <c r="O31" s="6">
        <v>1.25</v>
      </c>
      <c r="P31" s="6">
        <f t="shared" si="14"/>
        <v>392232.5</v>
      </c>
      <c r="Q31" s="6">
        <f t="shared" si="15"/>
        <v>1.2508322447035345</v>
      </c>
      <c r="R31" s="6">
        <f t="shared" si="16"/>
        <v>1.3487499825972793</v>
      </c>
      <c r="S31" s="3">
        <f>IF($P31=0,"-",(VLOOKUP(L31,APP!B16:H60,6)*$G31)/($P31+$N31))</f>
        <v>4.0544853616196468</v>
      </c>
      <c r="T31" s="6">
        <f t="shared" si="17"/>
        <v>0.67040944991423201</v>
      </c>
      <c r="U31" s="6">
        <f t="shared" si="18"/>
        <v>0.76832718780797693</v>
      </c>
      <c r="V31" s="3">
        <f>IF($P31=0,"-",(VLOOKUP(L31,APP!$B$13:$G$57,4)*$G31)/($K31+$N31))</f>
        <v>6.4702907246450359</v>
      </c>
      <c r="W31" s="9"/>
      <c r="X31" s="9"/>
    </row>
    <row r="32" spans="1:24" ht="15" thickBot="1">
      <c r="A32" s="3" t="s">
        <v>39</v>
      </c>
      <c r="B32" s="3" t="s">
        <v>28</v>
      </c>
      <c r="C32" s="3" t="s">
        <v>40</v>
      </c>
      <c r="D32" s="3">
        <v>16</v>
      </c>
      <c r="E32" s="4">
        <v>21475</v>
      </c>
      <c r="F32" s="19">
        <f>G32/E32</f>
        <v>5.9083585564610006E-2</v>
      </c>
      <c r="G32" s="4">
        <v>1268.82</v>
      </c>
      <c r="H32" s="6">
        <v>0.67</v>
      </c>
      <c r="I32" s="6">
        <f t="shared" si="1"/>
        <v>4.9447573299894278E-2</v>
      </c>
      <c r="J32" s="6">
        <f t="shared" si="12"/>
        <v>14388.25</v>
      </c>
      <c r="K32" s="6">
        <f t="shared" si="13"/>
        <v>14387.458838827202</v>
      </c>
      <c r="L32" s="21">
        <v>45</v>
      </c>
      <c r="M32" s="4">
        <f t="shared" si="2"/>
        <v>22355.508139267993</v>
      </c>
      <c r="N32" s="8">
        <f t="shared" si="0"/>
        <v>2189.0007864623221</v>
      </c>
      <c r="O32" s="6">
        <v>1.25</v>
      </c>
      <c r="P32" s="6">
        <f t="shared" si="14"/>
        <v>26843.75</v>
      </c>
      <c r="Q32" s="6">
        <f t="shared" si="15"/>
        <v>1.2007667118444201</v>
      </c>
      <c r="R32" s="6">
        <f t="shared" si="16"/>
        <v>1.2986844497381649</v>
      </c>
      <c r="S32" s="3">
        <f>IF($P32=0,"-",(VLOOKUP(L32,APP!B16:H60,6)*$G32)/($P32+$N32))</f>
        <v>4.2107896664412623</v>
      </c>
      <c r="T32" s="6">
        <f t="shared" si="17"/>
        <v>0.64357556756025069</v>
      </c>
      <c r="U32" s="6">
        <f t="shared" si="18"/>
        <v>0.7414933054539955</v>
      </c>
      <c r="V32" s="3">
        <f>IF($P32=0,"-",(VLOOKUP(L32,APP!$B$13:$G$57,4)*$G32)/($K32+$N32))</f>
        <v>6.7044439109571865</v>
      </c>
      <c r="W32" s="9"/>
      <c r="X32" s="9"/>
    </row>
    <row r="33" spans="1:24" ht="15" thickBot="1">
      <c r="A33" s="3" t="s">
        <v>39</v>
      </c>
      <c r="B33" s="3" t="s">
        <v>29</v>
      </c>
      <c r="C33" s="3" t="s">
        <v>40</v>
      </c>
      <c r="D33" s="4">
        <v>331</v>
      </c>
      <c r="E33" s="4">
        <v>524527</v>
      </c>
      <c r="F33" s="19">
        <f>G33/E33</f>
        <v>5.8805857467775724E-2</v>
      </c>
      <c r="G33" s="4">
        <v>30845.26</v>
      </c>
      <c r="H33" s="6">
        <v>0.67</v>
      </c>
      <c r="I33" s="6">
        <f t="shared" si="1"/>
        <v>4.9215140208801057E-2</v>
      </c>
      <c r="J33" s="6">
        <f t="shared" si="12"/>
        <v>351433.09</v>
      </c>
      <c r="K33" s="6">
        <f t="shared" si="13"/>
        <v>351416.79978859093</v>
      </c>
      <c r="L33" s="21">
        <v>45</v>
      </c>
      <c r="M33" s="4">
        <f t="shared" si="2"/>
        <v>543466.73364845873</v>
      </c>
      <c r="N33" s="8">
        <f t="shared" si="0"/>
        <v>53215.033179359409</v>
      </c>
      <c r="O33" s="6">
        <v>1.25</v>
      </c>
      <c r="P33" s="6">
        <f t="shared" si="14"/>
        <v>655658.75</v>
      </c>
      <c r="Q33" s="6">
        <f t="shared" si="15"/>
        <v>1.2064376886481383</v>
      </c>
      <c r="R33" s="6">
        <f t="shared" si="16"/>
        <v>1.3043554265418831</v>
      </c>
      <c r="S33" s="3">
        <f>IF($P33=0,"-",(VLOOKUP(L33,APP!B16:H60,6)*$G33)/($P33+$N33))</f>
        <v>4.1924823170502812</v>
      </c>
      <c r="T33" s="6">
        <f t="shared" si="17"/>
        <v>0.64662062649064511</v>
      </c>
      <c r="U33" s="6">
        <f t="shared" si="18"/>
        <v>0.74453836438438992</v>
      </c>
      <c r="V33" s="3">
        <f>IF($P33=0,"-",(VLOOKUP(L33,APP!$B$13:$G$57,4)*$G33)/($K33+$N33))</f>
        <v>6.6770236626785531</v>
      </c>
      <c r="W33" s="9"/>
      <c r="X33" s="9"/>
    </row>
    <row r="34" spans="1:24" ht="37.5">
      <c r="A34" s="3" t="s">
        <v>41</v>
      </c>
      <c r="B34" s="3" t="s">
        <v>26</v>
      </c>
      <c r="C34" s="3" t="s">
        <v>31</v>
      </c>
      <c r="D34" s="3">
        <v>5</v>
      </c>
      <c r="E34" s="3">
        <v>5</v>
      </c>
      <c r="F34" s="19">
        <v>108.78</v>
      </c>
      <c r="G34" s="4">
        <f>IF(ISNUMBER(E34),E34*F34,"")</f>
        <v>543.9</v>
      </c>
      <c r="H34" s="6">
        <v>1747</v>
      </c>
      <c r="I34" s="6">
        <f t="shared" si="1"/>
        <v>72.388191516087105</v>
      </c>
      <c r="J34" s="6">
        <f t="shared" ref="J34" si="75">IF(ISNUMBER(H34),H34*E34,"")</f>
        <v>8735</v>
      </c>
      <c r="K34" s="6">
        <f t="shared" ref="K34" si="76">J34-D34*(I34)</f>
        <v>8373.0590424195652</v>
      </c>
      <c r="L34" s="21">
        <v>25</v>
      </c>
      <c r="M34" s="4">
        <f t="shared" si="2"/>
        <v>7619.8096332723262</v>
      </c>
      <c r="N34" s="8">
        <f t="shared" si="0"/>
        <v>938.35022127398463</v>
      </c>
      <c r="O34" s="6">
        <v>900</v>
      </c>
      <c r="P34" s="6">
        <f t="shared" ref="P34" si="77">IF(ISNUMBER(O34),O34*E34,"")</f>
        <v>4500</v>
      </c>
      <c r="Q34" s="6">
        <f t="shared" ref="Q34" si="78">IF(ISERROR(P34/M34),0,P34/M34)</f>
        <v>0.59056593492185128</v>
      </c>
      <c r="R34" s="6">
        <f t="shared" ref="R34" si="79">IF(ISERROR((N34+P34)/M34),0,(N34+P34)/M34)</f>
        <v>0.7137120850798061</v>
      </c>
      <c r="S34" s="3">
        <f>IF($P34=0,"-",(VLOOKUP(L34,APP!B15:H59,6)*$G34)/($P34+$N34))</f>
        <v>4.7355657418412749</v>
      </c>
      <c r="T34" s="6">
        <f t="shared" ref="T34" si="80">IF(ISERROR(RK34/M34),0,K34/M34)</f>
        <v>1.098854098120527</v>
      </c>
      <c r="U34" s="6">
        <f t="shared" ref="U34" si="81">IF(ISERROR(K34/M34),0,(K34+N34)/M34)</f>
        <v>1.2220002482784817</v>
      </c>
      <c r="V34" s="3">
        <f>IF($P34=0,"-",(VLOOKUP(L34,APP!$B$13:$G$57,4)*$G34)/($K34+$N34))</f>
        <v>2.5140615493378267</v>
      </c>
      <c r="W34" s="9"/>
      <c r="X34" s="9"/>
    </row>
    <row r="35" spans="1:24" ht="37.5">
      <c r="A35" s="3" t="s">
        <v>41</v>
      </c>
      <c r="B35" s="3" t="s">
        <v>26</v>
      </c>
      <c r="C35" s="3" t="s">
        <v>31</v>
      </c>
      <c r="D35" s="3">
        <v>7</v>
      </c>
      <c r="E35" s="3">
        <v>7</v>
      </c>
      <c r="F35" s="19">
        <v>144.02000000000001</v>
      </c>
      <c r="G35" s="4">
        <f>IF(ISNUMBER(E35),E35*F35,"")</f>
        <v>1008.1400000000001</v>
      </c>
      <c r="H35" s="6">
        <v>1747</v>
      </c>
      <c r="I35" s="6">
        <f t="shared" si="1"/>
        <v>95.838824619846164</v>
      </c>
      <c r="J35" s="6">
        <f t="shared" si="12"/>
        <v>12229</v>
      </c>
      <c r="K35" s="6">
        <f t="shared" si="13"/>
        <v>11558.128227661076</v>
      </c>
      <c r="L35" s="21">
        <v>25</v>
      </c>
      <c r="M35" s="4">
        <f t="shared" si="2"/>
        <v>14123.616259766803</v>
      </c>
      <c r="N35" s="8">
        <f t="shared" si="0"/>
        <v>1739.2689686985752</v>
      </c>
      <c r="O35" s="6">
        <v>1500</v>
      </c>
      <c r="P35" s="6">
        <f t="shared" si="14"/>
        <v>10500</v>
      </c>
      <c r="Q35" s="6">
        <f t="shared" si="15"/>
        <v>0.74343566172289699</v>
      </c>
      <c r="R35" s="6">
        <f t="shared" si="16"/>
        <v>0.86658181188085182</v>
      </c>
      <c r="S35" s="3">
        <f>IF($P35=0,"-",(VLOOKUP(L35,APP!B16:H60,6)*$G35)/($P35+$N35))</f>
        <v>3.9001862874393387</v>
      </c>
      <c r="T35" s="6">
        <f t="shared" si="17"/>
        <v>0.81835473401993397</v>
      </c>
      <c r="U35" s="6">
        <f t="shared" si="18"/>
        <v>0.94150088417788891</v>
      </c>
      <c r="V35" s="3">
        <f>IF($P35=0,"-",(VLOOKUP(L35,APP!$B$13:$G$57,4)*$G35)/($K35+$N35))</f>
        <v>3.2630705813524705</v>
      </c>
      <c r="W35" s="9"/>
      <c r="X35" s="9"/>
    </row>
    <row r="36" spans="1:24" ht="37.5">
      <c r="A36" s="3" t="s">
        <v>41</v>
      </c>
      <c r="B36" s="3" t="s">
        <v>28</v>
      </c>
      <c r="C36" s="3" t="s">
        <v>31</v>
      </c>
      <c r="D36" s="3">
        <v>1</v>
      </c>
      <c r="E36" s="3">
        <v>1</v>
      </c>
      <c r="F36" s="19">
        <v>68.959999999999994</v>
      </c>
      <c r="G36" s="4">
        <f t="shared" ref="G36" si="82">IF(ISNUMBER(E36),E36*F36,"")</f>
        <v>68.959999999999994</v>
      </c>
      <c r="H36" s="6">
        <v>1747</v>
      </c>
      <c r="I36" s="6">
        <f t="shared" si="1"/>
        <v>45.889774654802046</v>
      </c>
      <c r="J36" s="6">
        <f t="shared" ref="J36" si="83">IF(ISNUMBER(H36),H36*E36,"")</f>
        <v>1747</v>
      </c>
      <c r="K36" s="6">
        <f t="shared" ref="K36" si="84">J36-D36*(I36)</f>
        <v>1701.1102253451979</v>
      </c>
      <c r="L36" s="21">
        <v>25</v>
      </c>
      <c r="M36" s="4">
        <f t="shared" si="2"/>
        <v>966.10051904846409</v>
      </c>
      <c r="N36" s="8">
        <f t="shared" si="0"/>
        <v>118.97155958642024</v>
      </c>
      <c r="O36" s="6">
        <v>1500</v>
      </c>
      <c r="P36" s="6">
        <f t="shared" ref="P36" si="85">IF(ISNUMBER(O36),O36*E36,"")</f>
        <v>1500</v>
      </c>
      <c r="Q36" s="6">
        <f t="shared" ref="Q36" si="86">IF(ISERROR(P36/M36),0,P36/M36)</f>
        <v>1.5526334686968044</v>
      </c>
      <c r="R36" s="6">
        <f t="shared" ref="R36" si="87">IF(ISERROR((N36+P36)/M36),0,(N36+P36)/M36)</f>
        <v>1.6757796188547591</v>
      </c>
      <c r="S36" s="3">
        <f>IF($P36=0,"-",(VLOOKUP(L36,APP!B15:H59,6)*$G36)/($P36+$N36))</f>
        <v>2.01687051305221</v>
      </c>
      <c r="T36" s="6">
        <f t="shared" ref="T36" si="88">IF(ISERROR(RK36/M36),0,K36/M36)</f>
        <v>1.7608004465422116</v>
      </c>
      <c r="U36" s="6">
        <f t="shared" ref="U36" si="89">IF(ISERROR(K36/M36),0,(K36+N36)/M36)</f>
        <v>1.8839465967001663</v>
      </c>
      <c r="V36" s="3">
        <f>IF($P36=0,"-",(VLOOKUP(L36,APP!$B$13:$G$57,4)*$G36)/($K36+$N36))</f>
        <v>1.6307170505041404</v>
      </c>
      <c r="W36" s="9"/>
      <c r="X36" s="9"/>
    </row>
    <row r="37" spans="1:24" ht="37.5">
      <c r="A37" s="3" t="s">
        <v>41</v>
      </c>
      <c r="B37" s="3" t="s">
        <v>29</v>
      </c>
      <c r="C37" s="3" t="s">
        <v>31</v>
      </c>
      <c r="D37" s="3">
        <v>1</v>
      </c>
      <c r="E37" s="3">
        <v>1</v>
      </c>
      <c r="F37" s="19">
        <v>67</v>
      </c>
      <c r="G37" s="4">
        <f t="shared" ref="G37:G42" si="90">IF(ISNUMBER(E37),E37*F37,"")</f>
        <v>67</v>
      </c>
      <c r="H37" s="6">
        <v>1747</v>
      </c>
      <c r="I37" s="6">
        <f t="shared" si="1"/>
        <v>44.585482915773447</v>
      </c>
      <c r="J37" s="6">
        <f t="shared" si="12"/>
        <v>1747</v>
      </c>
      <c r="K37" s="6">
        <f t="shared" si="13"/>
        <v>1702.4145170842266</v>
      </c>
      <c r="L37" s="21">
        <v>25</v>
      </c>
      <c r="M37" s="4">
        <f t="shared" si="2"/>
        <v>938.64174559523053</v>
      </c>
      <c r="N37" s="8">
        <f t="shared" ref="N37:N68" si="91">(G37/VLOOKUP("TOTAL PROGRAM",$A$4:$G$213,7,FALSE))*$B$105</f>
        <v>115.5901173475951</v>
      </c>
      <c r="O37" s="6">
        <v>900</v>
      </c>
      <c r="P37" s="6">
        <f t="shared" si="14"/>
        <v>900</v>
      </c>
      <c r="Q37" s="6">
        <f t="shared" si="15"/>
        <v>0.95883227463879073</v>
      </c>
      <c r="R37" s="6">
        <f t="shared" si="16"/>
        <v>1.0819784247967454</v>
      </c>
      <c r="S37" s="3">
        <f>IF($P37=0,"-",(VLOOKUP(L37,APP!B16:H60,6)*$G37)/($P37+$N37))</f>
        <v>3.1237503652412957</v>
      </c>
      <c r="T37" s="6">
        <f t="shared" si="17"/>
        <v>1.8136999819932971</v>
      </c>
      <c r="U37" s="6">
        <f t="shared" si="18"/>
        <v>1.936846132151252</v>
      </c>
      <c r="V37" s="3">
        <f>IF($P37=0,"-",(VLOOKUP(L37,APP!$B$13:$G$57,4)*$G37)/($K37+$N37))</f>
        <v>1.5861785747874244</v>
      </c>
      <c r="W37" s="9"/>
      <c r="X37" s="9"/>
    </row>
    <row r="38" spans="1:24" ht="37.5">
      <c r="A38" s="3" t="s">
        <v>42</v>
      </c>
      <c r="B38" s="3" t="s">
        <v>26</v>
      </c>
      <c r="C38" s="3" t="s">
        <v>43</v>
      </c>
      <c r="D38" s="3">
        <v>213</v>
      </c>
      <c r="E38" s="4">
        <v>25917</v>
      </c>
      <c r="F38" s="19">
        <f t="shared" ref="F38:F40" si="92">G38/E38</f>
        <v>0.17</v>
      </c>
      <c r="G38" s="4">
        <f>E38*0.17</f>
        <v>4405.8900000000003</v>
      </c>
      <c r="H38" s="6">
        <v>0.17</v>
      </c>
      <c r="I38" s="6">
        <f t="shared" si="1"/>
        <v>0.14227449774167261</v>
      </c>
      <c r="J38" s="6">
        <f t="shared" si="12"/>
        <v>4405.8900000000003</v>
      </c>
      <c r="K38" s="6">
        <f t="shared" si="13"/>
        <v>4375.5855319810244</v>
      </c>
      <c r="L38" s="21">
        <v>45</v>
      </c>
      <c r="M38" s="4">
        <f t="shared" si="2"/>
        <v>77627.961220440629</v>
      </c>
      <c r="N38" s="8">
        <f t="shared" si="91"/>
        <v>7601.1543600088917</v>
      </c>
      <c r="O38" s="6">
        <v>2</v>
      </c>
      <c r="P38" s="6">
        <f t="shared" si="14"/>
        <v>51834</v>
      </c>
      <c r="Q38" s="6">
        <f t="shared" si="15"/>
        <v>0.66772332011666069</v>
      </c>
      <c r="R38" s="6">
        <f t="shared" si="16"/>
        <v>0.7656410580104055</v>
      </c>
      <c r="S38" s="3">
        <f>IF($P38=0,"-",(VLOOKUP(L38,APP!B16:H60,6)*$G38)/($P38+$N38))</f>
        <v>7.1423639102320742</v>
      </c>
      <c r="T38" s="6">
        <f t="shared" si="17"/>
        <v>5.6366101378801457E-2</v>
      </c>
      <c r="U38" s="6">
        <f t="shared" si="18"/>
        <v>0.15428383927254627</v>
      </c>
      <c r="V38" s="3">
        <f>IF($P38=0,"-",(VLOOKUP(L38,APP!$B$13:$G$57,4)*$G38)/($K38+$N38))</f>
        <v>32.221782269655797</v>
      </c>
      <c r="W38" s="9"/>
      <c r="X38" s="9"/>
    </row>
    <row r="39" spans="1:24" ht="37.5">
      <c r="A39" s="3" t="s">
        <v>42</v>
      </c>
      <c r="B39" s="3" t="s">
        <v>28</v>
      </c>
      <c r="C39" s="3" t="s">
        <v>43</v>
      </c>
      <c r="D39" s="3">
        <v>75</v>
      </c>
      <c r="E39" s="4">
        <v>9611</v>
      </c>
      <c r="F39" s="19">
        <f t="shared" si="92"/>
        <v>0.17</v>
      </c>
      <c r="G39" s="4">
        <f>E39*0.17</f>
        <v>1633.8700000000001</v>
      </c>
      <c r="H39" s="6">
        <v>0.17</v>
      </c>
      <c r="I39" s="6">
        <f t="shared" si="1"/>
        <v>0.14227449774167261</v>
      </c>
      <c r="J39" s="6">
        <f t="shared" si="12"/>
        <v>1633.8700000000001</v>
      </c>
      <c r="K39" s="6">
        <f t="shared" si="13"/>
        <v>1623.1994126693746</v>
      </c>
      <c r="L39" s="21">
        <v>45</v>
      </c>
      <c r="M39" s="4">
        <f t="shared" si="2"/>
        <v>28787.372585162437</v>
      </c>
      <c r="N39" s="8">
        <f t="shared" si="91"/>
        <v>2818.7944034435104</v>
      </c>
      <c r="O39" s="6">
        <v>2</v>
      </c>
      <c r="P39" s="6">
        <f t="shared" si="14"/>
        <v>19222</v>
      </c>
      <c r="Q39" s="6">
        <f t="shared" si="15"/>
        <v>0.66772332011666069</v>
      </c>
      <c r="R39" s="6">
        <f t="shared" si="16"/>
        <v>0.7656410580104055</v>
      </c>
      <c r="S39" s="3">
        <f>IF($P39=0,"-",(VLOOKUP(L39,APP!B16:H60,6)*$G39)/($P39+$N39))</f>
        <v>7.1423639102320742</v>
      </c>
      <c r="T39" s="6">
        <f t="shared" si="17"/>
        <v>5.6385813184840726E-2</v>
      </c>
      <c r="U39" s="6">
        <f t="shared" si="18"/>
        <v>0.15430355107858554</v>
      </c>
      <c r="V39" s="3">
        <f>IF($P39=0,"-",(VLOOKUP(L39,APP!$B$13:$G$57,4)*$G39)/($K39+$N39))</f>
        <v>32.217666035661843</v>
      </c>
      <c r="W39" s="9"/>
      <c r="X39" s="9"/>
    </row>
    <row r="40" spans="1:24" ht="37.5">
      <c r="A40" s="3" t="s">
        <v>42</v>
      </c>
      <c r="B40" s="3" t="s">
        <v>29</v>
      </c>
      <c r="C40" s="3" t="s">
        <v>43</v>
      </c>
      <c r="D40" s="4">
        <v>27</v>
      </c>
      <c r="E40" s="20">
        <v>3909</v>
      </c>
      <c r="F40" s="19">
        <f t="shared" si="92"/>
        <v>0.16999999999999998</v>
      </c>
      <c r="G40" s="4">
        <v>664.53</v>
      </c>
      <c r="H40" s="6">
        <v>0.17</v>
      </c>
      <c r="I40" s="6">
        <f t="shared" si="1"/>
        <v>0.14227449774167258</v>
      </c>
      <c r="J40" s="6">
        <f t="shared" si="12"/>
        <v>664.53000000000009</v>
      </c>
      <c r="K40" s="6">
        <f t="shared" si="13"/>
        <v>660.68858856097495</v>
      </c>
      <c r="L40" s="21">
        <v>45</v>
      </c>
      <c r="M40" s="4">
        <f t="shared" si="2"/>
        <v>11708.442350993648</v>
      </c>
      <c r="N40" s="8">
        <f t="shared" si="91"/>
        <v>1146.4641892686172</v>
      </c>
      <c r="O40" s="6">
        <v>2</v>
      </c>
      <c r="P40" s="6">
        <f t="shared" si="14"/>
        <v>7818</v>
      </c>
      <c r="Q40" s="6">
        <f t="shared" si="15"/>
        <v>0.6677233201166608</v>
      </c>
      <c r="R40" s="6">
        <f t="shared" si="16"/>
        <v>0.76564105801040561</v>
      </c>
      <c r="S40" s="3">
        <f>IF($P40=0,"-",(VLOOKUP(L40,APP!B17:H61,6)*$G40)/($P40+$N40))</f>
        <v>7.1423639102320724</v>
      </c>
      <c r="T40" s="6">
        <f t="shared" si="17"/>
        <v>5.6428393184590003E-2</v>
      </c>
      <c r="U40" s="6">
        <f t="shared" si="18"/>
        <v>0.15434613107833481</v>
      </c>
      <c r="V40" s="3">
        <f>IF($P40=0,"-",(VLOOKUP(L40,APP!$B$13:$G$57,4)*$G40)/($K40+$N40))</f>
        <v>32.208778036966073</v>
      </c>
      <c r="W40" s="9"/>
      <c r="X40" s="9"/>
    </row>
    <row r="41" spans="1:24" ht="37.5">
      <c r="A41" s="3" t="s">
        <v>44</v>
      </c>
      <c r="B41" s="3" t="s">
        <v>26</v>
      </c>
      <c r="C41" s="3" t="s">
        <v>45</v>
      </c>
      <c r="D41" s="3">
        <v>38</v>
      </c>
      <c r="E41" s="3">
        <v>38</v>
      </c>
      <c r="F41" s="19">
        <v>68.64</v>
      </c>
      <c r="G41" s="4">
        <f t="shared" ref="G41" si="93">IF(ISNUMBER(E41),E41*F41,"")</f>
        <v>2608.3200000000002</v>
      </c>
      <c r="H41" s="6">
        <v>793.95</v>
      </c>
      <c r="I41" s="6">
        <f t="shared" si="1"/>
        <v>40.425872903508612</v>
      </c>
      <c r="J41" s="6">
        <f t="shared" ref="J41" si="94">IF(ISNUMBER(H41),H41*E41,"")</f>
        <v>30170.100000000002</v>
      </c>
      <c r="K41" s="6">
        <f t="shared" ref="K41" si="95">J41-D41*(I41)</f>
        <v>28633.916829666676</v>
      </c>
      <c r="L41" s="21">
        <v>20</v>
      </c>
      <c r="M41" s="4">
        <f t="shared" si="2"/>
        <v>32340.698322806886</v>
      </c>
      <c r="N41" s="8">
        <f t="shared" si="91"/>
        <v>4499.9405205981975</v>
      </c>
      <c r="O41" s="6">
        <v>150</v>
      </c>
      <c r="P41" s="6">
        <f t="shared" ref="P41" si="96">IF(ISNUMBER(O41),O41*E41,"")</f>
        <v>5700</v>
      </c>
      <c r="Q41" s="6">
        <f t="shared" ref="Q41" si="97">IF(ISERROR(P41/M41),0,P41/M41)</f>
        <v>0.17624851334704544</v>
      </c>
      <c r="R41" s="6">
        <f t="shared" ref="R41" si="98">IF(ISERROR((N41+P41)/M41),0,(N41+P41)/M41)</f>
        <v>0.3153902373655651</v>
      </c>
      <c r="S41" s="3">
        <f>IF($P41=0,"-",(VLOOKUP(L41,APP!B15:H59,6)*$G41)/($P41+$N41))</f>
        <v>10.047204941347029</v>
      </c>
      <c r="T41" s="6">
        <f t="shared" ref="T41" si="99">IF(ISERROR(RK41/M41),0,K41/M41)</f>
        <v>0.88538338114591164</v>
      </c>
      <c r="U41" s="6">
        <f t="shared" ref="U41" si="100">IF(ISERROR(K41/M41),0,(K41+N41)/M41)</f>
        <v>1.0245251051644313</v>
      </c>
      <c r="V41" s="3">
        <f>IF($P41=0,"-",(VLOOKUP(L41,APP!$B$13:$G$57,4)*$G41)/($K41+$N41))</f>
        <v>2.8119029250077703</v>
      </c>
      <c r="W41" s="9"/>
      <c r="X41" s="9"/>
    </row>
    <row r="42" spans="1:24" ht="37.5">
      <c r="A42" s="3" t="s">
        <v>44</v>
      </c>
      <c r="B42" s="3" t="s">
        <v>26</v>
      </c>
      <c r="C42" s="3" t="s">
        <v>45</v>
      </c>
      <c r="D42" s="3">
        <v>192</v>
      </c>
      <c r="E42" s="3">
        <v>192</v>
      </c>
      <c r="F42" s="19">
        <v>74.36</v>
      </c>
      <c r="G42" s="4">
        <f t="shared" si="90"/>
        <v>14277.119999999999</v>
      </c>
      <c r="H42" s="6">
        <v>793.95</v>
      </c>
      <c r="I42" s="6">
        <f t="shared" si="1"/>
        <v>53.927635350026236</v>
      </c>
      <c r="J42" s="6">
        <f t="shared" si="12"/>
        <v>152438.40000000002</v>
      </c>
      <c r="K42" s="6">
        <f t="shared" si="13"/>
        <v>142084.294012795</v>
      </c>
      <c r="L42" s="21">
        <v>30</v>
      </c>
      <c r="M42" s="4">
        <f t="shared" si="2"/>
        <v>217981.17867800078</v>
      </c>
      <c r="N42" s="8">
        <f t="shared" si="91"/>
        <v>24631.253375905922</v>
      </c>
      <c r="O42" s="6">
        <v>500</v>
      </c>
      <c r="P42" s="6">
        <f t="shared" si="14"/>
        <v>96000</v>
      </c>
      <c r="Q42" s="6">
        <f t="shared" si="15"/>
        <v>0.44040499543224354</v>
      </c>
      <c r="R42" s="6">
        <f t="shared" si="16"/>
        <v>0.5534021520000173</v>
      </c>
      <c r="S42" s="3">
        <f>IF($P42=0,"-",(VLOOKUP(L42,APP!B16:H60,6)*$G42)/($P42+$N42))</f>
        <v>6.7153723942140582</v>
      </c>
      <c r="T42" s="6">
        <f t="shared" si="17"/>
        <v>0.65181909224685974</v>
      </c>
      <c r="U42" s="6">
        <f t="shared" si="18"/>
        <v>0.76481624881463339</v>
      </c>
      <c r="V42" s="3">
        <f>IF($P42=0,"-",(VLOOKUP(L42,APP!$B$13:$G$57,4)*$G42)/($K42+$N42))</f>
        <v>4.417187605682841</v>
      </c>
      <c r="W42" s="9"/>
      <c r="X42" s="9"/>
    </row>
    <row r="43" spans="1:24" ht="37.5">
      <c r="A43" s="3" t="s">
        <v>44</v>
      </c>
      <c r="B43" s="3" t="s">
        <v>28</v>
      </c>
      <c r="C43" s="3" t="s">
        <v>45</v>
      </c>
      <c r="D43" s="3">
        <v>14</v>
      </c>
      <c r="E43" s="3">
        <v>14</v>
      </c>
      <c r="F43" s="19">
        <v>69.209999999999994</v>
      </c>
      <c r="G43" s="4">
        <f>IF(ISNUMBER(E43),E43*F43,"")</f>
        <v>968.93999999999994</v>
      </c>
      <c r="H43" s="6">
        <v>793.95</v>
      </c>
      <c r="I43" s="6">
        <f t="shared" si="1"/>
        <v>40.761577267654872</v>
      </c>
      <c r="J43" s="6">
        <f t="shared" ref="J43" si="101">IF(ISNUMBER(H43),H43*E43,"")</f>
        <v>11115.300000000001</v>
      </c>
      <c r="K43" s="6">
        <f t="shared" ref="K43" si="102">J43-D43*(I43)</f>
        <v>10544.637918252833</v>
      </c>
      <c r="L43" s="21">
        <v>20</v>
      </c>
      <c r="M43" s="4">
        <f t="shared" si="2"/>
        <v>12013.93856309828</v>
      </c>
      <c r="N43" s="8">
        <f t="shared" si="91"/>
        <v>1671.6401239220713</v>
      </c>
      <c r="O43" s="6">
        <v>150</v>
      </c>
      <c r="P43" s="6">
        <f t="shared" ref="P43" si="103">IF(ISNUMBER(O43),O43*E43,"")</f>
        <v>2100</v>
      </c>
      <c r="Q43" s="6">
        <f t="shared" ref="Q43" si="104">IF(ISERROR(P43/M43),0,P43/M43)</f>
        <v>0.17479696512268747</v>
      </c>
      <c r="R43" s="6">
        <f t="shared" ref="R43" si="105">IF(ISERROR((N43+P43)/M43),0,(N43+P43)/M43)</f>
        <v>0.31393868914120709</v>
      </c>
      <c r="S43" s="3">
        <f>IF($P43=0,"-",(VLOOKUP(L43,APP!B15:H59,6)*$G43)/($P43+$N43))</f>
        <v>10.093659879832845</v>
      </c>
      <c r="T43" s="6">
        <f t="shared" ref="T43" si="106">IF(ISERROR(RK43/M43),0,K43/M43)</f>
        <v>0.87770033639438483</v>
      </c>
      <c r="U43" s="6">
        <f t="shared" ref="U43" si="107">IF(ISERROR(K43/M43),0,(K43+N43)/M43)</f>
        <v>1.0168420604129045</v>
      </c>
      <c r="V43" s="3">
        <f>IF($P43=0,"-",(VLOOKUP(L43,APP!$B$13:$G$57,4)*$G43)/($K43+$N43))</f>
        <v>2.8331490721242756</v>
      </c>
      <c r="W43" s="9"/>
      <c r="X43" s="9"/>
    </row>
    <row r="44" spans="1:24" ht="37.5">
      <c r="A44" s="3" t="s">
        <v>44</v>
      </c>
      <c r="B44" s="3" t="s">
        <v>28</v>
      </c>
      <c r="C44" s="3" t="s">
        <v>45</v>
      </c>
      <c r="D44" s="3">
        <v>64</v>
      </c>
      <c r="E44" s="3">
        <v>64</v>
      </c>
      <c r="F44" s="19">
        <v>74.97</v>
      </c>
      <c r="G44" s="4">
        <f>IF(ISNUMBER(E44),E44*F44,"")</f>
        <v>4798.08</v>
      </c>
      <c r="H44" s="6">
        <v>793.95</v>
      </c>
      <c r="I44" s="6">
        <f t="shared" si="1"/>
        <v>54.370021815377449</v>
      </c>
      <c r="J44" s="6">
        <f t="shared" si="12"/>
        <v>50812.800000000003</v>
      </c>
      <c r="K44" s="6">
        <f t="shared" si="13"/>
        <v>47333.118603815848</v>
      </c>
      <c r="L44" s="21">
        <v>30</v>
      </c>
      <c r="M44" s="4">
        <f t="shared" si="2"/>
        <v>73256.450445982249</v>
      </c>
      <c r="N44" s="8">
        <f t="shared" si="91"/>
        <v>8277.7706006440148</v>
      </c>
      <c r="O44" s="6">
        <v>500</v>
      </c>
      <c r="P44" s="6">
        <f t="shared" si="14"/>
        <v>32000</v>
      </c>
      <c r="Q44" s="6">
        <f t="shared" si="15"/>
        <v>0.4368216014451331</v>
      </c>
      <c r="R44" s="6">
        <f t="shared" si="16"/>
        <v>0.54981875801290681</v>
      </c>
      <c r="S44" s="3">
        <f>IF($P44=0,"-",(VLOOKUP(L44,APP!B16:H60,6)*$G44)/($P44+$N44))</f>
        <v>6.7591392259343932</v>
      </c>
      <c r="T44" s="6">
        <f t="shared" si="17"/>
        <v>0.64612902093472691</v>
      </c>
      <c r="U44" s="6">
        <f t="shared" si="18"/>
        <v>0.75912617750250067</v>
      </c>
      <c r="V44" s="3">
        <f>IF($P44=0,"-",(VLOOKUP(L44,APP!$B$13:$G$57,4)*$G44)/($K44+$N44))</f>
        <v>4.4502968742343407</v>
      </c>
      <c r="W44" s="9"/>
      <c r="X44" s="9"/>
    </row>
    <row r="45" spans="1:24" ht="37.5">
      <c r="A45" s="3" t="s">
        <v>44</v>
      </c>
      <c r="B45" s="3" t="s">
        <v>29</v>
      </c>
      <c r="C45" s="3" t="s">
        <v>45</v>
      </c>
      <c r="D45" s="3">
        <v>10</v>
      </c>
      <c r="E45" s="3">
        <v>10</v>
      </c>
      <c r="F45" s="19">
        <v>60.78</v>
      </c>
      <c r="G45" s="4">
        <f t="shared" ref="G45" si="108">IF(ISNUMBER(E45),E45*F45,"")</f>
        <v>607.79999999999995</v>
      </c>
      <c r="H45" s="6">
        <v>793.95</v>
      </c>
      <c r="I45" s="6">
        <f t="shared" si="1"/>
        <v>35.796686408439001</v>
      </c>
      <c r="J45" s="6">
        <f t="shared" ref="J45" si="109">IF(ISNUMBER(H45),H45*E45,"")</f>
        <v>7939.5</v>
      </c>
      <c r="K45" s="6">
        <f t="shared" ref="K45" si="110">J45-D45*(I45)</f>
        <v>7581.5331359156098</v>
      </c>
      <c r="L45" s="21">
        <v>20</v>
      </c>
      <c r="M45" s="4">
        <f t="shared" si="2"/>
        <v>7536.1445070397895</v>
      </c>
      <c r="N45" s="8">
        <f t="shared" si="91"/>
        <v>1048.5921391622132</v>
      </c>
      <c r="O45" s="6">
        <v>150</v>
      </c>
      <c r="P45" s="6">
        <f t="shared" ref="P45" si="111">IF(ISNUMBER(O45),O45*E45,"")</f>
        <v>1500</v>
      </c>
      <c r="Q45" s="6">
        <f t="shared" ref="Q45" si="112">IF(ISERROR(P45/M45),0,P45/M45)</f>
        <v>0.19904076926852915</v>
      </c>
      <c r="R45" s="6">
        <f t="shared" ref="R45" si="113">IF(ISERROR((N45+P45)/M45),0,(N45+P45)/M45)</f>
        <v>0.3381824932870488</v>
      </c>
      <c r="S45" s="3">
        <f>IF($P45=0,"-",(VLOOKUP(L45,APP!B15:H59,6)*$G45)/($P45+$N45))</f>
        <v>9.3700602905610886</v>
      </c>
      <c r="T45" s="6">
        <f t="shared" ref="T45" si="114">IF(ISERROR(RK45/M45),0,K45/M45)</f>
        <v>1.0060227917383247</v>
      </c>
      <c r="U45" s="6">
        <f t="shared" ref="U45" si="115">IF(ISERROR(K45/M45),0,(K45+N45)/M45)</f>
        <v>1.1451645157568442</v>
      </c>
      <c r="V45" s="3">
        <f>IF($P45=0,"-",(VLOOKUP(L45,APP!$B$13:$G$57,4)*$G45)/($K45+$N45))</f>
        <v>2.5156779661931643</v>
      </c>
      <c r="W45" s="9"/>
      <c r="X45" s="9"/>
    </row>
    <row r="46" spans="1:24" ht="37.5">
      <c r="A46" s="3" t="s">
        <v>44</v>
      </c>
      <c r="B46" s="3" t="s">
        <v>29</v>
      </c>
      <c r="C46" s="3" t="s">
        <v>45</v>
      </c>
      <c r="D46" s="3">
        <v>14</v>
      </c>
      <c r="E46" s="3">
        <v>14</v>
      </c>
      <c r="F46" s="19">
        <v>65.849999999999994</v>
      </c>
      <c r="G46" s="4">
        <f t="shared" si="11"/>
        <v>921.89999999999986</v>
      </c>
      <c r="H46" s="6">
        <v>793.95</v>
      </c>
      <c r="I46" s="6">
        <f t="shared" si="1"/>
        <v>47.755981546520005</v>
      </c>
      <c r="J46" s="6">
        <f t="shared" si="12"/>
        <v>11115.300000000001</v>
      </c>
      <c r="K46" s="6">
        <f t="shared" si="13"/>
        <v>10446.716258348721</v>
      </c>
      <c r="L46" s="21">
        <v>30</v>
      </c>
      <c r="M46" s="4">
        <f t="shared" si="2"/>
        <v>14075.447192658527</v>
      </c>
      <c r="N46" s="8">
        <f t="shared" si="91"/>
        <v>1590.4855101902672</v>
      </c>
      <c r="O46" s="6">
        <v>500</v>
      </c>
      <c r="P46" s="6">
        <f t="shared" si="14"/>
        <v>7000</v>
      </c>
      <c r="Q46" s="6">
        <f t="shared" si="15"/>
        <v>0.49731990068855936</v>
      </c>
      <c r="R46" s="6">
        <f t="shared" si="16"/>
        <v>0.61031705725633312</v>
      </c>
      <c r="S46" s="3">
        <f>IF($P46=0,"-",(VLOOKUP(L46,APP!B16:H60,6)*$G46)/($P46+$N46))</f>
        <v>6.089132673345425</v>
      </c>
      <c r="T46" s="6">
        <f t="shared" si="17"/>
        <v>0.74219427030336349</v>
      </c>
      <c r="U46" s="6">
        <f t="shared" si="18"/>
        <v>0.85519142687113714</v>
      </c>
      <c r="V46" s="3">
        <f>IF($P46=0,"-",(VLOOKUP(L46,APP!$B$13:$G$57,4)*$G46)/($K46+$N46))</f>
        <v>3.9503867189701145</v>
      </c>
      <c r="W46" s="9"/>
      <c r="X46" s="9"/>
    </row>
    <row r="47" spans="1:24" ht="25">
      <c r="A47" s="3" t="s">
        <v>46</v>
      </c>
      <c r="B47" s="3" t="s">
        <v>26</v>
      </c>
      <c r="C47" s="3" t="s">
        <v>47</v>
      </c>
      <c r="D47" s="3">
        <v>43</v>
      </c>
      <c r="E47" s="3">
        <v>43</v>
      </c>
      <c r="F47" s="19">
        <v>5.9439500000000001</v>
      </c>
      <c r="G47" s="4">
        <f t="shared" si="11"/>
        <v>255.58985000000001</v>
      </c>
      <c r="H47" s="6">
        <v>61.41</v>
      </c>
      <c r="I47" s="6">
        <f t="shared" si="1"/>
        <v>2.7840684171962544</v>
      </c>
      <c r="J47" s="6">
        <f t="shared" si="12"/>
        <v>2640.6299999999997</v>
      </c>
      <c r="K47" s="6">
        <f t="shared" si="13"/>
        <v>2520.9150580605606</v>
      </c>
      <c r="L47" s="21">
        <v>14</v>
      </c>
      <c r="M47" s="4">
        <f t="shared" si="2"/>
        <v>2520.3145671460829</v>
      </c>
      <c r="N47" s="8">
        <f t="shared" si="91"/>
        <v>440.95016051274968</v>
      </c>
      <c r="O47" s="6">
        <v>50</v>
      </c>
      <c r="P47" s="6">
        <f t="shared" si="14"/>
        <v>2150</v>
      </c>
      <c r="Q47" s="6">
        <f t="shared" si="15"/>
        <v>0.85306811618939526</v>
      </c>
      <c r="R47" s="6">
        <f t="shared" si="16"/>
        <v>1.0280264988694059</v>
      </c>
      <c r="S47" s="3">
        <f>IF($P47=0,"-",(VLOOKUP(L47,APP!B16:H60,6)*$G47)/($P47+$N47))</f>
        <v>1.9177006025529646</v>
      </c>
      <c r="T47" s="6">
        <f t="shared" si="17"/>
        <v>1.0002382603038149</v>
      </c>
      <c r="U47" s="6">
        <f t="shared" si="18"/>
        <v>1.1751966429838256</v>
      </c>
      <c r="V47" s="3">
        <f>IF($P47=0,"-",(VLOOKUP(L47,APP!$B$13:$G$57,4)*$G47)/($K47+$N47))</f>
        <v>1.5248069429963551</v>
      </c>
      <c r="W47" s="9"/>
      <c r="X47" s="9"/>
    </row>
    <row r="48" spans="1:24" ht="25">
      <c r="A48" s="3" t="s">
        <v>46</v>
      </c>
      <c r="B48" s="3" t="s">
        <v>28</v>
      </c>
      <c r="C48" s="3" t="s">
        <v>47</v>
      </c>
      <c r="D48" s="3">
        <v>19</v>
      </c>
      <c r="E48" s="3">
        <v>19</v>
      </c>
      <c r="F48" s="19">
        <v>5.96157</v>
      </c>
      <c r="G48" s="4">
        <f t="shared" si="11"/>
        <v>113.26983</v>
      </c>
      <c r="H48" s="6">
        <v>61.41</v>
      </c>
      <c r="I48" s="6">
        <f t="shared" si="1"/>
        <v>2.792321394679409</v>
      </c>
      <c r="J48" s="6">
        <f t="shared" si="12"/>
        <v>1166.79</v>
      </c>
      <c r="K48" s="6">
        <f t="shared" si="13"/>
        <v>1113.7358935010911</v>
      </c>
      <c r="L48" s="21">
        <v>14</v>
      </c>
      <c r="M48" s="4">
        <f t="shared" si="2"/>
        <v>1116.9285578717636</v>
      </c>
      <c r="N48" s="8">
        <f t="shared" si="91"/>
        <v>195.4160140543604</v>
      </c>
      <c r="O48" s="6">
        <v>50</v>
      </c>
      <c r="P48" s="6">
        <f t="shared" si="14"/>
        <v>950</v>
      </c>
      <c r="Q48" s="6">
        <f t="shared" si="15"/>
        <v>0.85054679039648218</v>
      </c>
      <c r="R48" s="6">
        <f t="shared" si="16"/>
        <v>1.0255051730764928</v>
      </c>
      <c r="S48" s="3">
        <f>IF($P48=0,"-",(VLOOKUP(L48,APP!B16:H60,6)*$G48)/($P48+$N48))</f>
        <v>1.9224154963626139</v>
      </c>
      <c r="T48" s="6">
        <f t="shared" si="17"/>
        <v>0.99714156796495934</v>
      </c>
      <c r="U48" s="6">
        <f t="shared" si="18"/>
        <v>1.1720999506449699</v>
      </c>
      <c r="V48" s="3">
        <f>IF($P48=0,"-",(VLOOKUP(L48,APP!$B$13:$G$57,4)*$G48)/($K48+$N48))</f>
        <v>1.5288354884937017</v>
      </c>
      <c r="W48" s="9"/>
      <c r="X48" s="9"/>
    </row>
    <row r="49" spans="1:24" ht="25">
      <c r="A49" s="3" t="s">
        <v>46</v>
      </c>
      <c r="B49" s="3" t="s">
        <v>29</v>
      </c>
      <c r="C49" s="3" t="s">
        <v>47</v>
      </c>
      <c r="D49" s="3">
        <v>14</v>
      </c>
      <c r="E49" s="3">
        <v>14</v>
      </c>
      <c r="F49" s="19">
        <v>6.1870000000000003</v>
      </c>
      <c r="G49" s="4">
        <f t="shared" si="11"/>
        <v>86.618000000000009</v>
      </c>
      <c r="H49" s="6">
        <v>61.41</v>
      </c>
      <c r="I49" s="6">
        <f t="shared" si="1"/>
        <v>2.8979098574505548</v>
      </c>
      <c r="J49" s="6">
        <f t="shared" si="12"/>
        <v>859.74</v>
      </c>
      <c r="K49" s="6">
        <f t="shared" si="13"/>
        <v>819.1692619956923</v>
      </c>
      <c r="L49" s="21">
        <v>14</v>
      </c>
      <c r="M49" s="4">
        <f t="shared" si="2"/>
        <v>854.12080009068995</v>
      </c>
      <c r="N49" s="8">
        <f t="shared" si="91"/>
        <v>149.43559379722379</v>
      </c>
      <c r="O49" s="6">
        <v>50</v>
      </c>
      <c r="P49" s="6">
        <f t="shared" si="14"/>
        <v>700</v>
      </c>
      <c r="Q49" s="6">
        <f t="shared" si="15"/>
        <v>0.81955620320413047</v>
      </c>
      <c r="R49" s="6">
        <f t="shared" si="16"/>
        <v>0.9945145858841411</v>
      </c>
      <c r="S49" s="3">
        <f>IF($P49=0,"-",(VLOOKUP(L49,APP!B16:H60,6)*$G49)/($P49+$N49))</f>
        <v>1.9823208872996294</v>
      </c>
      <c r="T49" s="6">
        <f t="shared" si="17"/>
        <v>0.95907892877531309</v>
      </c>
      <c r="U49" s="6">
        <f t="shared" si="18"/>
        <v>1.1340373114553237</v>
      </c>
      <c r="V49" s="3">
        <f>IF($P49=0,"-",(VLOOKUP(L49,APP!$B$13:$G$57,4)*$G49)/($K49+$N49))</f>
        <v>1.5801490678539647</v>
      </c>
      <c r="W49" s="9"/>
      <c r="X49" s="9"/>
    </row>
    <row r="50" spans="1:24" ht="25">
      <c r="A50" s="3" t="s">
        <v>48</v>
      </c>
      <c r="B50" s="3" t="s">
        <v>26</v>
      </c>
      <c r="C50" s="3" t="s">
        <v>48</v>
      </c>
      <c r="D50" s="3">
        <v>66</v>
      </c>
      <c r="E50" s="3">
        <v>67</v>
      </c>
      <c r="F50" s="19">
        <v>34.200000000000003</v>
      </c>
      <c r="G50" s="4">
        <f t="shared" si="11"/>
        <v>2291.4</v>
      </c>
      <c r="H50" s="6">
        <v>264.41000000000003</v>
      </c>
      <c r="I50" s="6">
        <f t="shared" si="1"/>
        <v>7.0215849268890747</v>
      </c>
      <c r="J50" s="6">
        <f t="shared" si="12"/>
        <v>17715.47</v>
      </c>
      <c r="K50" s="6">
        <f t="shared" si="13"/>
        <v>17252.045394825323</v>
      </c>
      <c r="L50" s="21">
        <v>5</v>
      </c>
      <c r="M50" s="4">
        <f t="shared" si="2"/>
        <v>9904.1303179277475</v>
      </c>
      <c r="N50" s="8">
        <f t="shared" si="91"/>
        <v>3953.1820132877524</v>
      </c>
      <c r="O50" s="6">
        <v>75</v>
      </c>
      <c r="P50" s="6">
        <f t="shared" si="14"/>
        <v>5025</v>
      </c>
      <c r="Q50" s="6">
        <f t="shared" si="15"/>
        <v>0.50736408333643435</v>
      </c>
      <c r="R50" s="6">
        <f t="shared" si="16"/>
        <v>0.90650887307450823</v>
      </c>
      <c r="S50" s="3">
        <f>IF($P50=0,"-",(VLOOKUP(L50,APP!B16:H60,6)*$G50)/($P50+$N50))</f>
        <v>1.5798037931296067</v>
      </c>
      <c r="T50" s="6">
        <f t="shared" si="17"/>
        <v>1.741904118890369</v>
      </c>
      <c r="U50" s="6">
        <f t="shared" si="18"/>
        <v>2.1410489086284428</v>
      </c>
      <c r="V50" s="3">
        <f>IF($P50=0,"-",(VLOOKUP(L50,APP!$B$13:$G$57,4)*$G50)/($K50+$N50))</f>
        <v>0.60836801000607355</v>
      </c>
      <c r="W50" s="9"/>
      <c r="X50" s="9"/>
    </row>
    <row r="51" spans="1:24" ht="25">
      <c r="A51" s="3" t="s">
        <v>48</v>
      </c>
      <c r="B51" s="3" t="s">
        <v>28</v>
      </c>
      <c r="C51" s="3" t="s">
        <v>48</v>
      </c>
      <c r="D51" s="3">
        <v>24</v>
      </c>
      <c r="E51" s="3">
        <v>24</v>
      </c>
      <c r="F51" s="19">
        <v>34.51</v>
      </c>
      <c r="G51" s="4">
        <f t="shared" si="11"/>
        <v>828.24</v>
      </c>
      <c r="H51" s="6">
        <v>264.41000000000003</v>
      </c>
      <c r="I51" s="6">
        <f t="shared" si="1"/>
        <v>7.0852308721328061</v>
      </c>
      <c r="J51" s="6">
        <f t="shared" si="12"/>
        <v>6345.84</v>
      </c>
      <c r="K51" s="6">
        <f t="shared" si="13"/>
        <v>6175.794459068813</v>
      </c>
      <c r="L51" s="21">
        <v>5</v>
      </c>
      <c r="M51" s="4">
        <f t="shared" si="2"/>
        <v>3579.9061248671023</v>
      </c>
      <c r="N51" s="8">
        <f t="shared" si="91"/>
        <v>1428.9008774921217</v>
      </c>
      <c r="O51" s="6">
        <v>75</v>
      </c>
      <c r="P51" s="6">
        <f t="shared" si="14"/>
        <v>1800</v>
      </c>
      <c r="Q51" s="6">
        <f t="shared" si="15"/>
        <v>0.50280648073329626</v>
      </c>
      <c r="R51" s="6">
        <f t="shared" si="16"/>
        <v>0.90195127047136991</v>
      </c>
      <c r="S51" s="3">
        <f>IF($P51=0,"-",(VLOOKUP(L51,APP!B16:H60,6)*$G51)/($P51+$N51))</f>
        <v>1.5877866167207884</v>
      </c>
      <c r="T51" s="6">
        <f t="shared" si="17"/>
        <v>1.7251274876092118</v>
      </c>
      <c r="U51" s="6">
        <f t="shared" si="18"/>
        <v>2.1242722773472855</v>
      </c>
      <c r="V51" s="3">
        <f>IF($P51=0,"-",(VLOOKUP(L51,APP!$B$13:$G$57,4)*$G51)/($K51+$N51))</f>
        <v>0.61317265105701668</v>
      </c>
      <c r="W51" s="9"/>
      <c r="X51" s="9"/>
    </row>
    <row r="52" spans="1:24" ht="25">
      <c r="A52" s="3" t="s">
        <v>48</v>
      </c>
      <c r="B52" s="3" t="s">
        <v>29</v>
      </c>
      <c r="C52" s="3" t="s">
        <v>48</v>
      </c>
      <c r="D52" s="3">
        <v>70</v>
      </c>
      <c r="E52" s="3">
        <v>73</v>
      </c>
      <c r="F52" s="19">
        <v>30.826000000000001</v>
      </c>
      <c r="G52" s="4">
        <f t="shared" si="11"/>
        <v>2250.2980000000002</v>
      </c>
      <c r="H52" s="6">
        <v>264.41000000000003</v>
      </c>
      <c r="I52" s="6">
        <f t="shared" si="1"/>
        <v>6.3288706712363334</v>
      </c>
      <c r="J52" s="6">
        <f t="shared" si="12"/>
        <v>19301.93</v>
      </c>
      <c r="K52" s="6">
        <f t="shared" si="13"/>
        <v>18858.909053013456</v>
      </c>
      <c r="L52" s="21">
        <v>5</v>
      </c>
      <c r="M52" s="4">
        <f t="shared" si="2"/>
        <v>9726.4749263211033</v>
      </c>
      <c r="N52" s="8">
        <f t="shared" si="91"/>
        <v>3882.271789359083</v>
      </c>
      <c r="O52" s="6">
        <v>75</v>
      </c>
      <c r="P52" s="6">
        <f t="shared" si="14"/>
        <v>5475</v>
      </c>
      <c r="Q52" s="6">
        <f t="shared" si="15"/>
        <v>0.562896634338093</v>
      </c>
      <c r="R52" s="6">
        <f t="shared" si="16"/>
        <v>0.96204142407616677</v>
      </c>
      <c r="S52" s="3">
        <f>IF($P52=0,"-",(VLOOKUP(L52,APP!B16:H60,6)*$G52)/($P52+$N52))</f>
        <v>1.4886117378614774</v>
      </c>
      <c r="T52" s="6">
        <f t="shared" si="17"/>
        <v>1.9389253759323228</v>
      </c>
      <c r="U52" s="6">
        <f t="shared" si="18"/>
        <v>2.3380701656703962</v>
      </c>
      <c r="V52" s="3">
        <f>IF($P52=0,"-",(VLOOKUP(L52,APP!$B$13:$G$57,4)*$G52)/($K52+$N52))</f>
        <v>0.55710289750627806</v>
      </c>
      <c r="W52" s="9"/>
      <c r="X52" s="9"/>
    </row>
    <row r="53" spans="1:24" ht="25">
      <c r="A53" s="3" t="s">
        <v>49</v>
      </c>
      <c r="B53" s="3" t="s">
        <v>26</v>
      </c>
      <c r="C53" s="3" t="s">
        <v>50</v>
      </c>
      <c r="D53" s="3">
        <v>386</v>
      </c>
      <c r="E53" s="4">
        <v>501212.5</v>
      </c>
      <c r="F53" s="19">
        <f>G53/E53</f>
        <v>3.2578207845973511E-2</v>
      </c>
      <c r="G53" s="4">
        <v>16328.605</v>
      </c>
      <c r="H53" s="6">
        <v>1.08</v>
      </c>
      <c r="I53" s="6">
        <f t="shared" si="1"/>
        <v>2.7264989168292349E-2</v>
      </c>
      <c r="J53" s="6">
        <f t="shared" si="12"/>
        <v>541309.5</v>
      </c>
      <c r="K53" s="6">
        <f t="shared" si="13"/>
        <v>541298.97571418108</v>
      </c>
      <c r="L53" s="21">
        <v>45</v>
      </c>
      <c r="M53" s="4">
        <f t="shared" si="2"/>
        <v>287695.8607055312</v>
      </c>
      <c r="N53" s="8">
        <f t="shared" si="91"/>
        <v>28170.527881679522</v>
      </c>
      <c r="O53" s="6">
        <v>2</v>
      </c>
      <c r="P53" s="6">
        <f t="shared" si="14"/>
        <v>1002425</v>
      </c>
      <c r="Q53" s="6">
        <f t="shared" si="15"/>
        <v>3.4843219417258982</v>
      </c>
      <c r="R53" s="6">
        <f t="shared" si="16"/>
        <v>3.5822396796196427</v>
      </c>
      <c r="S53" s="3">
        <f>IF($P53=0,"-",(VLOOKUP(L53,APP!B16:H60,6)*$G53)/($P53+$N53))</f>
        <v>1.5265553257190367</v>
      </c>
      <c r="T53" s="6">
        <f t="shared" si="17"/>
        <v>1.8814972672416144</v>
      </c>
      <c r="U53" s="6">
        <f t="shared" si="18"/>
        <v>1.979415005135359</v>
      </c>
      <c r="V53" s="3">
        <f>IF($P53=0,"-",(VLOOKUP(L53,APP!$B$13:$G$57,4)*$G53)/($K53+$N53))</f>
        <v>2.511499743039789</v>
      </c>
      <c r="W53" s="9"/>
      <c r="X53" s="9"/>
    </row>
    <row r="54" spans="1:24" ht="25">
      <c r="A54" s="3" t="s">
        <v>49</v>
      </c>
      <c r="B54" s="3" t="s">
        <v>28</v>
      </c>
      <c r="C54" s="3" t="s">
        <v>50</v>
      </c>
      <c r="D54" s="3">
        <v>91</v>
      </c>
      <c r="E54" s="4">
        <v>113304</v>
      </c>
      <c r="F54" s="19">
        <f>G54/E54</f>
        <v>3.3717609263574103E-2</v>
      </c>
      <c r="G54" s="4">
        <v>3820.34</v>
      </c>
      <c r="H54" s="6">
        <v>1.08</v>
      </c>
      <c r="I54" s="6">
        <f t="shared" si="1"/>
        <v>2.821856425308808E-2</v>
      </c>
      <c r="J54" s="6">
        <f t="shared" si="12"/>
        <v>122368.32000000001</v>
      </c>
      <c r="K54" s="6">
        <f t="shared" si="13"/>
        <v>122365.75211065297</v>
      </c>
      <c r="L54" s="21">
        <v>45</v>
      </c>
      <c r="M54" s="4">
        <f t="shared" si="2"/>
        <v>67311.07798172404</v>
      </c>
      <c r="N54" s="8">
        <f t="shared" si="91"/>
        <v>6590.948491159872</v>
      </c>
      <c r="O54" s="6">
        <v>2</v>
      </c>
      <c r="P54" s="6">
        <f t="shared" si="14"/>
        <v>226608</v>
      </c>
      <c r="Q54" s="6">
        <f t="shared" si="15"/>
        <v>3.3665780848366067</v>
      </c>
      <c r="R54" s="6">
        <f t="shared" si="16"/>
        <v>3.4644958227303517</v>
      </c>
      <c r="S54" s="3">
        <f>IF($P54=0,"-",(VLOOKUP(L54,APP!B16:H60,6)*$G54)/($P54+$N54))</f>
        <v>1.5784366155233911</v>
      </c>
      <c r="T54" s="6">
        <f t="shared" si="17"/>
        <v>1.8179140162318763</v>
      </c>
      <c r="U54" s="6">
        <f t="shared" si="18"/>
        <v>1.9158317541256211</v>
      </c>
      <c r="V54" s="3">
        <f>IF($P54=0,"-",(VLOOKUP(L54,APP!$B$13:$G$57,4)*$G54)/($K54+$N54))</f>
        <v>2.5948522181351157</v>
      </c>
      <c r="W54" s="9"/>
      <c r="X54" s="9"/>
    </row>
    <row r="55" spans="1:24" ht="25">
      <c r="A55" s="3" t="s">
        <v>49</v>
      </c>
      <c r="B55" s="3" t="s">
        <v>29</v>
      </c>
      <c r="C55" s="3" t="s">
        <v>50</v>
      </c>
      <c r="D55" s="3">
        <v>82</v>
      </c>
      <c r="E55" s="4">
        <v>106311</v>
      </c>
      <c r="F55" s="19">
        <f>G55/E55</f>
        <v>3.661201568981573E-2</v>
      </c>
      <c r="G55" s="4">
        <v>3892.26</v>
      </c>
      <c r="H55" s="6">
        <v>1.08</v>
      </c>
      <c r="I55" s="6">
        <f t="shared" si="1"/>
        <v>3.0640918491639829E-2</v>
      </c>
      <c r="J55" s="6">
        <f t="shared" si="12"/>
        <v>114815.88</v>
      </c>
      <c r="K55" s="6">
        <f t="shared" si="13"/>
        <v>114813.3674446837</v>
      </c>
      <c r="L55" s="21">
        <v>45</v>
      </c>
      <c r="M55" s="4">
        <f t="shared" si="2"/>
        <v>68578.246016099409</v>
      </c>
      <c r="N55" s="8">
        <f t="shared" si="91"/>
        <v>6715.0267186171714</v>
      </c>
      <c r="O55" s="6">
        <v>2</v>
      </c>
      <c r="P55" s="6">
        <f t="shared" si="14"/>
        <v>212622</v>
      </c>
      <c r="Q55" s="6">
        <f t="shared" si="15"/>
        <v>3.1004292520121455</v>
      </c>
      <c r="R55" s="6">
        <f t="shared" si="16"/>
        <v>3.1983469899058905</v>
      </c>
      <c r="S55" s="3">
        <f>IF($P55=0,"-",(VLOOKUP(L55,APP!B16:H60,6)*$G55)/($P55+$N55))</f>
        <v>1.7097854229651075</v>
      </c>
      <c r="T55" s="6">
        <f t="shared" si="17"/>
        <v>1.6741951582974306</v>
      </c>
      <c r="U55" s="6">
        <f t="shared" si="18"/>
        <v>1.7721128961911754</v>
      </c>
      <c r="V55" s="3">
        <f>IF($P55=0,"-",(VLOOKUP(L55,APP!$B$13:$G$57,4)*$G55)/($K55+$N55))</f>
        <v>2.8052954681676519</v>
      </c>
      <c r="W55" s="9"/>
      <c r="X55" s="9"/>
    </row>
    <row r="56" spans="1:24" ht="75">
      <c r="A56" s="3" t="s">
        <v>51</v>
      </c>
      <c r="B56" s="3" t="s">
        <v>26</v>
      </c>
      <c r="C56" s="3" t="s">
        <v>52</v>
      </c>
      <c r="D56" s="3">
        <v>19</v>
      </c>
      <c r="E56" s="3">
        <v>19</v>
      </c>
      <c r="F56" s="19">
        <v>151.60900000000001</v>
      </c>
      <c r="G56" s="4">
        <f t="shared" si="11"/>
        <v>2880.5710000000004</v>
      </c>
      <c r="H56" s="18">
        <v>5190.57</v>
      </c>
      <c r="I56" s="6">
        <f t="shared" si="1"/>
        <v>91.844955128150175</v>
      </c>
      <c r="J56" s="6">
        <f t="shared" si="12"/>
        <v>98620.829999999987</v>
      </c>
      <c r="K56" s="6">
        <f t="shared" si="13"/>
        <v>96875.77585256513</v>
      </c>
      <c r="L56" s="21">
        <v>21</v>
      </c>
      <c r="M56" s="4">
        <f t="shared" si="2"/>
        <v>36737.982051260071</v>
      </c>
      <c r="N56" s="8">
        <f t="shared" si="91"/>
        <v>4969.6349241504386</v>
      </c>
      <c r="O56" s="6">
        <v>1500</v>
      </c>
      <c r="P56" s="6">
        <f t="shared" si="14"/>
        <v>28500</v>
      </c>
      <c r="Q56" s="6">
        <f t="shared" si="15"/>
        <v>0.77576389362470388</v>
      </c>
      <c r="R56" s="6">
        <f t="shared" si="16"/>
        <v>0.91103629147215137</v>
      </c>
      <c r="S56" s="3">
        <f>IF($P56=0,"-",(VLOOKUP(L56,APP!B16:H60,6)*$G56)/($P56+$N56))</f>
        <v>3.5123210269967999</v>
      </c>
      <c r="T56" s="6">
        <f t="shared" si="17"/>
        <v>2.6369378622210524</v>
      </c>
      <c r="U56" s="6">
        <f t="shared" si="18"/>
        <v>2.7722102600684999</v>
      </c>
      <c r="V56" s="3">
        <f>IF($P56=0,"-",(VLOOKUP(L56,APP!$B$13:$G$57,4)*$G56)/($K56+$N56))</f>
        <v>1.04932743935118</v>
      </c>
      <c r="W56" s="9"/>
      <c r="X56" s="9"/>
    </row>
    <row r="57" spans="1:24" ht="75">
      <c r="A57" s="3" t="s">
        <v>51</v>
      </c>
      <c r="B57" s="3" t="s">
        <v>28</v>
      </c>
      <c r="C57" s="3" t="s">
        <v>52</v>
      </c>
      <c r="D57" s="3">
        <v>4</v>
      </c>
      <c r="E57" s="3">
        <v>4</v>
      </c>
      <c r="F57" s="19">
        <v>146.04</v>
      </c>
      <c r="G57" s="4">
        <f t="shared" si="11"/>
        <v>584.16</v>
      </c>
      <c r="H57" s="18">
        <v>5190.57</v>
      </c>
      <c r="I57" s="6">
        <f t="shared" si="1"/>
        <v>88.47124673940894</v>
      </c>
      <c r="J57" s="6">
        <f t="shared" si="12"/>
        <v>20762.28</v>
      </c>
      <c r="K57" s="6">
        <f t="shared" si="13"/>
        <v>20408.395013042362</v>
      </c>
      <c r="L57" s="21">
        <v>21</v>
      </c>
      <c r="M57" s="4">
        <f t="shared" si="2"/>
        <v>7450.2102517397007</v>
      </c>
      <c r="N57" s="8">
        <f t="shared" si="91"/>
        <v>1007.8078052204648</v>
      </c>
      <c r="O57" s="6">
        <v>1500</v>
      </c>
      <c r="P57" s="6">
        <f t="shared" si="14"/>
        <v>6000</v>
      </c>
      <c r="Q57" s="6">
        <f t="shared" si="15"/>
        <v>0.80534639926422724</v>
      </c>
      <c r="R57" s="6">
        <f t="shared" si="16"/>
        <v>0.94061879711167473</v>
      </c>
      <c r="S57" s="3">
        <f>IF($P57=0,"-",(VLOOKUP(L57,APP!B16:H60,6)*$G57)/($P57+$N57))</f>
        <v>3.4018583646430369</v>
      </c>
      <c r="T57" s="6">
        <f t="shared" si="17"/>
        <v>2.7393045730859464</v>
      </c>
      <c r="U57" s="6">
        <f t="shared" si="18"/>
        <v>2.8745769709333939</v>
      </c>
      <c r="V57" s="3">
        <f>IF($P57=0,"-",(VLOOKUP(L57,APP!$B$13:$G$57,4)*$G57)/($K57+$N57))</f>
        <v>1.0119597850240172</v>
      </c>
      <c r="W57" s="9"/>
      <c r="X57" s="9"/>
    </row>
    <row r="58" spans="1:24" ht="37.5">
      <c r="A58" s="3" t="s">
        <v>53</v>
      </c>
      <c r="B58" s="3" t="s">
        <v>26</v>
      </c>
      <c r="C58" s="3" t="s">
        <v>53</v>
      </c>
      <c r="D58" s="3">
        <v>4</v>
      </c>
      <c r="E58" s="3">
        <v>5</v>
      </c>
      <c r="F58" s="19">
        <v>9.0459999999999994</v>
      </c>
      <c r="G58" s="4">
        <f t="shared" si="11"/>
        <v>45.23</v>
      </c>
      <c r="H58" s="18">
        <v>200</v>
      </c>
      <c r="I58" s="6">
        <f t="shared" si="1"/>
        <v>7.570677097477474</v>
      </c>
      <c r="J58" s="6">
        <f t="shared" si="12"/>
        <v>1000</v>
      </c>
      <c r="K58" s="6">
        <f t="shared" si="13"/>
        <v>969.71729161009011</v>
      </c>
      <c r="L58" s="21">
        <v>45</v>
      </c>
      <c r="M58" s="4">
        <f t="shared" si="2"/>
        <v>796.91337868183928</v>
      </c>
      <c r="N58" s="8">
        <f t="shared" si="91"/>
        <v>78.031955337786954</v>
      </c>
      <c r="O58" s="6">
        <v>100</v>
      </c>
      <c r="P58" s="6">
        <f t="shared" si="14"/>
        <v>500</v>
      </c>
      <c r="Q58" s="6">
        <f t="shared" si="15"/>
        <v>0.62742076287769366</v>
      </c>
      <c r="R58" s="6">
        <f t="shared" si="16"/>
        <v>0.72533850077143847</v>
      </c>
      <c r="S58" s="3">
        <f>IF($P58=0,"-",(VLOOKUP(L58,APP!B16:H60,6)*$G58)/($P58+$N58))</f>
        <v>7.5392207295068117</v>
      </c>
      <c r="T58" s="6">
        <f t="shared" si="17"/>
        <v>1.2168415257553873</v>
      </c>
      <c r="U58" s="6">
        <f t="shared" si="18"/>
        <v>1.3147592636491321</v>
      </c>
      <c r="V58" s="3">
        <f>IF($P58=0,"-",(VLOOKUP(L58,APP!$B$13:$G$57,4)*$G58)/($K58+$N58))</f>
        <v>3.7811486971148205</v>
      </c>
      <c r="W58" s="9"/>
      <c r="X58" s="9"/>
    </row>
    <row r="59" spans="1:24" ht="37.5">
      <c r="A59" s="3" t="s">
        <v>53</v>
      </c>
      <c r="B59" s="3" t="s">
        <v>28</v>
      </c>
      <c r="C59" s="3" t="s">
        <v>53</v>
      </c>
      <c r="D59" s="3">
        <v>2</v>
      </c>
      <c r="E59" s="3">
        <v>2</v>
      </c>
      <c r="F59" s="19">
        <v>13</v>
      </c>
      <c r="G59" s="4">
        <f t="shared" si="11"/>
        <v>26</v>
      </c>
      <c r="H59" s="18">
        <v>200</v>
      </c>
      <c r="I59" s="6">
        <f t="shared" si="1"/>
        <v>10.87981453318673</v>
      </c>
      <c r="J59" s="6">
        <f t="shared" si="12"/>
        <v>400</v>
      </c>
      <c r="K59" s="6">
        <f t="shared" si="13"/>
        <v>378.24037093362654</v>
      </c>
      <c r="L59" s="21">
        <v>45</v>
      </c>
      <c r="M59" s="4">
        <f t="shared" si="2"/>
        <v>458.09745402891491</v>
      </c>
      <c r="N59" s="8">
        <f t="shared" si="91"/>
        <v>44.855866433395114</v>
      </c>
      <c r="O59" s="6">
        <v>100</v>
      </c>
      <c r="P59" s="6">
        <f t="shared" si="14"/>
        <v>200</v>
      </c>
      <c r="Q59" s="6">
        <f t="shared" si="15"/>
        <v>0.43658832469166287</v>
      </c>
      <c r="R59" s="6">
        <f t="shared" si="16"/>
        <v>0.53450606258540767</v>
      </c>
      <c r="S59" s="3">
        <f>IF($P59=0,"-",(VLOOKUP(L59,APP!B16:H60,6)*$G59)/($P59+$N59))</f>
        <v>10.23091681032453</v>
      </c>
      <c r="T59" s="6">
        <f t="shared" si="17"/>
        <v>0.82567664938332574</v>
      </c>
      <c r="U59" s="6">
        <f t="shared" si="18"/>
        <v>0.92359438727707055</v>
      </c>
      <c r="V59" s="3">
        <f>IF($P59=0,"-",(VLOOKUP(L59,APP!$B$13:$G$57,4)*$G59)/($K59+$N59))</f>
        <v>5.3825579120536702</v>
      </c>
      <c r="W59" s="9"/>
      <c r="X59" s="9"/>
    </row>
    <row r="60" spans="1:24" ht="37.5">
      <c r="A60" s="3" t="s">
        <v>53</v>
      </c>
      <c r="B60" s="3" t="s">
        <v>29</v>
      </c>
      <c r="C60" s="3" t="s">
        <v>53</v>
      </c>
      <c r="D60" s="3">
        <v>7</v>
      </c>
      <c r="E60" s="3">
        <v>9</v>
      </c>
      <c r="F60" s="19">
        <v>10.24</v>
      </c>
      <c r="G60" s="4">
        <f t="shared" si="11"/>
        <v>92.16</v>
      </c>
      <c r="H60" s="6">
        <v>200</v>
      </c>
      <c r="I60" s="6">
        <f t="shared" si="1"/>
        <v>8.5699462169101626</v>
      </c>
      <c r="J60" s="6">
        <f t="shared" si="12"/>
        <v>1800</v>
      </c>
      <c r="K60" s="6">
        <f t="shared" si="13"/>
        <v>1740.0103764816288</v>
      </c>
      <c r="L60" s="21">
        <v>45</v>
      </c>
      <c r="M60" s="4">
        <f t="shared" si="2"/>
        <v>1623.7792832040307</v>
      </c>
      <c r="N60" s="8">
        <f t="shared" si="91"/>
        <v>158.99679425006511</v>
      </c>
      <c r="O60" s="6">
        <v>100</v>
      </c>
      <c r="P60" s="6">
        <f t="shared" si="14"/>
        <v>900</v>
      </c>
      <c r="Q60" s="6">
        <f t="shared" si="15"/>
        <v>0.55426252158121259</v>
      </c>
      <c r="R60" s="6">
        <f t="shared" si="16"/>
        <v>0.65218025947495739</v>
      </c>
      <c r="S60" s="3">
        <f>IF($P60=0,"-",(VLOOKUP(L60,APP!B16:H60,6)*$G60)/($P60+$N60))</f>
        <v>8.3849318980121694</v>
      </c>
      <c r="T60" s="6">
        <f t="shared" si="17"/>
        <v>1.0715805987179807</v>
      </c>
      <c r="U60" s="6">
        <f t="shared" si="18"/>
        <v>1.1694983366117255</v>
      </c>
      <c r="V60" s="3">
        <f>IF($P60=0,"-",(VLOOKUP(L60,APP!$B$13:$G$57,4)*$G60)/($K60+$N60))</f>
        <v>4.2507972188908152</v>
      </c>
      <c r="W60" s="9"/>
      <c r="X60" s="9"/>
    </row>
    <row r="61" spans="1:24" ht="34.5">
      <c r="A61" s="3" t="s">
        <v>54</v>
      </c>
      <c r="B61" s="3" t="s">
        <v>26</v>
      </c>
      <c r="C61" s="17" t="s">
        <v>31</v>
      </c>
      <c r="D61" s="3">
        <v>1</v>
      </c>
      <c r="E61" s="3">
        <v>1</v>
      </c>
      <c r="F61" s="19">
        <v>83.8</v>
      </c>
      <c r="G61" s="4">
        <f t="shared" ref="G61" si="116">IF(ISNUMBER(E61),E61*F61,"")</f>
        <v>83.8</v>
      </c>
      <c r="H61" s="36">
        <v>1024</v>
      </c>
      <c r="I61" s="6">
        <f t="shared" si="1"/>
        <v>52.10990217092931</v>
      </c>
      <c r="J61" s="6">
        <f t="shared" si="12"/>
        <v>1024</v>
      </c>
      <c r="K61" s="6">
        <f t="shared" si="13"/>
        <v>971.89009782907067</v>
      </c>
      <c r="L61" s="37">
        <v>22</v>
      </c>
      <c r="M61" s="4">
        <f t="shared" si="2"/>
        <v>1097.0505720195645</v>
      </c>
      <c r="N61" s="8">
        <f t="shared" si="91"/>
        <v>144.57390796609656</v>
      </c>
      <c r="O61" s="6">
        <v>650</v>
      </c>
      <c r="P61" s="6">
        <f t="shared" si="14"/>
        <v>650</v>
      </c>
      <c r="Q61" s="6">
        <f t="shared" si="15"/>
        <v>0.59249775404921634</v>
      </c>
      <c r="R61" s="6">
        <f t="shared" si="16"/>
        <v>0.72428193214772452</v>
      </c>
      <c r="S61" s="3">
        <f>IF($P61=0,"-",(VLOOKUP(L61,APP!B14:H58,6)*$G61)/($P61+$N61))</f>
        <v>4.4696207167068662</v>
      </c>
      <c r="T61" s="6">
        <f t="shared" si="17"/>
        <v>0.88591184637907305</v>
      </c>
      <c r="U61" s="6">
        <f t="shared" si="18"/>
        <v>1.0176960244775812</v>
      </c>
      <c r="V61" s="3">
        <f>IF($P61=0,"-",(VLOOKUP(L61,APP!$B$13:$G$57,4)*$G61)/($K61+$N61))</f>
        <v>2.8920000853053711</v>
      </c>
      <c r="W61" s="9"/>
      <c r="X61" s="9"/>
    </row>
    <row r="62" spans="1:24" ht="34.5">
      <c r="A62" s="3" t="s">
        <v>54</v>
      </c>
      <c r="B62" s="3" t="s">
        <v>29</v>
      </c>
      <c r="C62" s="17" t="s">
        <v>31</v>
      </c>
      <c r="D62" s="3">
        <v>1</v>
      </c>
      <c r="E62" s="3">
        <v>1</v>
      </c>
      <c r="F62" s="19">
        <v>83.8</v>
      </c>
      <c r="G62" s="4">
        <f t="shared" si="11"/>
        <v>83.8</v>
      </c>
      <c r="H62" s="36">
        <v>1024</v>
      </c>
      <c r="I62" s="6">
        <f t="shared" si="1"/>
        <v>52.10990217092931</v>
      </c>
      <c r="J62" s="6">
        <f t="shared" ref="J62" si="117">IF(ISNUMBER(H62),H62*E62,"")</f>
        <v>1024</v>
      </c>
      <c r="K62" s="6">
        <f t="shared" ref="K62" si="118">J62-D62*(I62)</f>
        <v>971.89009782907067</v>
      </c>
      <c r="L62" s="37">
        <v>22</v>
      </c>
      <c r="M62" s="4">
        <f t="shared" si="2"/>
        <v>1097.0505720195645</v>
      </c>
      <c r="N62" s="8">
        <f t="shared" si="91"/>
        <v>144.57390796609656</v>
      </c>
      <c r="O62" s="6">
        <v>650</v>
      </c>
      <c r="P62" s="6">
        <f t="shared" ref="P62" si="119">IF(ISNUMBER(O62),O62*E62,"")</f>
        <v>650</v>
      </c>
      <c r="Q62" s="6">
        <f t="shared" ref="Q62" si="120">IF(ISERROR(P62/M62),0,P62/M62)</f>
        <v>0.59249775404921634</v>
      </c>
      <c r="R62" s="6">
        <f t="shared" ref="R62" si="121">IF(ISERROR((N62+P62)/M62),0,(N62+P62)/M62)</f>
        <v>0.72428193214772452</v>
      </c>
      <c r="S62" s="3">
        <f>IF($P62=0,"-",(VLOOKUP(L62,APP!B15:H59,6)*$G62)/($P62+$N62))</f>
        <v>4.4696207167068662</v>
      </c>
      <c r="T62" s="6">
        <f t="shared" ref="T62" si="122">IF(ISERROR(RK62/M62),0,K62/M62)</f>
        <v>0.88591184637907305</v>
      </c>
      <c r="U62" s="6">
        <f t="shared" ref="U62" si="123">IF(ISERROR(K62/M62),0,(K62+N62)/M62)</f>
        <v>1.0176960244775812</v>
      </c>
      <c r="V62" s="3">
        <f>IF($P62=0,"-",(VLOOKUP(L62,APP!$B$13:$G$57,4)*$G62)/($K62+$N62))</f>
        <v>2.8920000853053711</v>
      </c>
      <c r="W62" s="9"/>
      <c r="X62" s="9"/>
    </row>
    <row r="63" spans="1:24" ht="37.5">
      <c r="A63" s="3" t="s">
        <v>55</v>
      </c>
      <c r="B63" s="3" t="s">
        <v>26</v>
      </c>
      <c r="C63" s="3" t="s">
        <v>56</v>
      </c>
      <c r="D63" s="3">
        <v>43</v>
      </c>
      <c r="E63" s="3">
        <v>46</v>
      </c>
      <c r="F63" s="19">
        <v>46.745600000000003</v>
      </c>
      <c r="G63" s="4">
        <f t="shared" si="11"/>
        <v>2150.2976000000003</v>
      </c>
      <c r="H63" s="6">
        <v>425</v>
      </c>
      <c r="I63" s="6">
        <f t="shared" si="1"/>
        <v>27.531056008133046</v>
      </c>
      <c r="J63" s="6">
        <f t="shared" si="12"/>
        <v>19550</v>
      </c>
      <c r="K63" s="6">
        <f t="shared" si="13"/>
        <v>18366.164591650278</v>
      </c>
      <c r="L63" s="21">
        <v>20</v>
      </c>
      <c r="M63" s="4">
        <f t="shared" si="2"/>
        <v>26661.654239455158</v>
      </c>
      <c r="N63" s="8">
        <f t="shared" si="91"/>
        <v>3709.7485360634646</v>
      </c>
      <c r="O63" s="6">
        <v>300</v>
      </c>
      <c r="P63" s="6">
        <f t="shared" si="14"/>
        <v>13800</v>
      </c>
      <c r="Q63" s="6">
        <f t="shared" si="15"/>
        <v>0.5175972907029196</v>
      </c>
      <c r="R63" s="6">
        <f t="shared" si="16"/>
        <v>0.65673901472143925</v>
      </c>
      <c r="S63" s="3">
        <f>IF($P63=0,"-",(VLOOKUP(L63,APP!B16:H60,6)*$G63)/($P63+$N63))</f>
        <v>4.8250374658432387</v>
      </c>
      <c r="T63" s="6">
        <f t="shared" si="17"/>
        <v>0.68886065458275925</v>
      </c>
      <c r="U63" s="6">
        <f t="shared" si="18"/>
        <v>0.8280023786012789</v>
      </c>
      <c r="V63" s="3">
        <f>IF($P63=0,"-",(VLOOKUP(L63,APP!$B$13:$G$57,4)*$G63)/($K63+$N63))</f>
        <v>3.4792957295875433</v>
      </c>
      <c r="W63" s="9"/>
      <c r="X63" s="9"/>
    </row>
    <row r="64" spans="1:24" ht="37.5">
      <c r="A64" s="3" t="s">
        <v>55</v>
      </c>
      <c r="B64" s="3" t="s">
        <v>28</v>
      </c>
      <c r="C64" s="3" t="s">
        <v>56</v>
      </c>
      <c r="D64" s="3">
        <v>5</v>
      </c>
      <c r="E64" s="3">
        <v>6</v>
      </c>
      <c r="F64" s="19">
        <v>51.603299999999997</v>
      </c>
      <c r="G64" s="4">
        <f t="shared" si="11"/>
        <v>309.6198</v>
      </c>
      <c r="H64" s="6">
        <v>425</v>
      </c>
      <c r="I64" s="6">
        <f t="shared" si="1"/>
        <v>30.392022832191518</v>
      </c>
      <c r="J64" s="6">
        <f t="shared" si="12"/>
        <v>2550</v>
      </c>
      <c r="K64" s="6">
        <f t="shared" si="13"/>
        <v>2398.0398858390422</v>
      </c>
      <c r="L64" s="21">
        <v>20</v>
      </c>
      <c r="M64" s="4">
        <f t="shared" si="2"/>
        <v>3838.9923577505074</v>
      </c>
      <c r="N64" s="8">
        <f t="shared" si="91"/>
        <v>534.16401515132713</v>
      </c>
      <c r="O64" s="6">
        <v>300</v>
      </c>
      <c r="P64" s="6">
        <f t="shared" si="14"/>
        <v>1800</v>
      </c>
      <c r="Q64" s="6">
        <f t="shared" si="15"/>
        <v>0.46887303548963727</v>
      </c>
      <c r="R64" s="6">
        <f t="shared" si="16"/>
        <v>0.60801475950815687</v>
      </c>
      <c r="S64" s="3">
        <f>IF($P64=0,"-",(VLOOKUP(L64,APP!B16:H60,6)*$G64)/($P64+$N64))</f>
        <v>5.2116997190582293</v>
      </c>
      <c r="T64" s="6">
        <f t="shared" si="17"/>
        <v>0.62465346694365276</v>
      </c>
      <c r="U64" s="6">
        <f t="shared" si="18"/>
        <v>0.76379519096217241</v>
      </c>
      <c r="V64" s="3">
        <f>IF($P64=0,"-",(VLOOKUP(L64,APP!$B$13:$G$57,4)*$G64)/($K64+$N64))</f>
        <v>3.7717770078215054</v>
      </c>
      <c r="W64" s="9"/>
      <c r="X64" s="9"/>
    </row>
    <row r="65" spans="1:24" ht="37.5">
      <c r="A65" s="3" t="s">
        <v>55</v>
      </c>
      <c r="B65" s="3" t="s">
        <v>29</v>
      </c>
      <c r="C65" s="3" t="s">
        <v>56</v>
      </c>
      <c r="D65" s="3">
        <v>11</v>
      </c>
      <c r="E65" s="3">
        <v>12</v>
      </c>
      <c r="F65" s="19">
        <v>24.218299999999999</v>
      </c>
      <c r="G65" s="4">
        <f t="shared" si="11"/>
        <v>290.61959999999999</v>
      </c>
      <c r="H65" s="6">
        <v>425</v>
      </c>
      <c r="I65" s="6">
        <f t="shared" si="1"/>
        <v>14.263489477550154</v>
      </c>
      <c r="J65" s="6">
        <f t="shared" si="12"/>
        <v>5100</v>
      </c>
      <c r="K65" s="6">
        <f t="shared" si="13"/>
        <v>4943.1016157469485</v>
      </c>
      <c r="L65" s="21">
        <v>20</v>
      </c>
      <c r="M65" s="4">
        <f t="shared" si="2"/>
        <v>3603.4078680126704</v>
      </c>
      <c r="N65" s="8">
        <f t="shared" si="91"/>
        <v>501.38438309718128</v>
      </c>
      <c r="O65" s="6">
        <v>300</v>
      </c>
      <c r="P65" s="6">
        <f t="shared" si="14"/>
        <v>3600</v>
      </c>
      <c r="Q65" s="6">
        <f t="shared" si="15"/>
        <v>0.99905426525736318</v>
      </c>
      <c r="R65" s="6">
        <f t="shared" si="16"/>
        <v>1.1381959892758828</v>
      </c>
      <c r="S65" s="3">
        <f>IF($P65=0,"-",(VLOOKUP(L65,APP!B16:H60,6)*$G65)/($P65+$N65))</f>
        <v>2.7840463164238471</v>
      </c>
      <c r="T65" s="6">
        <f t="shared" si="17"/>
        <v>1.3717852091145979</v>
      </c>
      <c r="U65" s="6">
        <f t="shared" si="18"/>
        <v>1.5109269331331174</v>
      </c>
      <c r="V65" s="3">
        <f>IF($P65=0,"-",(VLOOKUP(L65,APP!$B$13:$G$57,4)*$G65)/($K65+$N65))</f>
        <v>1.9066872638122097</v>
      </c>
      <c r="W65" s="9"/>
      <c r="X65" s="9"/>
    </row>
    <row r="66" spans="1:24" ht="37.5">
      <c r="A66" s="3" t="s">
        <v>57</v>
      </c>
      <c r="B66" s="3" t="s">
        <v>26</v>
      </c>
      <c r="C66" s="3" t="s">
        <v>58</v>
      </c>
      <c r="D66" s="3">
        <v>413</v>
      </c>
      <c r="E66" s="3">
        <v>413</v>
      </c>
      <c r="F66" s="19">
        <v>46.138800000000003</v>
      </c>
      <c r="G66" s="4">
        <f t="shared" si="11"/>
        <v>19055.324400000001</v>
      </c>
      <c r="H66" s="6">
        <v>350</v>
      </c>
      <c r="I66" s="6">
        <f t="shared" si="1"/>
        <v>22.656009233563896</v>
      </c>
      <c r="J66" s="6">
        <f t="shared" si="12"/>
        <v>144550</v>
      </c>
      <c r="K66" s="6">
        <f t="shared" si="13"/>
        <v>135193.06818653812</v>
      </c>
      <c r="L66" s="21">
        <v>15</v>
      </c>
      <c r="M66" s="4">
        <f t="shared" si="2"/>
        <v>196988.03817814504</v>
      </c>
      <c r="N66" s="8">
        <f t="shared" si="91"/>
        <v>32874.734081977498</v>
      </c>
      <c r="O66" s="6">
        <v>150</v>
      </c>
      <c r="P66" s="6">
        <f t="shared" si="14"/>
        <v>61950</v>
      </c>
      <c r="Q66" s="6">
        <f t="shared" si="15"/>
        <v>0.31448610064320687</v>
      </c>
      <c r="R66" s="6">
        <f t="shared" si="16"/>
        <v>0.48137305675496539</v>
      </c>
      <c r="S66" s="3">
        <f>IF($P66=0,"-",(VLOOKUP(L66,APP!B16:H60,6)*$G66)/($P66+$N66))</f>
        <v>4.1557101362533251</v>
      </c>
      <c r="T66" s="6">
        <f t="shared" si="17"/>
        <v>0.68630090150081613</v>
      </c>
      <c r="U66" s="6">
        <f t="shared" si="18"/>
        <v>0.85318785761257465</v>
      </c>
      <c r="V66" s="3">
        <f>IF($P66=0,"-",(VLOOKUP(L66,APP!$B$13:$G$57,4)*$G66)/($K66+$N66))</f>
        <v>2.1315212901258342</v>
      </c>
      <c r="W66" s="9"/>
      <c r="X66" s="9"/>
    </row>
    <row r="67" spans="1:24" ht="37.5">
      <c r="A67" s="3" t="s">
        <v>57</v>
      </c>
      <c r="B67" s="3" t="s">
        <v>28</v>
      </c>
      <c r="C67" s="3" t="s">
        <v>58</v>
      </c>
      <c r="D67" s="3">
        <v>105</v>
      </c>
      <c r="E67" s="3">
        <v>105</v>
      </c>
      <c r="F67" s="19">
        <v>27.776</v>
      </c>
      <c r="G67" s="4">
        <f t="shared" si="11"/>
        <v>2916.48</v>
      </c>
      <c r="H67" s="6">
        <v>350</v>
      </c>
      <c r="I67" s="6">
        <f t="shared" si="1"/>
        <v>13.639134794824981</v>
      </c>
      <c r="J67" s="6">
        <f t="shared" si="12"/>
        <v>36750</v>
      </c>
      <c r="K67" s="6">
        <f t="shared" si="13"/>
        <v>35317.890846543378</v>
      </c>
      <c r="L67" s="21">
        <v>15</v>
      </c>
      <c r="M67" s="4">
        <f t="shared" si="2"/>
        <v>30149.666388560483</v>
      </c>
      <c r="N67" s="8">
        <f t="shared" si="91"/>
        <v>5031.5860513718526</v>
      </c>
      <c r="O67" s="6">
        <v>150</v>
      </c>
      <c r="P67" s="6">
        <f t="shared" si="14"/>
        <v>15750</v>
      </c>
      <c r="Q67" s="6">
        <f t="shared" si="15"/>
        <v>0.52239384001860578</v>
      </c>
      <c r="R67" s="6">
        <f t="shared" si="16"/>
        <v>0.68928079613036419</v>
      </c>
      <c r="S67" s="3">
        <f>IF($P67=0,"-",(VLOOKUP(L67,APP!B16:H60,6)*$G67)/($P67+$N67))</f>
        <v>2.9022234516127599</v>
      </c>
      <c r="T67" s="6">
        <f t="shared" si="17"/>
        <v>1.1714189600434135</v>
      </c>
      <c r="U67" s="6">
        <f t="shared" si="18"/>
        <v>1.3383059161551718</v>
      </c>
      <c r="V67" s="3">
        <f>IF($P67=0,"-",(VLOOKUP(L67,APP!$B$13:$G$57,4)*$G67)/($K67+$N67))</f>
        <v>1.3588732299732227</v>
      </c>
      <c r="W67" s="9"/>
      <c r="X67" s="9"/>
    </row>
    <row r="68" spans="1:24" ht="37.5">
      <c r="A68" s="3" t="s">
        <v>57</v>
      </c>
      <c r="B68" s="3" t="s">
        <v>29</v>
      </c>
      <c r="C68" s="3" t="s">
        <v>58</v>
      </c>
      <c r="D68" s="4">
        <v>1342</v>
      </c>
      <c r="E68" s="4">
        <v>1342</v>
      </c>
      <c r="F68" s="19">
        <v>39.835000000000001</v>
      </c>
      <c r="G68" s="4">
        <f t="shared" si="11"/>
        <v>53458.57</v>
      </c>
      <c r="H68" s="6">
        <v>350</v>
      </c>
      <c r="I68" s="6">
        <f t="shared" si="1"/>
        <v>19.560589521596089</v>
      </c>
      <c r="J68" s="6">
        <f t="shared" si="12"/>
        <v>469700</v>
      </c>
      <c r="K68" s="6">
        <f t="shared" si="13"/>
        <v>443449.68886201805</v>
      </c>
      <c r="L68" s="21">
        <v>15</v>
      </c>
      <c r="M68" s="4">
        <f t="shared" si="2"/>
        <v>552638.12922067277</v>
      </c>
      <c r="N68" s="8">
        <f t="shared" si="91"/>
        <v>92228.095216934729</v>
      </c>
      <c r="O68" s="6">
        <v>150</v>
      </c>
      <c r="P68" s="6">
        <f t="shared" si="14"/>
        <v>201300</v>
      </c>
      <c r="Q68" s="6">
        <f t="shared" si="15"/>
        <v>0.36425282541375159</v>
      </c>
      <c r="R68" s="6">
        <f t="shared" si="16"/>
        <v>0.53113978152551011</v>
      </c>
      <c r="S68" s="3">
        <f>IF($P68=0,"-",(VLOOKUP(L68,APP!B16:H60,6)*$G68)/($P68+$N68))</f>
        <v>3.7663284898944762</v>
      </c>
      <c r="T68" s="6">
        <f t="shared" si="17"/>
        <v>0.80242325929875369</v>
      </c>
      <c r="U68" s="6">
        <f t="shared" si="18"/>
        <v>0.9693102154105121</v>
      </c>
      <c r="V68" s="3">
        <f>IF($P68=0,"-",(VLOOKUP(L68,APP!$B$13:$G$57,4)*$G68)/($K68+$N68))</f>
        <v>1.8761672517893173</v>
      </c>
      <c r="W68" s="9"/>
      <c r="X68" s="9"/>
    </row>
    <row r="69" spans="1:24" ht="25.5" customHeight="1" thickBot="1">
      <c r="A69" s="3" t="s">
        <v>59</v>
      </c>
      <c r="B69" s="3" t="s">
        <v>26</v>
      </c>
      <c r="C69" s="3" t="s">
        <v>60</v>
      </c>
      <c r="D69" s="3">
        <v>100</v>
      </c>
      <c r="E69" s="3">
        <v>100</v>
      </c>
      <c r="F69" s="19">
        <v>24.51</v>
      </c>
      <c r="G69" s="4">
        <f t="shared" ref="G69" si="124">IF(ISNUMBER(E69),E69*F69,"")</f>
        <v>2451</v>
      </c>
      <c r="H69" s="6">
        <v>64.34</v>
      </c>
      <c r="I69" s="6">
        <f t="shared" si="1"/>
        <v>12.03539724298532</v>
      </c>
      <c r="J69" s="6">
        <f t="shared" ref="J69" si="125">IF(ISNUMBER(H69),H69*E69,"")</f>
        <v>6434</v>
      </c>
      <c r="K69" s="6">
        <f t="shared" ref="K69" si="126">J69-D69*(I69)</f>
        <v>5230.4602757014682</v>
      </c>
      <c r="L69" s="21">
        <v>15</v>
      </c>
      <c r="M69" s="4">
        <f t="shared" si="2"/>
        <v>25337.678406284882</v>
      </c>
      <c r="N69" s="8">
        <f t="shared" ref="N69:N98" si="127">(G69/VLOOKUP("TOTAL PROGRAM",$A$4:$G$213,7,FALSE))*$B$105</f>
        <v>4228.5280241635164</v>
      </c>
      <c r="O69" s="6">
        <v>25</v>
      </c>
      <c r="P69" s="6">
        <f t="shared" ref="P69" si="128">IF(ISNUMBER(O69),O69*E69,"")</f>
        <v>2500</v>
      </c>
      <c r="Q69" s="6">
        <f t="shared" ref="Q69" si="129">IF(ISERROR(P69/M69),0,P69/M69)</f>
        <v>9.8667287504126178E-2</v>
      </c>
      <c r="R69" s="6">
        <f t="shared" ref="R69" si="130">IF(ISERROR((N69+P69)/M69),0,(N69+P69)/M69)</f>
        <v>0.2655542436158847</v>
      </c>
      <c r="S69" s="3">
        <f>IF($P69=0,"-",(VLOOKUP(L69,APP!B15:H59,6)*$G69)/($P69+$N69))</f>
        <v>7.5331008235343297</v>
      </c>
      <c r="T69" s="6">
        <f t="shared" ref="T69" si="131">IF(ISERROR(RK69/M69),0,K69/M69)</f>
        <v>0.20643013112061914</v>
      </c>
      <c r="U69" s="6">
        <f t="shared" ref="U69" si="132">IF(ISERROR(K69/M69),0,(K69+N69)/M69)</f>
        <v>0.37331708723237766</v>
      </c>
      <c r="V69" s="3">
        <f>IF($P69=0,"-",(VLOOKUP(L69,APP!$B$13:$G$57,4)*$G69)/($K69+$N69))</f>
        <v>4.8714300662215342</v>
      </c>
      <c r="W69" s="9"/>
      <c r="X69" s="9"/>
    </row>
    <row r="70" spans="1:24" ht="29.25" customHeight="1" thickBot="1">
      <c r="A70" s="3" t="s">
        <v>59</v>
      </c>
      <c r="B70" s="3" t="s">
        <v>26</v>
      </c>
      <c r="C70" s="3" t="s">
        <v>60</v>
      </c>
      <c r="D70" s="3">
        <v>120</v>
      </c>
      <c r="E70" s="3">
        <v>121</v>
      </c>
      <c r="F70" s="19">
        <v>28.5</v>
      </c>
      <c r="G70" s="4">
        <f>IF(ISNUMBER(E70),E70*F70,"")+1</f>
        <v>3449.5</v>
      </c>
      <c r="H70" s="6">
        <v>64.34</v>
      </c>
      <c r="I70" s="6">
        <f t="shared" si="1"/>
        <v>13.994647956959673</v>
      </c>
      <c r="J70" s="6">
        <f t="shared" si="12"/>
        <v>7785.14</v>
      </c>
      <c r="K70" s="6">
        <f t="shared" si="13"/>
        <v>6105.7822451648399</v>
      </c>
      <c r="L70" s="21">
        <v>15</v>
      </c>
      <c r="M70" s="4">
        <f t="shared" si="2"/>
        <v>35659.861959396047</v>
      </c>
      <c r="N70" s="8">
        <f t="shared" si="127"/>
        <v>5951.1658177690933</v>
      </c>
      <c r="O70" s="6">
        <v>50</v>
      </c>
      <c r="P70" s="6">
        <f t="shared" si="14"/>
        <v>6050</v>
      </c>
      <c r="Q70" s="6">
        <f t="shared" si="15"/>
        <v>0.16965853672930106</v>
      </c>
      <c r="R70" s="6">
        <f t="shared" si="16"/>
        <v>0.33654549284105956</v>
      </c>
      <c r="S70" s="3">
        <f>IF($P70=0,"-",(VLOOKUP(L70,APP!B16:H60,6)*$G70)/($P70+$N70))</f>
        <v>5.9440608590191655</v>
      </c>
      <c r="T70" s="6">
        <f t="shared" si="17"/>
        <v>0.1712228233557708</v>
      </c>
      <c r="U70" s="6">
        <f t="shared" si="18"/>
        <v>0.33810977946752929</v>
      </c>
      <c r="V70" s="3">
        <f>IF($P70=0,"-",(VLOOKUP(L70,APP!$B$13:$G$57,4)*$G70)/($K70+$N70))</f>
        <v>5.3786911630951559</v>
      </c>
      <c r="W70" s="9"/>
      <c r="X70" s="9"/>
    </row>
    <row r="71" spans="1:24" ht="24.75" customHeight="1" thickBot="1">
      <c r="A71" s="3" t="s">
        <v>59</v>
      </c>
      <c r="B71" s="3" t="s">
        <v>28</v>
      </c>
      <c r="C71" s="3" t="s">
        <v>60</v>
      </c>
      <c r="D71" s="3">
        <v>15</v>
      </c>
      <c r="E71" s="3">
        <v>15</v>
      </c>
      <c r="F71" s="19">
        <v>24</v>
      </c>
      <c r="G71" s="4">
        <f t="shared" ref="G71" si="133">IF(ISNUMBER(E71),E71*F71,"")</f>
        <v>360</v>
      </c>
      <c r="H71" s="6">
        <v>64.34</v>
      </c>
      <c r="I71" s="6">
        <f t="shared" ref="I71:I98" si="134">PV($B$103,$L71,(-0.05*0.95*$F71))</f>
        <v>11.784966700597622</v>
      </c>
      <c r="J71" s="6">
        <f t="shared" ref="J71" si="135">IF(ISNUMBER(H71),H71*E71,"")</f>
        <v>965.1</v>
      </c>
      <c r="K71" s="6">
        <f t="shared" ref="K71" si="136">J71-D71*(I71)</f>
        <v>788.32549949103577</v>
      </c>
      <c r="L71" s="21">
        <v>15</v>
      </c>
      <c r="M71" s="4">
        <f t="shared" ref="M71:M98" si="137">PV($B$103,$L71,-$G71)</f>
        <v>3721.5684317676692</v>
      </c>
      <c r="N71" s="8">
        <f t="shared" si="127"/>
        <v>621.08122753931684</v>
      </c>
      <c r="O71" s="6">
        <v>25</v>
      </c>
      <c r="P71" s="6">
        <f t="shared" ref="P71" si="138">IF(ISNUMBER(O71),O71*E71,"")</f>
        <v>375</v>
      </c>
      <c r="Q71" s="6">
        <f t="shared" ref="Q71" si="139">IF(ISERROR(P71/M71),0,P71/M71)</f>
        <v>0.10076396736358886</v>
      </c>
      <c r="R71" s="6">
        <f t="shared" ref="R71" si="140">IF(ISERROR((N71+P71)/M71),0,(N71+P71)/M71)</f>
        <v>0.26765092347534736</v>
      </c>
      <c r="S71" s="3">
        <f>IF($P71=0,"-",(VLOOKUP(L71,APP!B15:H59,6)*$G71)/($P71+$N71))</f>
        <v>7.4740892551417373</v>
      </c>
      <c r="T71" s="6">
        <f t="shared" ref="T71" si="141">IF(ISERROR(RK71/M71),0,K71/M71)</f>
        <v>0.21182614640693231</v>
      </c>
      <c r="U71" s="6">
        <f t="shared" ref="U71" si="142">IF(ISERROR(K71/M71),0,(K71+N71)/M71)</f>
        <v>0.37871310251869078</v>
      </c>
      <c r="V71" s="3">
        <f>IF($P71=0,"-",(VLOOKUP(L71,APP!$B$13:$G$57,4)*$G71)/($K71+$N71))</f>
        <v>4.802020502811355</v>
      </c>
      <c r="W71" s="9"/>
      <c r="X71" s="9"/>
    </row>
    <row r="72" spans="1:24" ht="27" customHeight="1" thickBot="1">
      <c r="A72" s="3" t="s">
        <v>59</v>
      </c>
      <c r="B72" s="3" t="s">
        <v>28</v>
      </c>
      <c r="C72" s="3" t="s">
        <v>60</v>
      </c>
      <c r="D72" s="3">
        <v>17</v>
      </c>
      <c r="E72" s="3">
        <v>17</v>
      </c>
      <c r="F72" s="19">
        <v>28.75</v>
      </c>
      <c r="G72" s="4">
        <f t="shared" si="11"/>
        <v>488.75</v>
      </c>
      <c r="H72" s="6">
        <v>64.34</v>
      </c>
      <c r="I72" s="6">
        <f t="shared" si="134"/>
        <v>14.117408026757568</v>
      </c>
      <c r="J72" s="6">
        <f t="shared" si="12"/>
        <v>1093.78</v>
      </c>
      <c r="K72" s="6">
        <f t="shared" si="13"/>
        <v>853.78406354512128</v>
      </c>
      <c r="L72" s="21">
        <v>15</v>
      </c>
      <c r="M72" s="4">
        <f t="shared" si="137"/>
        <v>5052.5460306290242</v>
      </c>
      <c r="N72" s="8">
        <f t="shared" si="127"/>
        <v>843.20402766622533</v>
      </c>
      <c r="O72" s="6">
        <v>50</v>
      </c>
      <c r="P72" s="6">
        <f t="shared" si="14"/>
        <v>850</v>
      </c>
      <c r="Q72" s="6">
        <f t="shared" si="15"/>
        <v>0.16823201507660049</v>
      </c>
      <c r="R72" s="6">
        <f t="shared" si="16"/>
        <v>0.33511897118835893</v>
      </c>
      <c r="S72" s="3">
        <f>IF($P72=0,"-",(VLOOKUP(L72,APP!B16:H60,6)*$G72)/($P72+$N72))</f>
        <v>5.9693633105344954</v>
      </c>
      <c r="T72" s="6">
        <f t="shared" si="17"/>
        <v>0.1689809570005695</v>
      </c>
      <c r="U72" s="6">
        <f t="shared" si="18"/>
        <v>0.335867913112328</v>
      </c>
      <c r="V72" s="3">
        <f>IF($P72=0,"-",(VLOOKUP(L72,APP!$B$13:$G$57,4)*$G72)/($K72+$N72))</f>
        <v>5.4145930944282883</v>
      </c>
      <c r="W72" s="9"/>
      <c r="X72" s="9"/>
    </row>
    <row r="73" spans="1:24" ht="24" customHeight="1" thickBot="1">
      <c r="A73" s="3" t="s">
        <v>59</v>
      </c>
      <c r="B73" s="3" t="s">
        <v>29</v>
      </c>
      <c r="C73" s="3" t="s">
        <v>60</v>
      </c>
      <c r="D73" s="3">
        <v>46</v>
      </c>
      <c r="E73" s="3">
        <v>48</v>
      </c>
      <c r="F73" s="19">
        <v>22.539583329999999</v>
      </c>
      <c r="G73" s="4">
        <f t="shared" ref="G73" si="143">IF(ISNUMBER(E73),E73*F73,"")</f>
        <v>1081.89999984</v>
      </c>
      <c r="H73" s="6">
        <v>64.34</v>
      </c>
      <c r="I73" s="6">
        <f t="shared" si="134"/>
        <v>11.067843291224801</v>
      </c>
      <c r="J73" s="6">
        <f t="shared" ref="J73" si="144">IF(ISNUMBER(H73),H73*E73,"")</f>
        <v>3088.32</v>
      </c>
      <c r="K73" s="6">
        <f t="shared" ref="K73" si="145">J73-D73*(I73)</f>
        <v>2579.1992086036594</v>
      </c>
      <c r="L73" s="21">
        <v>15</v>
      </c>
      <c r="M73" s="4">
        <f t="shared" si="137"/>
        <v>11184.346904816641</v>
      </c>
      <c r="N73" s="8">
        <f t="shared" si="127"/>
        <v>1866.5216110428166</v>
      </c>
      <c r="O73" s="6">
        <v>25</v>
      </c>
      <c r="P73" s="6">
        <f t="shared" ref="P73" si="146">IF(ISNUMBER(O73),O73*E73,"")</f>
        <v>1200</v>
      </c>
      <c r="Q73" s="6">
        <f t="shared" ref="Q73" si="147">IF(ISERROR(P73/M73),0,P73/M73)</f>
        <v>0.10729280933544802</v>
      </c>
      <c r="R73" s="6">
        <f t="shared" ref="R73" si="148">IF(ISERROR((N73+P73)/M73),0,(N73+P73)/M73)</f>
        <v>0.27417976544720646</v>
      </c>
      <c r="S73" s="3">
        <f>IF($P73=0,"-",(VLOOKUP(L73,APP!B15:H59,6)*$G73)/($P73+$N73))</f>
        <v>7.296114241008949</v>
      </c>
      <c r="T73" s="6">
        <f t="shared" ref="T73" si="149">IF(ISERROR(RK73/M73),0,K73/M73)</f>
        <v>0.2306079407723757</v>
      </c>
      <c r="U73" s="6">
        <f t="shared" ref="U73" si="150">IF(ISERROR(K73/M73),0,(K73+N73)/M73)</f>
        <v>0.3974948968841342</v>
      </c>
      <c r="V73" s="3">
        <f>IF($P73=0,"-",(VLOOKUP(L73,APP!$B$13:$G$57,4)*$G73)/($K73+$N73))</f>
        <v>4.5751230952485713</v>
      </c>
      <c r="W73" s="9"/>
      <c r="X73" s="9"/>
    </row>
    <row r="74" spans="1:24" ht="28.5" customHeight="1" thickBot="1">
      <c r="A74" s="3" t="s">
        <v>59</v>
      </c>
      <c r="B74" s="3" t="s">
        <v>29</v>
      </c>
      <c r="C74" s="3" t="s">
        <v>60</v>
      </c>
      <c r="D74" s="3">
        <v>67</v>
      </c>
      <c r="E74" s="3">
        <v>67</v>
      </c>
      <c r="F74" s="19">
        <v>25.3</v>
      </c>
      <c r="G74" s="4">
        <f t="shared" si="11"/>
        <v>1695.1000000000001</v>
      </c>
      <c r="H74" s="6">
        <v>64.34</v>
      </c>
      <c r="I74" s="6">
        <f t="shared" si="134"/>
        <v>12.423319063546659</v>
      </c>
      <c r="J74" s="6">
        <f t="shared" si="12"/>
        <v>4310.7800000000007</v>
      </c>
      <c r="K74" s="6">
        <f t="shared" si="13"/>
        <v>3478.4176227423745</v>
      </c>
      <c r="L74" s="21">
        <v>15</v>
      </c>
      <c r="M74" s="4">
        <f t="shared" si="137"/>
        <v>17523.418468581604</v>
      </c>
      <c r="N74" s="8">
        <f t="shared" si="127"/>
        <v>2924.429968894156</v>
      </c>
      <c r="O74" s="6">
        <v>50</v>
      </c>
      <c r="P74" s="6">
        <f t="shared" si="14"/>
        <v>3350</v>
      </c>
      <c r="Q74" s="6">
        <f t="shared" si="15"/>
        <v>0.19117274440522786</v>
      </c>
      <c r="R74" s="6">
        <f t="shared" si="16"/>
        <v>0.35805970051698627</v>
      </c>
      <c r="S74" s="3">
        <f>IF($P74=0,"-",(VLOOKUP(L74,APP!B16:H60,6)*$G74)/($P74+$N74))</f>
        <v>5.5869087986933508</v>
      </c>
      <c r="T74" s="6">
        <f t="shared" si="17"/>
        <v>0.19850108750064724</v>
      </c>
      <c r="U74" s="6">
        <f t="shared" si="18"/>
        <v>0.36538804361240568</v>
      </c>
      <c r="V74" s="3">
        <f>IF($P74=0,"-",(VLOOKUP(L74,APP!$B$13:$G$57,4)*$G74)/($K74+$N74))</f>
        <v>4.9771417395013708</v>
      </c>
      <c r="W74" s="9"/>
      <c r="X74" s="9"/>
    </row>
    <row r="75" spans="1:24" ht="23">
      <c r="A75" s="3" t="s">
        <v>61</v>
      </c>
      <c r="B75" s="3" t="s">
        <v>26</v>
      </c>
      <c r="C75" s="17" t="s">
        <v>48</v>
      </c>
      <c r="D75" s="3">
        <v>95</v>
      </c>
      <c r="E75" s="3">
        <v>97</v>
      </c>
      <c r="F75" s="19">
        <v>34.200000000000003</v>
      </c>
      <c r="G75" s="4">
        <f t="shared" ref="G75:G76" si="151">IF(ISNUMBER(E75),E75*F75,"")</f>
        <v>3317.4</v>
      </c>
      <c r="H75" s="6">
        <v>264.41000000000003</v>
      </c>
      <c r="I75" s="6">
        <f t="shared" si="134"/>
        <v>7.0215849268890747</v>
      </c>
      <c r="J75" s="6">
        <f>IF(ISNUMBER(H75),H75*E75,"")</f>
        <v>25647.770000000004</v>
      </c>
      <c r="K75" s="6">
        <f t="shared" ref="K75:K76" si="152">J75-D75*(I75)</f>
        <v>24980.719431945541</v>
      </c>
      <c r="L75" s="21">
        <v>5</v>
      </c>
      <c r="M75" s="4">
        <f t="shared" si="137"/>
        <v>14338.815534910322</v>
      </c>
      <c r="N75" s="8">
        <f t="shared" si="127"/>
        <v>5723.263511774805</v>
      </c>
      <c r="O75" s="6">
        <v>75</v>
      </c>
      <c r="P75" s="6">
        <f t="shared" ref="P75:P76" si="153">IF(ISNUMBER(O75),O75*E75,"")</f>
        <v>7275</v>
      </c>
      <c r="Q75" s="6">
        <f t="shared" ref="Q75:Q76" si="154">IF(ISERROR(P75/M75),0,P75/M75)</f>
        <v>0.50736408333643435</v>
      </c>
      <c r="R75" s="6">
        <f t="shared" ref="R75:R76" si="155">IF(ISERROR((N75+P75)/M75),0,(N75+P75)/M75)</f>
        <v>0.906508873074508</v>
      </c>
      <c r="S75" s="3">
        <f>IF($P75=0,"-",(VLOOKUP(L75,APP!B17:H61,6)*$G75)/($P75+$N75))</f>
        <v>1.5798037931296069</v>
      </c>
      <c r="T75" s="6">
        <f t="shared" ref="T75:T76" si="156">IF(ISERROR(RK75/M75),0,K75/M75)</f>
        <v>1.7421745451097872</v>
      </c>
      <c r="U75" s="6">
        <f t="shared" ref="U75:U76" si="157">IF(ISERROR(K75/M75),0,(K75+N75)/M75)</f>
        <v>2.1413193348478607</v>
      </c>
      <c r="V75" s="3">
        <f>IF($P75=0,"-",(VLOOKUP(L75,APP!$B$13:$G$57,4)*$G75)/($K75+$N75))</f>
        <v>0.60829117949402256</v>
      </c>
      <c r="W75" s="9"/>
      <c r="X75" s="9"/>
    </row>
    <row r="76" spans="1:24" ht="23">
      <c r="A76" s="3" t="s">
        <v>61</v>
      </c>
      <c r="B76" s="3" t="s">
        <v>28</v>
      </c>
      <c r="C76" s="17" t="s">
        <v>48</v>
      </c>
      <c r="D76" s="3">
        <v>35</v>
      </c>
      <c r="E76" s="3">
        <v>35</v>
      </c>
      <c r="F76" s="19">
        <v>34.51</v>
      </c>
      <c r="G76" s="4">
        <f t="shared" si="151"/>
        <v>1207.8499999999999</v>
      </c>
      <c r="H76" s="6">
        <v>264.41000000000003</v>
      </c>
      <c r="I76" s="6">
        <f t="shared" si="134"/>
        <v>7.0852308721328061</v>
      </c>
      <c r="J76" s="6">
        <f t="shared" ref="J76" si="158">IF(ISNUMBER(H76),H76*E76,"")</f>
        <v>9254.35</v>
      </c>
      <c r="K76" s="6">
        <f t="shared" si="152"/>
        <v>9006.3669194753529</v>
      </c>
      <c r="L76" s="21">
        <v>5</v>
      </c>
      <c r="M76" s="4">
        <f t="shared" si="137"/>
        <v>5220.6964320978568</v>
      </c>
      <c r="N76" s="8">
        <f t="shared" si="127"/>
        <v>2083.8137796760107</v>
      </c>
      <c r="O76" s="6">
        <v>75</v>
      </c>
      <c r="P76" s="6">
        <f t="shared" si="153"/>
        <v>2625</v>
      </c>
      <c r="Q76" s="6">
        <f t="shared" si="154"/>
        <v>0.50280648073329637</v>
      </c>
      <c r="R76" s="6">
        <f t="shared" si="155"/>
        <v>0.90195127047137014</v>
      </c>
      <c r="S76" s="3">
        <f>IF($P76=0,"-",(VLOOKUP(L76,APP!B16:H60,6)*$G76)/($P76+$N76))</f>
        <v>1.5877866167207879</v>
      </c>
      <c r="T76" s="6">
        <f t="shared" si="156"/>
        <v>1.725127487609212</v>
      </c>
      <c r="U76" s="6">
        <f t="shared" si="157"/>
        <v>2.124272277347286</v>
      </c>
      <c r="V76" s="3">
        <f>IF($P76=0,"-",(VLOOKUP(L76,APP!$B$13:$G$57,4)*$G76)/($K76+$N76))</f>
        <v>0.61317265105701657</v>
      </c>
      <c r="W76" s="9"/>
      <c r="X76" s="9"/>
    </row>
    <row r="77" spans="1:24" ht="23">
      <c r="A77" s="3" t="s">
        <v>61</v>
      </c>
      <c r="B77" s="3" t="s">
        <v>29</v>
      </c>
      <c r="C77" s="17" t="s">
        <v>48</v>
      </c>
      <c r="D77" s="3">
        <v>181</v>
      </c>
      <c r="E77" s="3">
        <v>186</v>
      </c>
      <c r="F77" s="19">
        <v>30.37</v>
      </c>
      <c r="G77" s="4">
        <f t="shared" ref="G77" si="159">IF(ISNUMBER(E77),E77*F77,"")</f>
        <v>5648.8200000000006</v>
      </c>
      <c r="H77" s="6">
        <v>264.41000000000003</v>
      </c>
      <c r="I77" s="6">
        <f t="shared" si="134"/>
        <v>6.2352495388778131</v>
      </c>
      <c r="J77" s="6">
        <f>IF(ISNUMBER(H77),H77*E77,"")</f>
        <v>49180.26</v>
      </c>
      <c r="K77" s="6">
        <f t="shared" ref="K77" si="160">J77-D77*(I77)</f>
        <v>48051.679833463117</v>
      </c>
      <c r="L77" s="21">
        <v>5</v>
      </c>
      <c r="M77" s="4">
        <f t="shared" si="137"/>
        <v>24415.92451013207</v>
      </c>
      <c r="N77" s="8">
        <f t="shared" si="127"/>
        <v>9745.4890548573458</v>
      </c>
      <c r="O77" s="6">
        <v>75</v>
      </c>
      <c r="P77" s="6">
        <f t="shared" ref="P77" si="161">IF(ISNUMBER(O77),O77*E77,"")</f>
        <v>13950</v>
      </c>
      <c r="Q77" s="6">
        <f t="shared" ref="Q77" si="162">IF(ISERROR(P77/M77),0,P77/M77)</f>
        <v>0.57134842443549727</v>
      </c>
      <c r="R77" s="6">
        <f t="shared" ref="R77" si="163">IF(ISERROR((N77+P77)/M77),0,(N77+P77)/M77)</f>
        <v>0.97049321417357104</v>
      </c>
      <c r="S77" s="3">
        <f>IF($P77=0,"-",(VLOOKUP(L77,APP!B17:H61,6)*$G77)/($P77+$N77))</f>
        <v>1.4756477791637845</v>
      </c>
      <c r="T77" s="6">
        <f t="shared" ref="T77" si="164">IF(ISERROR(RK77/M77),0,K77/M77)</f>
        <v>1.9680467071202947</v>
      </c>
      <c r="U77" s="6">
        <f t="shared" ref="U77" si="165">IF(ISERROR(K77/M77),0,(K77+N77)/M77)</f>
        <v>2.3671914968583683</v>
      </c>
      <c r="V77" s="3">
        <f>IF($P77=0,"-",(VLOOKUP(L77,APP!$B$13:$G$57,4)*$G77)/($K77+$N77))</f>
        <v>0.55024938438510029</v>
      </c>
      <c r="W77" s="9"/>
      <c r="X77" s="9"/>
    </row>
    <row r="78" spans="1:24" ht="25">
      <c r="A78" s="3" t="s">
        <v>62</v>
      </c>
      <c r="B78" s="3" t="s">
        <v>26</v>
      </c>
      <c r="C78" s="3" t="s">
        <v>63</v>
      </c>
      <c r="D78" s="3">
        <v>17</v>
      </c>
      <c r="E78">
        <v>17432</v>
      </c>
      <c r="F78" s="30">
        <f>G78/E78</f>
        <v>7.0137104176227635E-2</v>
      </c>
      <c r="G78" s="4">
        <v>1222.6300000000001</v>
      </c>
      <c r="H78" s="6">
        <v>1.18</v>
      </c>
      <c r="I78" s="6">
        <f t="shared" si="134"/>
        <v>5.8698360410165622E-2</v>
      </c>
      <c r="J78" s="6">
        <f t="shared" si="12"/>
        <v>20569.759999999998</v>
      </c>
      <c r="K78" s="6">
        <f t="shared" si="13"/>
        <v>20568.762127873026</v>
      </c>
      <c r="L78" s="21">
        <v>45</v>
      </c>
      <c r="M78" s="4">
        <f t="shared" si="137"/>
        <v>21541.680393052782</v>
      </c>
      <c r="N78" s="8">
        <f t="shared" si="127"/>
        <v>2109.3126145177644</v>
      </c>
      <c r="O78" s="6">
        <v>2</v>
      </c>
      <c r="P78" s="6">
        <f t="shared" si="14"/>
        <v>34864</v>
      </c>
      <c r="Q78" s="6">
        <f t="shared" si="15"/>
        <v>1.6184438429995314</v>
      </c>
      <c r="R78" s="6">
        <f t="shared" si="16"/>
        <v>1.7163615808932764</v>
      </c>
      <c r="S78" s="3">
        <f>IF($P78=0,"-",(VLOOKUP(L78,APP!B16:H60,6)*$G78)/($P78+$N78))</f>
        <v>3.186092675227187</v>
      </c>
      <c r="T78" s="6">
        <f t="shared" si="17"/>
        <v>0.95483554451520303</v>
      </c>
      <c r="U78" s="6">
        <f t="shared" si="18"/>
        <v>1.0527532824089478</v>
      </c>
      <c r="V78" s="3">
        <f>IF($P78=0,"-",(VLOOKUP(L78,APP!$B$13:$G$57,4)*$G78)/($K78+$N78))</f>
        <v>4.7221892914843728</v>
      </c>
      <c r="W78" s="9"/>
      <c r="X78" s="9"/>
    </row>
    <row r="79" spans="1:24" ht="25">
      <c r="A79" s="3" t="s">
        <v>62</v>
      </c>
      <c r="B79" s="3" t="s">
        <v>28</v>
      </c>
      <c r="C79" s="3" t="s">
        <v>63</v>
      </c>
      <c r="D79" s="3">
        <v>4</v>
      </c>
      <c r="E79">
        <v>4255</v>
      </c>
      <c r="F79" s="30">
        <f t="shared" ref="F79:F83" si="166">G79/E79</f>
        <v>6.6937720329024675E-2</v>
      </c>
      <c r="G79" s="4">
        <v>284.82</v>
      </c>
      <c r="H79" s="6">
        <v>1.18</v>
      </c>
      <c r="I79" s="6">
        <f t="shared" si="134"/>
        <v>5.6020767881085495E-2</v>
      </c>
      <c r="J79" s="6">
        <f t="shared" si="12"/>
        <v>5020.8999999999996</v>
      </c>
      <c r="K79" s="6">
        <f t="shared" si="13"/>
        <v>5020.6759169284751</v>
      </c>
      <c r="L79" s="21">
        <v>45</v>
      </c>
      <c r="M79" s="4">
        <f t="shared" si="137"/>
        <v>5018.2814175582907</v>
      </c>
      <c r="N79" s="8">
        <f t="shared" si="127"/>
        <v>491.3787645215229</v>
      </c>
      <c r="O79" s="6">
        <v>2</v>
      </c>
      <c r="P79" s="6">
        <f t="shared" si="14"/>
        <v>8510</v>
      </c>
      <c r="Q79" s="6">
        <f t="shared" si="15"/>
        <v>1.6957996756070028</v>
      </c>
      <c r="R79" s="6">
        <f t="shared" si="16"/>
        <v>1.7937174135007479</v>
      </c>
      <c r="S79" s="3">
        <f>IF($P79=0,"-",(VLOOKUP(L79,APP!B16:H60,6)*$G79)/($P79+$N79))</f>
        <v>3.0486892861527894</v>
      </c>
      <c r="T79" s="6">
        <f t="shared" si="17"/>
        <v>1.0004771552591305</v>
      </c>
      <c r="U79" s="6">
        <f t="shared" si="18"/>
        <v>1.0983948931528751</v>
      </c>
      <c r="V79" s="3">
        <f>IF($P79=0,"-",(VLOOKUP(L79,APP!$B$13:$G$57,4)*$G79)/($K79+$N79))</f>
        <v>4.5259681265421259</v>
      </c>
      <c r="W79" s="9"/>
      <c r="X79" s="9"/>
    </row>
    <row r="80" spans="1:24" ht="25">
      <c r="A80" s="3" t="s">
        <v>62</v>
      </c>
      <c r="B80" s="3" t="s">
        <v>29</v>
      </c>
      <c r="C80" s="3" t="s">
        <v>63</v>
      </c>
      <c r="D80" s="3">
        <v>12</v>
      </c>
      <c r="E80">
        <v>19303</v>
      </c>
      <c r="F80" s="30">
        <f t="shared" si="166"/>
        <v>7.1253691136092839E-2</v>
      </c>
      <c r="G80" s="4">
        <v>1375.41</v>
      </c>
      <c r="H80" s="6">
        <v>1.18</v>
      </c>
      <c r="I80" s="6">
        <f t="shared" si="134"/>
        <v>5.9632841874281646E-2</v>
      </c>
      <c r="J80" s="6">
        <f t="shared" si="12"/>
        <v>22777.539999999997</v>
      </c>
      <c r="K80" s="6">
        <f t="shared" si="13"/>
        <v>22776.824405897507</v>
      </c>
      <c r="L80" s="21">
        <v>45</v>
      </c>
      <c r="M80" s="4">
        <f t="shared" si="137"/>
        <v>24233.531509458076</v>
      </c>
      <c r="N80" s="8">
        <f t="shared" si="127"/>
        <v>2372.8925865829219</v>
      </c>
      <c r="O80" s="6">
        <v>2</v>
      </c>
      <c r="P80" s="6">
        <f t="shared" si="14"/>
        <v>38606</v>
      </c>
      <c r="Q80" s="6">
        <f t="shared" si="15"/>
        <v>1.59308188263574</v>
      </c>
      <c r="R80" s="6">
        <f t="shared" si="16"/>
        <v>1.6909996205294848</v>
      </c>
      <c r="S80" s="3">
        <f>IF($P80=0,"-",(VLOOKUP(L80,APP!B16:H60,6)*$G80)/($P80+$N80))</f>
        <v>3.233878348957365</v>
      </c>
      <c r="T80" s="6">
        <f t="shared" si="17"/>
        <v>0.93988878166634393</v>
      </c>
      <c r="U80" s="6">
        <f t="shared" si="18"/>
        <v>1.0378065195600887</v>
      </c>
      <c r="V80" s="3">
        <f>IF($P80=0,"-",(VLOOKUP(L80,APP!$B$13:$G$57,4)*$G80)/($K80+$N80))</f>
        <v>4.790199505466413</v>
      </c>
      <c r="W80" s="9"/>
      <c r="X80" s="9"/>
    </row>
    <row r="81" spans="1:24" ht="25.5" thickBot="1">
      <c r="A81" s="3" t="s">
        <v>64</v>
      </c>
      <c r="B81" s="3" t="s">
        <v>26</v>
      </c>
      <c r="C81" s="17" t="s">
        <v>65</v>
      </c>
      <c r="D81" s="3">
        <v>47</v>
      </c>
      <c r="E81">
        <v>42107</v>
      </c>
      <c r="F81" s="30">
        <f t="shared" si="166"/>
        <v>6.9999999999999993E-2</v>
      </c>
      <c r="G81" s="4">
        <v>2947.49</v>
      </c>
      <c r="H81" s="6">
        <v>1.18</v>
      </c>
      <c r="I81" s="6">
        <f t="shared" si="134"/>
        <v>5.8583616717159309E-2</v>
      </c>
      <c r="J81" s="6">
        <f t="shared" si="12"/>
        <v>49686.259999999995</v>
      </c>
      <c r="K81" s="6">
        <f t="shared" si="13"/>
        <v>49683.506570014288</v>
      </c>
      <c r="L81" s="21">
        <v>45</v>
      </c>
      <c r="M81" s="4">
        <f t="shared" si="137"/>
        <v>51932.217875987939</v>
      </c>
      <c r="N81" s="8">
        <f t="shared" si="127"/>
        <v>5085.0852982218366</v>
      </c>
      <c r="O81" s="6">
        <v>2</v>
      </c>
      <c r="P81" s="6">
        <f t="shared" si="14"/>
        <v>84214</v>
      </c>
      <c r="Q81" s="6">
        <f t="shared" si="15"/>
        <v>1.6216137774261763</v>
      </c>
      <c r="R81" s="6">
        <f t="shared" si="16"/>
        <v>1.7195315153199211</v>
      </c>
      <c r="S81" s="3">
        <f>IF($P81=0,"-",(VLOOKUP(L81,APP!B16:H60,6)*$G81)/($P81+$N81))</f>
        <v>3.1802191539990492</v>
      </c>
      <c r="T81" s="6">
        <f t="shared" si="17"/>
        <v>0.95669910899350608</v>
      </c>
      <c r="U81" s="6">
        <f t="shared" si="18"/>
        <v>1.0546168468872508</v>
      </c>
      <c r="V81" s="3">
        <f>IF($P81=0,"-",(VLOOKUP(L81,APP!$B$13:$G$57,4)*$G81)/($K81+$N81))</f>
        <v>4.7138449299758243</v>
      </c>
      <c r="W81" s="9"/>
      <c r="X81" s="9"/>
    </row>
    <row r="82" spans="1:24" ht="25.5" thickBot="1">
      <c r="A82" s="3" t="s">
        <v>64</v>
      </c>
      <c r="B82" s="3" t="s">
        <v>28</v>
      </c>
      <c r="C82" s="17" t="s">
        <v>65</v>
      </c>
      <c r="D82" s="3">
        <v>6</v>
      </c>
      <c r="E82">
        <v>3005</v>
      </c>
      <c r="F82" s="30">
        <f t="shared" si="166"/>
        <v>6.9999999999999993E-2</v>
      </c>
      <c r="G82" s="4">
        <v>210.35</v>
      </c>
      <c r="H82" s="6">
        <v>1.18</v>
      </c>
      <c r="I82" s="6">
        <f t="shared" si="134"/>
        <v>5.8583616717159309E-2</v>
      </c>
      <c r="J82" s="6">
        <f t="shared" si="12"/>
        <v>3545.8999999999996</v>
      </c>
      <c r="K82" s="6">
        <f t="shared" si="13"/>
        <v>3545.5484982996968</v>
      </c>
      <c r="L82" s="21">
        <v>45</v>
      </c>
      <c r="M82" s="4">
        <f t="shared" si="137"/>
        <v>3706.1845944223946</v>
      </c>
      <c r="N82" s="8">
        <f t="shared" si="127"/>
        <v>362.90121170248699</v>
      </c>
      <c r="O82" s="6">
        <v>2</v>
      </c>
      <c r="P82" s="6">
        <f t="shared" si="14"/>
        <v>6010</v>
      </c>
      <c r="Q82" s="6">
        <f t="shared" si="15"/>
        <v>1.6216137774261761</v>
      </c>
      <c r="R82" s="6">
        <f t="shared" si="16"/>
        <v>1.7195315153199209</v>
      </c>
      <c r="S82" s="3">
        <f>IF($P82=0,"-",(VLOOKUP(L82,APP!B16:H60,6)*$G82)/($P82+$N82))</f>
        <v>3.1802191539990496</v>
      </c>
      <c r="T82" s="6">
        <f t="shared" si="17"/>
        <v>0.95665728675132744</v>
      </c>
      <c r="U82" s="6">
        <f t="shared" si="18"/>
        <v>1.0545750246450722</v>
      </c>
      <c r="V82" s="3">
        <f>IF($P82=0,"-",(VLOOKUP(L82,APP!$B$13:$G$57,4)*$G82)/($K82+$N82))</f>
        <v>4.7140318712172213</v>
      </c>
      <c r="W82" s="9"/>
      <c r="X82" s="9"/>
    </row>
    <row r="83" spans="1:24" ht="25.5" thickBot="1">
      <c r="A83" s="3" t="s">
        <v>64</v>
      </c>
      <c r="B83" s="3" t="s">
        <v>29</v>
      </c>
      <c r="C83" s="17" t="s">
        <v>65</v>
      </c>
      <c r="D83" s="3">
        <v>31</v>
      </c>
      <c r="E83">
        <v>23812</v>
      </c>
      <c r="F83" s="30">
        <f t="shared" si="166"/>
        <v>6.9999999999999993E-2</v>
      </c>
      <c r="G83" s="4">
        <v>1666.84</v>
      </c>
      <c r="H83" s="6">
        <v>1.18</v>
      </c>
      <c r="I83" s="6">
        <f t="shared" si="134"/>
        <v>5.8583616717159309E-2</v>
      </c>
      <c r="J83" s="6">
        <f t="shared" si="12"/>
        <v>28098.16</v>
      </c>
      <c r="K83" s="6">
        <f t="shared" si="13"/>
        <v>28096.343907881768</v>
      </c>
      <c r="L83" s="21">
        <v>45</v>
      </c>
      <c r="M83" s="4">
        <f t="shared" si="137"/>
        <v>29368.275395136789</v>
      </c>
      <c r="N83" s="8">
        <f t="shared" si="127"/>
        <v>2875.6750925323195</v>
      </c>
      <c r="O83" s="6">
        <v>2</v>
      </c>
      <c r="P83" s="6">
        <f t="shared" si="14"/>
        <v>47624</v>
      </c>
      <c r="Q83" s="6">
        <f t="shared" si="15"/>
        <v>1.6216137774261763</v>
      </c>
      <c r="R83" s="6">
        <f t="shared" si="16"/>
        <v>1.7195315153199213</v>
      </c>
      <c r="S83" s="3">
        <f>IF($P83=0,"-",(VLOOKUP(L83,APP!B16:H60,6)*$G83)/($P83+$N83))</f>
        <v>3.1802191539990492</v>
      </c>
      <c r="T83" s="6">
        <f t="shared" si="17"/>
        <v>0.95669029011265516</v>
      </c>
      <c r="U83" s="6">
        <f t="shared" si="18"/>
        <v>1.0546080280064001</v>
      </c>
      <c r="V83" s="3">
        <f>IF($P83=0,"-",(VLOOKUP(L83,APP!$B$13:$G$57,4)*$G83)/($K83+$N83))</f>
        <v>4.7138843482579551</v>
      </c>
      <c r="W83" s="9"/>
      <c r="X83" s="9"/>
    </row>
    <row r="84" spans="1:24" ht="25">
      <c r="A84" s="3" t="s">
        <v>66</v>
      </c>
      <c r="B84" s="3" t="s">
        <v>26</v>
      </c>
      <c r="C84" s="3" t="s">
        <v>67</v>
      </c>
      <c r="D84" s="3">
        <v>6</v>
      </c>
      <c r="E84" s="3">
        <v>6</v>
      </c>
      <c r="F84" s="19">
        <v>75</v>
      </c>
      <c r="G84" s="4">
        <f t="shared" ref="G84" si="167">IF(ISNUMBER(E84),E84*F84,"")</f>
        <v>450</v>
      </c>
      <c r="H84" s="6">
        <v>750</v>
      </c>
      <c r="I84" s="6">
        <f t="shared" si="134"/>
        <v>36.828020939367562</v>
      </c>
      <c r="J84" s="6">
        <f t="shared" ref="J84" si="168">IF(ISNUMBER(H84),H84*E84,"")</f>
        <v>4500</v>
      </c>
      <c r="K84" s="6">
        <f t="shared" ref="K84" si="169">J84-D84*(I84)</f>
        <v>4279.0318743637945</v>
      </c>
      <c r="L84" s="21">
        <v>15</v>
      </c>
      <c r="M84" s="4">
        <f t="shared" si="137"/>
        <v>4651.9605397095866</v>
      </c>
      <c r="N84" s="8">
        <f t="shared" si="127"/>
        <v>776.35153442414605</v>
      </c>
      <c r="O84" s="6">
        <v>300</v>
      </c>
      <c r="P84" s="6">
        <f t="shared" ref="P84" si="170">IF(ISNUMBER(O84),O84*E84,"")</f>
        <v>1800</v>
      </c>
      <c r="Q84" s="6">
        <f t="shared" ref="Q84" si="171">IF(ISERROR(P84/M84),0,P84/M84)</f>
        <v>0.38693363467618125</v>
      </c>
      <c r="R84" s="6">
        <f t="shared" ref="R84" si="172">IF(ISERROR((N84+P84)/M84),0,(N84+P84)/M84)</f>
        <v>0.55382059078793966</v>
      </c>
      <c r="S84" s="3">
        <f>IF($P84=0,"-",(VLOOKUP(L84,APP!B16:H60,6)*$G84)/($P84+$N84))</f>
        <v>3.6120847157917191</v>
      </c>
      <c r="T84" s="6">
        <f t="shared" ref="T84" si="173">IF(ISERROR(RK84/M84),0,K84/M84)</f>
        <v>0.91983408669045308</v>
      </c>
      <c r="U84" s="6">
        <f t="shared" ref="U84" si="174">IF(ISERROR(K84/M84),0,(K84+N84)/M84)</f>
        <v>1.0867210428022114</v>
      </c>
      <c r="V84" s="3">
        <f>IF($P84=0,"-",(VLOOKUP(L84,APP!$B$13:$G$57,4)*$G84)/($K84+$N84))</f>
        <v>1.6734635765298636</v>
      </c>
      <c r="W84" s="9"/>
      <c r="X84" s="9"/>
    </row>
    <row r="85" spans="1:24" ht="25">
      <c r="A85" s="3" t="s">
        <v>66</v>
      </c>
      <c r="B85" s="3" t="s">
        <v>26</v>
      </c>
      <c r="C85" s="3" t="s">
        <v>67</v>
      </c>
      <c r="D85" s="3">
        <v>8</v>
      </c>
      <c r="E85" s="3">
        <v>8</v>
      </c>
      <c r="F85" s="19">
        <v>52.83</v>
      </c>
      <c r="G85" s="4">
        <f t="shared" si="11"/>
        <v>422.64</v>
      </c>
      <c r="H85" s="6">
        <v>750</v>
      </c>
      <c r="I85" s="6">
        <f t="shared" si="134"/>
        <v>23.487546812547265</v>
      </c>
      <c r="J85" s="6">
        <f t="shared" si="12"/>
        <v>6000</v>
      </c>
      <c r="K85" s="6">
        <f t="shared" si="13"/>
        <v>5812.0996254996217</v>
      </c>
      <c r="L85" s="21">
        <v>13</v>
      </c>
      <c r="M85" s="4">
        <f t="shared" si="137"/>
        <v>3955.7973579026975</v>
      </c>
      <c r="N85" s="8">
        <f t="shared" si="127"/>
        <v>729.149361131158</v>
      </c>
      <c r="O85" s="6">
        <v>500</v>
      </c>
      <c r="P85" s="6">
        <f t="shared" si="14"/>
        <v>4000</v>
      </c>
      <c r="Q85" s="6">
        <f t="shared" si="15"/>
        <v>1.0111741421761651</v>
      </c>
      <c r="R85" s="6">
        <f t="shared" si="16"/>
        <v>1.1954983871161893</v>
      </c>
      <c r="S85" s="3">
        <f>IF($P85=0,"-",(VLOOKUP(L85,APP!B16:H60,6)*$G85)/($P85+$N85))</f>
        <v>1.582727426948868</v>
      </c>
      <c r="T85" s="6">
        <f t="shared" si="17"/>
        <v>1.4692612132642473</v>
      </c>
      <c r="U85" s="6">
        <f t="shared" si="18"/>
        <v>1.6535854582042717</v>
      </c>
      <c r="V85" s="3">
        <f>IF($P85=0,"-",(VLOOKUP(L85,APP!$B$13:$G$57,4)*$G85)/($K85+$N85))</f>
        <v>1.0402453742255142</v>
      </c>
      <c r="W85" s="9"/>
      <c r="X85" s="9"/>
    </row>
    <row r="86" spans="1:24" ht="25">
      <c r="A86" s="3" t="s">
        <v>66</v>
      </c>
      <c r="B86" s="3" t="s">
        <v>29</v>
      </c>
      <c r="C86" s="3" t="s">
        <v>67</v>
      </c>
      <c r="D86" s="3">
        <v>6</v>
      </c>
      <c r="E86" s="3">
        <v>6</v>
      </c>
      <c r="F86" s="19">
        <v>52.83</v>
      </c>
      <c r="G86" s="4">
        <f t="shared" si="11"/>
        <v>316.98</v>
      </c>
      <c r="H86" s="6">
        <v>750</v>
      </c>
      <c r="I86" s="6">
        <f t="shared" si="134"/>
        <v>23.487546812547265</v>
      </c>
      <c r="J86" s="6">
        <f t="shared" si="12"/>
        <v>4500</v>
      </c>
      <c r="K86" s="6">
        <f t="shared" si="13"/>
        <v>4359.0747191247165</v>
      </c>
      <c r="L86" s="21">
        <v>13</v>
      </c>
      <c r="M86" s="4">
        <f t="shared" si="137"/>
        <v>2966.8480184270229</v>
      </c>
      <c r="N86" s="8">
        <f t="shared" si="127"/>
        <v>546.86202084836862</v>
      </c>
      <c r="O86" s="6">
        <v>500</v>
      </c>
      <c r="P86" s="6">
        <f t="shared" si="14"/>
        <v>3000</v>
      </c>
      <c r="Q86" s="6">
        <f t="shared" si="15"/>
        <v>1.0111741421761651</v>
      </c>
      <c r="R86" s="6">
        <f t="shared" si="16"/>
        <v>1.1954983871161895</v>
      </c>
      <c r="S86" s="3">
        <f>IF($P86=0,"-",(VLOOKUP(L86,APP!B16:H60,6)*$G86)/($P86+$N86))</f>
        <v>1.582727426948868</v>
      </c>
      <c r="T86" s="6">
        <f t="shared" si="17"/>
        <v>1.4692612132642475</v>
      </c>
      <c r="U86" s="6">
        <f t="shared" si="18"/>
        <v>1.6535854582042722</v>
      </c>
      <c r="V86" s="3">
        <f>IF($P86=0,"-",(VLOOKUP(L86,APP!$B$13:$G$57,4)*$G86)/($K86+$N86))</f>
        <v>1.040245374225514</v>
      </c>
      <c r="W86" s="9"/>
      <c r="X86" s="9"/>
    </row>
    <row r="87" spans="1:24" ht="15" thickBot="1">
      <c r="A87" s="3" t="s">
        <v>68</v>
      </c>
      <c r="B87" s="3" t="s">
        <v>26</v>
      </c>
      <c r="C87" s="17" t="s">
        <v>69</v>
      </c>
      <c r="D87" s="3">
        <v>25</v>
      </c>
      <c r="E87">
        <v>3567.9</v>
      </c>
      <c r="F87" s="30">
        <f>G87/E87</f>
        <v>0.26250315311527789</v>
      </c>
      <c r="G87" s="4">
        <v>936.58500000000004</v>
      </c>
      <c r="H87" s="6">
        <v>23.09</v>
      </c>
      <c r="I87" s="6">
        <f t="shared" si="134"/>
        <v>0.21969120155930322</v>
      </c>
      <c r="J87" s="6">
        <f t="shared" si="12"/>
        <v>82382.811000000002</v>
      </c>
      <c r="K87" s="6">
        <f t="shared" si="13"/>
        <v>82377.318719961026</v>
      </c>
      <c r="L87" s="21">
        <v>45</v>
      </c>
      <c r="M87" s="4">
        <f t="shared" si="137"/>
        <v>16501.815537756589</v>
      </c>
      <c r="N87" s="8">
        <f t="shared" si="127"/>
        <v>1615.8204485969754</v>
      </c>
      <c r="O87" s="6">
        <v>5</v>
      </c>
      <c r="P87" s="6">
        <f t="shared" ref="P87:P93" si="175">IF(ISNUMBER(O87),O87*E87,"")</f>
        <v>17839.5</v>
      </c>
      <c r="Q87" s="6">
        <f t="shared" si="15"/>
        <v>1.0810628660333013</v>
      </c>
      <c r="R87" s="6">
        <f t="shared" si="16"/>
        <v>1.1789806039270461</v>
      </c>
      <c r="S87" s="3">
        <f>IF($P87=0,"-",(VLOOKUP(L87,APP!B14:H58,6)*$G87)/($P87+$N87))</f>
        <v>4.6383180882794282</v>
      </c>
      <c r="T87" s="6">
        <f t="shared" si="17"/>
        <v>4.9920154865068964</v>
      </c>
      <c r="U87" s="6">
        <f t="shared" si="18"/>
        <v>5.0899332244006414</v>
      </c>
      <c r="V87" s="3">
        <f>IF($P87=0,"-",(VLOOKUP(L87,APP!$B$13:$G$57,4)*$G87)/($K87+$N87))</f>
        <v>0.97669263182759058</v>
      </c>
      <c r="W87" s="9"/>
      <c r="X87" s="9"/>
    </row>
    <row r="88" spans="1:24" ht="15" thickBot="1">
      <c r="A88" s="3" t="s">
        <v>68</v>
      </c>
      <c r="B88" s="3" t="s">
        <v>28</v>
      </c>
      <c r="C88" s="17" t="s">
        <v>69</v>
      </c>
      <c r="D88" s="3">
        <v>20</v>
      </c>
      <c r="E88">
        <v>3157.1</v>
      </c>
      <c r="F88" s="30">
        <f>G88/E88</f>
        <v>0.2684022995787273</v>
      </c>
      <c r="G88" s="4">
        <v>847.37289999999996</v>
      </c>
      <c r="H88" s="6">
        <v>23.09</v>
      </c>
      <c r="I88" s="6">
        <f t="shared" si="134"/>
        <v>0.22462824920749047</v>
      </c>
      <c r="J88" s="6">
        <f t="shared" ref="J88" si="176">IF(ISNUMBER(H88),H88*E88,"")</f>
        <v>72897.438999999998</v>
      </c>
      <c r="K88" s="6">
        <f t="shared" ref="K88" si="177">J88-D88*(I88)</f>
        <v>72892.946435015852</v>
      </c>
      <c r="L88" s="21">
        <v>45</v>
      </c>
      <c r="M88" s="4">
        <f t="shared" si="137"/>
        <v>14929.975696273013</v>
      </c>
      <c r="N88" s="8">
        <f t="shared" si="127"/>
        <v>1461.9094469876411</v>
      </c>
      <c r="O88" s="6">
        <v>5</v>
      </c>
      <c r="P88" s="6">
        <f t="shared" si="175"/>
        <v>15785.5</v>
      </c>
      <c r="Q88" s="6">
        <f t="shared" ref="Q88" si="178">IF(ISERROR(P88/M88),0,P88/M88)</f>
        <v>1.0573024578962009</v>
      </c>
      <c r="R88" s="6">
        <f t="shared" ref="R88" si="179">IF(ISERROR((N88+P88)/M88),0,(N88+P88)/M88)</f>
        <v>1.1552201957899455</v>
      </c>
      <c r="S88" s="3">
        <f>IF($P88=0,"-",(VLOOKUP(L88,APP!B15:H59,6)*$G88)/($P88+$N88))</f>
        <v>4.7337183688916049</v>
      </c>
      <c r="T88" s="6">
        <f t="shared" ref="T88" si="180">IF(ISERROR(RK88/M88),0,K88/M88)</f>
        <v>4.8823218415025416</v>
      </c>
      <c r="U88" s="6">
        <f t="shared" ref="U88" si="181">IF(ISERROR(K88/M88),0,(K88+N88)/M88)</f>
        <v>4.9802395793962866</v>
      </c>
      <c r="V88" s="3">
        <f>IF($P88=0,"-",(VLOOKUP(L88,APP!$B$13:$G$57,4)*$G88)/($K88+$N88))</f>
        <v>0.99820504566352342</v>
      </c>
      <c r="W88" s="9"/>
      <c r="X88" s="9"/>
    </row>
    <row r="89" spans="1:24" ht="15" thickBot="1">
      <c r="A89" s="3" t="s">
        <v>68</v>
      </c>
      <c r="B89" s="3" t="s">
        <v>29</v>
      </c>
      <c r="C89" s="17" t="s">
        <v>69</v>
      </c>
      <c r="D89" s="3">
        <v>46</v>
      </c>
      <c r="E89">
        <v>6974.83</v>
      </c>
      <c r="F89" s="30">
        <f>G89/E89</f>
        <v>0.25283324468123236</v>
      </c>
      <c r="G89" s="4">
        <v>1763.4689000000001</v>
      </c>
      <c r="H89" s="6">
        <v>23.09</v>
      </c>
      <c r="I89" s="6">
        <f t="shared" si="134"/>
        <v>0.21159836999658679</v>
      </c>
      <c r="J89" s="6">
        <f t="shared" ref="J89" si="182">IF(ISNUMBER(H89),H89*E89,"")</f>
        <v>161048.8247</v>
      </c>
      <c r="K89" s="6">
        <f t="shared" ref="K89" si="183">J89-D89*(I89)</f>
        <v>161039.09117498016</v>
      </c>
      <c r="L89" s="21">
        <v>45</v>
      </c>
      <c r="M89" s="4">
        <f t="shared" si="137"/>
        <v>31070.79282112197</v>
      </c>
      <c r="N89" s="8">
        <f t="shared" si="127"/>
        <v>3042.3817476094696</v>
      </c>
      <c r="O89" s="6">
        <v>5</v>
      </c>
      <c r="P89" s="6">
        <f t="shared" si="175"/>
        <v>34874.15</v>
      </c>
      <c r="Q89" s="6">
        <f t="shared" ref="Q89" si="184">IF(ISERROR(P89/M89),0,P89/M89)</f>
        <v>1.1224094023211568</v>
      </c>
      <c r="R89" s="6">
        <f t="shared" ref="R89" si="185">IF(ISERROR((N89+P89)/M89),0,(N89+P89)/M89)</f>
        <v>1.2203271402149016</v>
      </c>
      <c r="S89" s="3">
        <f>IF($P89=0,"-",(VLOOKUP(L89,APP!B15:H59,6)*$G89)/($P89+$N89))</f>
        <v>4.4811648292624326</v>
      </c>
      <c r="T89" s="6">
        <f t="shared" ref="T89" si="186">IF(ISERROR(RK89/M89),0,K89/M89)</f>
        <v>5.1829733506351197</v>
      </c>
      <c r="U89" s="6">
        <f t="shared" ref="U89" si="187">IF(ISERROR(K89/M89),0,(K89+N89)/M89)</f>
        <v>5.2808910885288647</v>
      </c>
      <c r="V89" s="3">
        <f>IF($P89=0,"-",(VLOOKUP(L89,APP!$B$13:$G$57,4)*$G89)/($K89+$N89))</f>
        <v>0.94137527046622882</v>
      </c>
      <c r="W89" s="9"/>
      <c r="X89" s="9"/>
    </row>
    <row r="90" spans="1:24" ht="15" thickBot="1">
      <c r="A90" s="3" t="s">
        <v>70</v>
      </c>
      <c r="B90" s="3" t="s">
        <v>26</v>
      </c>
      <c r="C90" s="3" t="s">
        <v>71</v>
      </c>
      <c r="D90" s="3">
        <v>3</v>
      </c>
      <c r="E90">
        <v>373.32</v>
      </c>
      <c r="F90" s="30">
        <f>G90/E90</f>
        <v>0.262991535411979</v>
      </c>
      <c r="G90" s="4">
        <v>98.18</v>
      </c>
      <c r="H90" s="6">
        <v>29.12</v>
      </c>
      <c r="I90" s="6">
        <f t="shared" si="134"/>
        <v>0.22009993300618011</v>
      </c>
      <c r="J90" s="6">
        <f t="shared" si="12"/>
        <v>10871.0784</v>
      </c>
      <c r="K90" s="6">
        <f t="shared" si="13"/>
        <v>10870.418100200981</v>
      </c>
      <c r="L90" s="21">
        <v>45</v>
      </c>
      <c r="M90" s="4">
        <f t="shared" si="137"/>
        <v>1729.8464629445721</v>
      </c>
      <c r="N90" s="8">
        <f t="shared" si="127"/>
        <v>169.38265255502816</v>
      </c>
      <c r="O90" s="6">
        <v>9</v>
      </c>
      <c r="P90" s="6">
        <f t="shared" si="175"/>
        <v>3359.88</v>
      </c>
      <c r="Q90" s="6">
        <f t="shared" si="15"/>
        <v>1.942299546215656</v>
      </c>
      <c r="R90" s="6">
        <f t="shared" si="16"/>
        <v>2.0402172841094011</v>
      </c>
      <c r="S90" s="3">
        <f>IF($P90=0,"-",(VLOOKUP(L90,APP!B16:H60,6)*$G90)/($P90+$N90))</f>
        <v>2.6803454237534976</v>
      </c>
      <c r="T90" s="6">
        <f t="shared" si="17"/>
        <v>6.2840363772500263</v>
      </c>
      <c r="U90" s="6">
        <f t="shared" si="18"/>
        <v>6.3819541151437713</v>
      </c>
      <c r="V90" s="3">
        <f>IF($P90=0,"-",(VLOOKUP(L90,APP!$B$13:$G$57,4)*$G90)/($K90+$N90))</f>
        <v>0.77896208388119459</v>
      </c>
      <c r="W90" s="9"/>
      <c r="X90" s="9"/>
    </row>
    <row r="91" spans="1:24" ht="15" thickBot="1">
      <c r="A91" s="3" t="s">
        <v>70</v>
      </c>
      <c r="B91" s="3" t="s">
        <v>28</v>
      </c>
      <c r="C91" s="3" t="s">
        <v>71</v>
      </c>
      <c r="D91" s="3">
        <v>1</v>
      </c>
      <c r="E91">
        <v>148.47999999999999</v>
      </c>
      <c r="F91" s="30">
        <f t="shared" ref="F91:F98" si="188">G91/E91</f>
        <v>0.34900323275862072</v>
      </c>
      <c r="G91" s="4">
        <v>51.82</v>
      </c>
      <c r="H91" s="6">
        <v>29.12</v>
      </c>
      <c r="I91" s="6">
        <f t="shared" si="134"/>
        <v>0.29208388029972249</v>
      </c>
      <c r="J91" s="6">
        <f t="shared" si="12"/>
        <v>4323.7375999999995</v>
      </c>
      <c r="K91" s="6">
        <f t="shared" si="13"/>
        <v>4323.4455161197002</v>
      </c>
      <c r="L91" s="21">
        <v>45</v>
      </c>
      <c r="M91" s="4">
        <f t="shared" si="137"/>
        <v>913.02346414532212</v>
      </c>
      <c r="N91" s="8">
        <f t="shared" si="127"/>
        <v>89.401192253020554</v>
      </c>
      <c r="O91" s="6">
        <v>9</v>
      </c>
      <c r="P91" s="6">
        <f t="shared" si="175"/>
        <v>1336.32</v>
      </c>
      <c r="Q91" s="6">
        <f t="shared" si="15"/>
        <v>1.4636206543179304</v>
      </c>
      <c r="R91" s="6">
        <f t="shared" si="16"/>
        <v>1.5615383922116752</v>
      </c>
      <c r="S91" s="3">
        <f>IF($P91=0,"-",(VLOOKUP(L91,APP!B16:H60,6)*$G91)/($P91+$N91))</f>
        <v>3.5019869432605906</v>
      </c>
      <c r="T91" s="6">
        <f t="shared" si="17"/>
        <v>4.7353060308990651</v>
      </c>
      <c r="U91" s="6">
        <f t="shared" si="18"/>
        <v>4.8332237687928101</v>
      </c>
      <c r="V91" s="3">
        <f>IF($P91=0,"-",(VLOOKUP(L91,APP!$B$13:$G$57,4)*$G91)/($K91+$N91))</f>
        <v>1.0285682009728745</v>
      </c>
      <c r="W91" s="9"/>
      <c r="X91" s="9"/>
    </row>
    <row r="92" spans="1:24" ht="15" thickBot="1">
      <c r="A92" s="3" t="s">
        <v>70</v>
      </c>
      <c r="B92" s="3" t="s">
        <v>29</v>
      </c>
      <c r="C92" s="3" t="s">
        <v>71</v>
      </c>
      <c r="D92" s="3">
        <v>2</v>
      </c>
      <c r="E92">
        <v>339.45</v>
      </c>
      <c r="F92" s="30">
        <f t="shared" si="188"/>
        <v>0.34900574458683165</v>
      </c>
      <c r="G92" s="4">
        <v>118.47</v>
      </c>
      <c r="H92" s="6">
        <v>29.12</v>
      </c>
      <c r="I92" s="6">
        <f t="shared" si="134"/>
        <v>0.29208598247088208</v>
      </c>
      <c r="J92" s="6">
        <f t="shared" si="12"/>
        <v>9884.7839999999997</v>
      </c>
      <c r="K92" s="6">
        <f t="shared" si="13"/>
        <v>9884.1998280350581</v>
      </c>
      <c r="L92" s="21">
        <v>45</v>
      </c>
      <c r="M92" s="4">
        <f t="shared" si="137"/>
        <v>2087.338668415598</v>
      </c>
      <c r="N92" s="8">
        <f t="shared" si="127"/>
        <v>204.38748062939689</v>
      </c>
      <c r="O92" s="6">
        <v>9</v>
      </c>
      <c r="P92" s="6">
        <f t="shared" si="175"/>
        <v>3055.0499999999997</v>
      </c>
      <c r="Q92" s="6">
        <f t="shared" si="15"/>
        <v>1.4636101204980534</v>
      </c>
      <c r="R92" s="6">
        <f t="shared" si="16"/>
        <v>1.5615278583917982</v>
      </c>
      <c r="S92" s="3">
        <f>IF($P92=0,"-",(VLOOKUP(L92,APP!B16:H60,6)*$G92)/($P92+$N92))</f>
        <v>3.5020105671104464</v>
      </c>
      <c r="T92" s="6">
        <f t="shared" si="17"/>
        <v>4.7353119920581435</v>
      </c>
      <c r="U92" s="6">
        <f t="shared" si="18"/>
        <v>4.8332297299518885</v>
      </c>
      <c r="V92" s="3">
        <f>IF($P92=0,"-",(VLOOKUP(L92,APP!$B$13:$G$57,4)*$G92)/($K92+$N92))</f>
        <v>1.0285669323680262</v>
      </c>
      <c r="W92" s="9"/>
      <c r="X92" s="9"/>
    </row>
    <row r="93" spans="1:24" ht="15" thickBot="1">
      <c r="A93" s="3" t="s">
        <v>72</v>
      </c>
      <c r="B93" s="3" t="s">
        <v>26</v>
      </c>
      <c r="C93" s="3" t="s">
        <v>73</v>
      </c>
      <c r="D93" s="3">
        <v>8</v>
      </c>
      <c r="E93">
        <v>944.76</v>
      </c>
      <c r="F93" s="30">
        <f t="shared" si="188"/>
        <v>0.22000296371565264</v>
      </c>
      <c r="G93" s="4">
        <v>207.85</v>
      </c>
      <c r="H93" s="6">
        <v>23.09</v>
      </c>
      <c r="I93" s="6">
        <f t="shared" si="134"/>
        <v>0.18412241861367004</v>
      </c>
      <c r="J93" s="6">
        <f t="shared" si="12"/>
        <v>21814.508399999999</v>
      </c>
      <c r="K93" s="6">
        <f t="shared" si="13"/>
        <v>21813.035420651089</v>
      </c>
      <c r="L93" s="21">
        <v>45</v>
      </c>
      <c r="M93" s="4">
        <f t="shared" si="137"/>
        <v>3662.1367623042297</v>
      </c>
      <c r="N93" s="8">
        <f t="shared" si="127"/>
        <v>358.58814762235284</v>
      </c>
      <c r="O93" s="6">
        <v>5</v>
      </c>
      <c r="P93" s="6">
        <f t="shared" si="175"/>
        <v>4723.8</v>
      </c>
      <c r="Q93" s="6">
        <f t="shared" si="15"/>
        <v>1.2899026733856243</v>
      </c>
      <c r="R93" s="6">
        <f t="shared" si="16"/>
        <v>1.3878204112793691</v>
      </c>
      <c r="S93" s="3">
        <f>IF($P93=0,"-",(VLOOKUP(L93,APP!B16:H60,6)*$G93)/($P93+$N93))</f>
        <v>3.9403420042541892</v>
      </c>
      <c r="T93" s="6">
        <f t="shared" si="17"/>
        <v>5.9563683271419521</v>
      </c>
      <c r="U93" s="6">
        <f t="shared" si="18"/>
        <v>6.0542860650356962</v>
      </c>
      <c r="V93" s="3">
        <f>IF($P93=0,"-",(VLOOKUP(L93,APP!$B$13:$G$57,4)*$G93)/($K93+$N93))</f>
        <v>0.82112080984684133</v>
      </c>
      <c r="W93" s="9"/>
      <c r="X93" s="9"/>
    </row>
    <row r="94" spans="1:24" ht="15" thickBot="1">
      <c r="A94" s="3" t="s">
        <v>72</v>
      </c>
      <c r="B94" s="3" t="s">
        <v>28</v>
      </c>
      <c r="C94" s="3" t="s">
        <v>73</v>
      </c>
      <c r="D94" s="3">
        <v>4</v>
      </c>
      <c r="E94">
        <v>489.96000000000004</v>
      </c>
      <c r="F94" s="30">
        <f t="shared" si="188"/>
        <v>0.29000326557269979</v>
      </c>
      <c r="G94" s="4">
        <v>142.09</v>
      </c>
      <c r="H94" s="6">
        <v>23.09</v>
      </c>
      <c r="I94" s="6">
        <f t="shared" si="134"/>
        <v>0.24270628795765153</v>
      </c>
      <c r="J94" s="6">
        <f t="shared" ref="J94:J98" si="189">IF(ISNUMBER(H94),H94*E94,"")</f>
        <v>11313.1764</v>
      </c>
      <c r="K94" s="6">
        <f t="shared" ref="K94:K98" si="190">J94-D94*(I94)</f>
        <v>11312.205574848169</v>
      </c>
      <c r="L94" s="21">
        <v>45</v>
      </c>
      <c r="M94" s="4">
        <f t="shared" si="137"/>
        <v>2503.50258626802</v>
      </c>
      <c r="N94" s="8">
        <f t="shared" si="127"/>
        <v>245.13731005850428</v>
      </c>
      <c r="O94" s="6">
        <v>5</v>
      </c>
      <c r="P94" s="6">
        <f t="shared" ref="P94:P98" si="191">IF(ISNUMBER(O94),O94*E94,"")</f>
        <v>2449.8000000000002</v>
      </c>
      <c r="Q94" s="6">
        <f t="shared" ref="Q94:Q99" si="192">IF(ISERROR(P94/M94),0,P94/M94)</f>
        <v>0.97854901905730629</v>
      </c>
      <c r="R94" s="6">
        <f t="shared" ref="R94:R99" si="193">IF(ISERROR((N94+P94)/M94),0,(N94+P94)/M94)</f>
        <v>1.0764667569510511</v>
      </c>
      <c r="S94" s="3">
        <f>IF($P94=0,"-",(VLOOKUP(L94,APP!B16:H60,6)*$G94)/($P94+$N94))</f>
        <v>5.0800333829297113</v>
      </c>
      <c r="T94" s="6">
        <f t="shared" ref="T94:T99" si="194">IF(ISERROR(RK94/M94),0,K94/M94)</f>
        <v>4.518551583248537</v>
      </c>
      <c r="U94" s="6">
        <f t="shared" ref="U94:U99" si="195">IF(ISERROR(K94/M94),0,(K94+N94)/M94)</f>
        <v>4.616469321142282</v>
      </c>
      <c r="V94" s="3">
        <f>IF($P94=0,"-",(VLOOKUP(L94,APP!$B$13:$G$57,4)*$G94)/($K94+$N94))</f>
        <v>1.0768619763158045</v>
      </c>
      <c r="W94" s="9"/>
      <c r="X94" s="9"/>
    </row>
    <row r="95" spans="1:24" ht="15" thickBot="1">
      <c r="A95" s="3" t="s">
        <v>72</v>
      </c>
      <c r="B95" s="3" t="s">
        <v>29</v>
      </c>
      <c r="C95" s="3" t="s">
        <v>73</v>
      </c>
      <c r="D95" s="3">
        <v>6</v>
      </c>
      <c r="E95">
        <v>786.07999999999993</v>
      </c>
      <c r="F95" s="30">
        <f t="shared" si="188"/>
        <v>0.29000865051903119</v>
      </c>
      <c r="G95" s="4">
        <v>227.97</v>
      </c>
      <c r="H95" s="6">
        <v>23.09</v>
      </c>
      <c r="I95" s="6">
        <f t="shared" si="134"/>
        <v>0.24271079466667897</v>
      </c>
      <c r="J95" s="6">
        <f t="shared" si="189"/>
        <v>18150.587199999998</v>
      </c>
      <c r="K95" s="6">
        <f t="shared" si="190"/>
        <v>18149.130935231999</v>
      </c>
      <c r="L95" s="21">
        <v>45</v>
      </c>
      <c r="M95" s="4">
        <f t="shared" si="137"/>
        <v>4016.6337151912207</v>
      </c>
      <c r="N95" s="8">
        <f t="shared" si="127"/>
        <v>393.29968733927245</v>
      </c>
      <c r="O95" s="6">
        <v>5</v>
      </c>
      <c r="P95" s="6">
        <f t="shared" si="191"/>
        <v>3930.3999999999996</v>
      </c>
      <c r="Q95" s="6">
        <f t="shared" si="192"/>
        <v>0.97853084913740618</v>
      </c>
      <c r="R95" s="6">
        <f t="shared" si="193"/>
        <v>1.0764485870311509</v>
      </c>
      <c r="S95" s="3">
        <f>IF($P95=0,"-",(VLOOKUP(L95,APP!B16:H60,6)*$G95)/($P95+$N95))</f>
        <v>5.0801191313813963</v>
      </c>
      <c r="T95" s="6">
        <f t="shared" si="194"/>
        <v>4.5184929027983252</v>
      </c>
      <c r="U95" s="6">
        <f t="shared" si="195"/>
        <v>4.6164106406920693</v>
      </c>
      <c r="V95" s="3">
        <f>IF($P95=0,"-",(VLOOKUP(L95,APP!$B$13:$G$57,4)*$G95)/($K95+$N95))</f>
        <v>1.0768756646010338</v>
      </c>
      <c r="W95" s="9"/>
      <c r="X95" s="9"/>
    </row>
    <row r="96" spans="1:24" ht="15" thickBot="1">
      <c r="A96" s="3" t="s">
        <v>74</v>
      </c>
      <c r="B96" s="3" t="s">
        <v>26</v>
      </c>
      <c r="C96" s="3" t="s">
        <v>69</v>
      </c>
      <c r="D96" s="3">
        <v>10</v>
      </c>
      <c r="E96">
        <v>1063.18</v>
      </c>
      <c r="F96" s="30">
        <f t="shared" si="188"/>
        <v>0.22000037622980115</v>
      </c>
      <c r="G96" s="4">
        <v>233.9</v>
      </c>
      <c r="H96" s="6">
        <v>23.09</v>
      </c>
      <c r="I96" s="6">
        <f t="shared" si="134"/>
        <v>0.18412025312396452</v>
      </c>
      <c r="J96" s="6">
        <f t="shared" si="189"/>
        <v>24548.8262</v>
      </c>
      <c r="K96" s="6">
        <f t="shared" si="190"/>
        <v>24546.98499746876</v>
      </c>
      <c r="L96" s="21">
        <v>45</v>
      </c>
      <c r="M96" s="4">
        <f t="shared" si="137"/>
        <v>4121.1151729755074</v>
      </c>
      <c r="N96" s="8">
        <f t="shared" si="127"/>
        <v>403.53027533735064</v>
      </c>
      <c r="O96" s="6">
        <v>5</v>
      </c>
      <c r="P96" s="6">
        <f t="shared" si="191"/>
        <v>5315.9000000000005</v>
      </c>
      <c r="Q96" s="6">
        <f t="shared" si="192"/>
        <v>1.2899178442911219</v>
      </c>
      <c r="R96" s="6">
        <f t="shared" si="193"/>
        <v>1.3878355821848667</v>
      </c>
      <c r="S96" s="3">
        <f>IF($P96=0,"-",(VLOOKUP(L96,APP!B16:H60,6)*$G96)/($P96+$N96))</f>
        <v>3.9402989310278347</v>
      </c>
      <c r="T96" s="6">
        <f t="shared" si="194"/>
        <v>5.95639383204752</v>
      </c>
      <c r="U96" s="6">
        <f t="shared" si="195"/>
        <v>6.0543115699412651</v>
      </c>
      <c r="V96" s="3">
        <f>IF($P96=0,"-",(VLOOKUP(L96,APP!$B$13:$G$57,4)*$G96)/($K96+$N96))</f>
        <v>0.82111735072378944</v>
      </c>
      <c r="W96" s="9"/>
      <c r="X96" s="9"/>
    </row>
    <row r="97" spans="1:24" ht="15" thickBot="1">
      <c r="A97" s="3" t="s">
        <v>74</v>
      </c>
      <c r="B97" s="3" t="s">
        <v>28</v>
      </c>
      <c r="C97" s="3" t="s">
        <v>69</v>
      </c>
      <c r="D97" s="3">
        <v>5</v>
      </c>
      <c r="E97">
        <v>333.98</v>
      </c>
      <c r="F97" s="30">
        <f t="shared" si="188"/>
        <v>0.28998742439667041</v>
      </c>
      <c r="G97" s="4">
        <v>96.85</v>
      </c>
      <c r="H97" s="6">
        <v>23.09</v>
      </c>
      <c r="I97" s="6">
        <f t="shared" si="134"/>
        <v>0.24269303033786793</v>
      </c>
      <c r="J97" s="6">
        <f t="shared" si="189"/>
        <v>7711.5982000000004</v>
      </c>
      <c r="K97" s="6">
        <f t="shared" si="190"/>
        <v>7710.3847348483114</v>
      </c>
      <c r="L97" s="21">
        <v>45</v>
      </c>
      <c r="M97" s="4">
        <f t="shared" si="137"/>
        <v>1706.413016257708</v>
      </c>
      <c r="N97" s="8">
        <f t="shared" si="127"/>
        <v>167.08810246439677</v>
      </c>
      <c r="O97" s="6">
        <v>5</v>
      </c>
      <c r="P97" s="6">
        <f t="shared" si="191"/>
        <v>1669.9</v>
      </c>
      <c r="Q97" s="6">
        <f t="shared" si="192"/>
        <v>0.97860247436591652</v>
      </c>
      <c r="R97" s="6">
        <f t="shared" si="193"/>
        <v>1.0765202122596613</v>
      </c>
      <c r="S97" s="3">
        <f>IF($P97=0,"-",(VLOOKUP(L97,APP!B16:H60,6)*$G97)/($P97+$N97))</f>
        <v>5.0797811305807601</v>
      </c>
      <c r="T97" s="6">
        <f t="shared" si="194"/>
        <v>4.5184751061954298</v>
      </c>
      <c r="U97" s="6">
        <f t="shared" si="195"/>
        <v>4.6163928440891748</v>
      </c>
      <c r="V97" s="3">
        <f>IF($P97=0,"-",(VLOOKUP(L97,APP!$B$13:$G$57,4)*$G97)/($K97+$N97))</f>
        <v>1.0768798160520081</v>
      </c>
      <c r="W97" s="9"/>
      <c r="X97" s="9"/>
    </row>
    <row r="98" spans="1:24" ht="15" thickBot="1">
      <c r="A98" s="3" t="s">
        <v>74</v>
      </c>
      <c r="B98" s="3" t="s">
        <v>29</v>
      </c>
      <c r="C98" s="3" t="s">
        <v>69</v>
      </c>
      <c r="D98" s="3">
        <v>9</v>
      </c>
      <c r="E98">
        <v>1704.5700000000002</v>
      </c>
      <c r="F98" s="30">
        <f t="shared" si="188"/>
        <v>0.28999689071144041</v>
      </c>
      <c r="G98" s="4">
        <v>494.32</v>
      </c>
      <c r="H98" s="6">
        <v>23.09</v>
      </c>
      <c r="I98" s="6">
        <f t="shared" si="134"/>
        <v>0.24270095278009948</v>
      </c>
      <c r="J98" s="6">
        <f t="shared" si="189"/>
        <v>39358.5213</v>
      </c>
      <c r="K98" s="6">
        <f t="shared" si="190"/>
        <v>39356.336991424978</v>
      </c>
      <c r="L98" s="21">
        <v>45</v>
      </c>
      <c r="M98" s="4">
        <f t="shared" si="137"/>
        <v>8709.489749060509</v>
      </c>
      <c r="N98" s="8">
        <f t="shared" si="127"/>
        <v>852.81353443676426</v>
      </c>
      <c r="O98" s="6">
        <v>5</v>
      </c>
      <c r="P98" s="6">
        <f t="shared" si="191"/>
        <v>8522.85</v>
      </c>
      <c r="Q98" s="6">
        <f t="shared" si="192"/>
        <v>0.97857053002667105</v>
      </c>
      <c r="R98" s="6">
        <f t="shared" si="193"/>
        <v>1.0764882679204157</v>
      </c>
      <c r="S98" s="3">
        <f>IF($P98=0,"-",(VLOOKUP(L98,APP!B16:H60,6)*$G98)/($P98+$N98))</f>
        <v>5.0799318709618344</v>
      </c>
      <c r="T98" s="6">
        <f t="shared" si="194"/>
        <v>4.5187879112746341</v>
      </c>
      <c r="U98" s="6">
        <f t="shared" si="195"/>
        <v>4.6167056491683791</v>
      </c>
      <c r="V98" s="3">
        <f>IF($P98=0,"-",(VLOOKUP(L98,APP!$B$13:$G$57,4)*$G98)/($K98+$N98))</f>
        <v>1.0768068520162319</v>
      </c>
      <c r="W98" s="9"/>
      <c r="X98" s="9"/>
    </row>
    <row r="99" spans="1:24">
      <c r="A99" s="50" t="s">
        <v>75</v>
      </c>
      <c r="B99" s="51" t="s">
        <v>76</v>
      </c>
      <c r="C99" s="51" t="s">
        <v>76</v>
      </c>
      <c r="D99" s="52">
        <f>SUM(D5:D98)</f>
        <v>8477</v>
      </c>
      <c r="E99" s="53">
        <f>SUM(E5:E98)</f>
        <v>4162661.81</v>
      </c>
      <c r="F99" s="25"/>
      <c r="G99" s="26">
        <f>SUM(G5:G98)</f>
        <v>670756.90187983972</v>
      </c>
      <c r="H99" s="54"/>
      <c r="I99" s="54"/>
      <c r="J99" s="54">
        <f>SUM(J5:J98)</f>
        <v>6545986.5813999986</v>
      </c>
      <c r="K99" s="54">
        <f>SUM(K5:K98)</f>
        <v>6400478.3660101052</v>
      </c>
      <c r="L99" s="55">
        <f>SUMPRODUCT(L5:L98,F5:F98)/SUM(L5:L98)</f>
        <v>29.259597908568601</v>
      </c>
      <c r="M99" s="26">
        <f>SUM(M5:M98)</f>
        <v>10229972.425971586</v>
      </c>
      <c r="N99" s="24">
        <f>B105</f>
        <v>1157207</v>
      </c>
      <c r="O99" s="56"/>
      <c r="P99" s="27">
        <f>SUM(P5:P98)-200466.71</f>
        <v>9334368.7400000039</v>
      </c>
      <c r="Q99" s="27">
        <f t="shared" si="192"/>
        <v>0.91245297165241157</v>
      </c>
      <c r="R99" s="27">
        <f t="shared" si="193"/>
        <v>1.0255722403869112</v>
      </c>
      <c r="S99" s="28">
        <f>IF(VALUE(LEFT($P99,11))=0,"-",(VLOOKUP(L99,APP!B16:G60,6)*VALUE(LEFT($G99,7)))/(VALUE(LEFT($P99,11))+$N99))</f>
        <v>3.4996824452224748</v>
      </c>
      <c r="T99" s="27">
        <f t="shared" si="194"/>
        <v>0.62565939569502049</v>
      </c>
      <c r="U99" s="27">
        <f t="shared" si="195"/>
        <v>0.73877866442952</v>
      </c>
      <c r="V99" s="28">
        <f>IF($P99=0,"-",(VLOOKUP(L99,APP!$B$13:$G$57,4)*$G99)/($K99+$N99))</f>
        <v>4.4162811523816208</v>
      </c>
      <c r="W99" s="9"/>
      <c r="X99" s="9"/>
    </row>
    <row r="100" spans="1:24" ht="15" thickBot="1">
      <c r="A100" s="2"/>
      <c r="B100" s="2"/>
      <c r="C100" s="2"/>
      <c r="D100" s="2"/>
      <c r="E100" s="2"/>
      <c r="F100" s="31"/>
      <c r="G100" s="2"/>
      <c r="H100" s="2"/>
      <c r="I100" s="2"/>
      <c r="J100" s="2"/>
      <c r="K100" s="2"/>
      <c r="L100" s="2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thickBot="1">
      <c r="A101" s="10" t="s">
        <v>77</v>
      </c>
      <c r="B101" s="11">
        <v>5.0599999999999999E-2</v>
      </c>
      <c r="C101" s="2"/>
      <c r="D101" s="2"/>
      <c r="E101" s="2"/>
      <c r="F101" s="31"/>
      <c r="G101" s="49"/>
      <c r="H101" s="2"/>
      <c r="I101" s="2"/>
      <c r="J101" s="12" t="s">
        <v>78</v>
      </c>
      <c r="K101" s="13">
        <f>J99-K99</f>
        <v>145508.21538989339</v>
      </c>
      <c r="L101" s="22"/>
      <c r="M101" s="2"/>
      <c r="N101" s="2"/>
      <c r="O101" s="2"/>
      <c r="P101" s="2" t="s">
        <v>79</v>
      </c>
      <c r="Q101" s="2"/>
      <c r="R101" s="2"/>
      <c r="S101" s="2"/>
      <c r="T101" s="2"/>
      <c r="U101" s="2"/>
      <c r="V101" s="2"/>
      <c r="W101" s="2"/>
      <c r="X101" s="2"/>
    </row>
    <row r="102" spans="1:24" ht="15" thickBot="1">
      <c r="A102" s="10" t="s">
        <v>80</v>
      </c>
      <c r="B102" s="11">
        <v>0.02</v>
      </c>
      <c r="C102" s="2"/>
      <c r="D102" s="2"/>
      <c r="E102" s="2"/>
      <c r="F102" s="31"/>
      <c r="G102" s="2"/>
      <c r="H102" s="2"/>
      <c r="I102" s="2"/>
      <c r="J102" s="2"/>
      <c r="K102" s="2"/>
      <c r="L102" s="2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8.5" thickBot="1">
      <c r="A103" s="10" t="s">
        <v>81</v>
      </c>
      <c r="B103" s="11">
        <v>5.0599999999999999E-2</v>
      </c>
      <c r="C103" s="2"/>
      <c r="D103" s="2"/>
      <c r="E103" s="2"/>
      <c r="F103" s="31"/>
      <c r="G103" s="2"/>
      <c r="H103" s="2"/>
      <c r="I103" s="2"/>
      <c r="J103" s="2"/>
      <c r="K103" s="2"/>
      <c r="L103" s="2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0.5" thickBot="1">
      <c r="A104" s="14"/>
      <c r="B104" s="15"/>
      <c r="C104" s="2"/>
      <c r="D104" s="2"/>
      <c r="E104" s="2"/>
      <c r="F104" s="31"/>
      <c r="G104" s="2"/>
      <c r="H104" s="2"/>
      <c r="I104" s="2"/>
      <c r="J104" s="2"/>
      <c r="K104" s="2"/>
      <c r="L104" s="2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70.5" customHeight="1" thickBot="1">
      <c r="A105" s="10" t="s">
        <v>82</v>
      </c>
      <c r="B105" s="16">
        <v>1157207</v>
      </c>
      <c r="C105" s="2"/>
      <c r="D105" s="2"/>
      <c r="E105" s="2"/>
      <c r="F105" s="31"/>
      <c r="G105" s="2"/>
      <c r="H105" s="2"/>
      <c r="I105" s="2"/>
      <c r="J105" s="2"/>
      <c r="K105" s="2"/>
      <c r="L105" s="2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7" spans="1:24">
      <c r="I107" s="7"/>
      <c r="J107" s="5"/>
      <c r="N107" s="7"/>
      <c r="O107" s="5"/>
    </row>
  </sheetData>
  <mergeCells count="3">
    <mergeCell ref="B1:V1"/>
    <mergeCell ref="B2:V2"/>
    <mergeCell ref="A3:V3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5DE4-9BC6-497F-ADDD-0ABF4E4B85F4}">
  <dimension ref="A1:I67"/>
  <sheetViews>
    <sheetView workbookViewId="0">
      <selection activeCell="L9" sqref="L9"/>
    </sheetView>
  </sheetViews>
  <sheetFormatPr defaultRowHeight="14.5"/>
  <cols>
    <col min="3" max="3" width="19.7265625" bestFit="1" customWidth="1"/>
    <col min="6" max="6" width="15.81640625" bestFit="1" customWidth="1"/>
  </cols>
  <sheetData>
    <row r="1" spans="1:9" ht="48.75" customHeight="1">
      <c r="A1" s="66" t="s">
        <v>83</v>
      </c>
      <c r="B1" s="66"/>
      <c r="C1" s="66"/>
      <c r="D1" s="66"/>
      <c r="E1" s="66"/>
      <c r="F1" s="66"/>
      <c r="G1" s="66"/>
      <c r="H1" s="66"/>
      <c r="I1" s="38"/>
    </row>
    <row r="2" spans="1:9">
      <c r="A2" s="66" t="s">
        <v>84</v>
      </c>
      <c r="B2" s="66"/>
      <c r="C2" s="66"/>
      <c r="D2" s="66"/>
      <c r="E2" s="66"/>
      <c r="F2" s="66"/>
      <c r="G2" s="66"/>
      <c r="H2" s="66"/>
      <c r="I2" s="38"/>
    </row>
    <row r="3" spans="1:9">
      <c r="A3" s="66" t="s">
        <v>85</v>
      </c>
      <c r="B3" s="66"/>
      <c r="C3" s="66"/>
      <c r="D3" s="66"/>
      <c r="E3" s="66"/>
      <c r="F3" s="66"/>
      <c r="G3" s="66"/>
      <c r="H3" s="66"/>
      <c r="I3" s="38"/>
    </row>
    <row r="4" spans="1:9">
      <c r="A4" s="66" t="s">
        <v>86</v>
      </c>
      <c r="B4" s="66"/>
      <c r="C4" s="66"/>
      <c r="D4" s="66"/>
      <c r="E4" s="66"/>
      <c r="F4" s="66"/>
      <c r="G4" s="66"/>
      <c r="H4" s="66"/>
      <c r="I4" s="38"/>
    </row>
    <row r="5" spans="1:9">
      <c r="A5" s="67"/>
      <c r="B5" s="67"/>
      <c r="C5" s="39"/>
      <c r="D5" s="39"/>
      <c r="E5" s="39"/>
      <c r="F5" s="39"/>
      <c r="G5" s="39"/>
      <c r="H5" s="39"/>
      <c r="I5" s="39"/>
    </row>
    <row r="6" spans="1:9">
      <c r="A6" s="69" t="s">
        <v>87</v>
      </c>
      <c r="B6" s="71" t="s">
        <v>88</v>
      </c>
      <c r="C6" s="41" t="s">
        <v>89</v>
      </c>
      <c r="D6" s="41" t="s">
        <v>90</v>
      </c>
      <c r="E6" s="41" t="s">
        <v>91</v>
      </c>
      <c r="F6" s="41" t="s">
        <v>92</v>
      </c>
      <c r="G6" s="41" t="s">
        <v>93</v>
      </c>
      <c r="H6" s="74" t="s">
        <v>87</v>
      </c>
      <c r="I6" s="67"/>
    </row>
    <row r="7" spans="1:9" ht="32.25" customHeight="1">
      <c r="A7" s="69"/>
      <c r="B7" s="72"/>
      <c r="C7" s="42" t="s">
        <v>94</v>
      </c>
      <c r="D7" s="42" t="s">
        <v>95</v>
      </c>
      <c r="E7" s="42" t="s">
        <v>96</v>
      </c>
      <c r="F7" s="42" t="s">
        <v>97</v>
      </c>
      <c r="G7" s="42" t="s">
        <v>98</v>
      </c>
      <c r="H7" s="74"/>
      <c r="I7" s="67"/>
    </row>
    <row r="8" spans="1:9" ht="32.25" customHeight="1">
      <c r="A8" s="69"/>
      <c r="B8" s="72"/>
      <c r="C8" s="42" t="s">
        <v>99</v>
      </c>
      <c r="D8" s="42" t="s">
        <v>100</v>
      </c>
      <c r="E8" s="42" t="s">
        <v>94</v>
      </c>
      <c r="F8" s="42" t="s">
        <v>101</v>
      </c>
      <c r="G8" s="42" t="s">
        <v>102</v>
      </c>
      <c r="H8" s="74"/>
      <c r="I8" s="67"/>
    </row>
    <row r="9" spans="1:9" ht="21.75" customHeight="1">
      <c r="A9" s="70"/>
      <c r="B9" s="73"/>
      <c r="C9" s="43" t="s">
        <v>103</v>
      </c>
      <c r="D9" s="43" t="s">
        <v>104</v>
      </c>
      <c r="E9" s="43" t="s">
        <v>105</v>
      </c>
      <c r="F9" s="43" t="s">
        <v>87</v>
      </c>
      <c r="G9" s="43" t="s">
        <v>106</v>
      </c>
      <c r="H9" s="74"/>
      <c r="I9" s="67"/>
    </row>
    <row r="10" spans="1:9" ht="21.75" customHeight="1">
      <c r="A10" s="40"/>
      <c r="B10" s="43"/>
      <c r="C10" s="43"/>
      <c r="D10" s="43"/>
      <c r="E10" s="43"/>
      <c r="F10" s="43"/>
      <c r="G10" s="43"/>
      <c r="H10" s="39"/>
      <c r="I10" s="39"/>
    </row>
    <row r="11" spans="1:9" ht="21.75" customHeight="1">
      <c r="A11" s="40"/>
      <c r="B11" s="43"/>
      <c r="C11" s="43"/>
      <c r="D11" s="43"/>
      <c r="E11" s="43"/>
      <c r="F11" s="43"/>
      <c r="G11" s="43"/>
      <c r="H11" s="39"/>
      <c r="I11" s="39"/>
    </row>
    <row r="12" spans="1:9" ht="21.75" customHeight="1">
      <c r="A12" s="40"/>
      <c r="B12" s="43"/>
      <c r="C12" s="43"/>
      <c r="D12" s="43"/>
      <c r="E12" s="43"/>
      <c r="F12" s="43"/>
      <c r="G12" s="43"/>
      <c r="H12" s="39"/>
      <c r="I12" s="39"/>
    </row>
    <row r="13" spans="1:9">
      <c r="A13" s="44">
        <v>2023</v>
      </c>
      <c r="B13" s="45">
        <v>1</v>
      </c>
      <c r="C13" s="46">
        <v>1.31</v>
      </c>
      <c r="D13" s="46">
        <v>1.31</v>
      </c>
      <c r="E13" s="46">
        <v>1.31</v>
      </c>
      <c r="F13" s="47">
        <v>0.1</v>
      </c>
      <c r="G13" s="46">
        <v>1.45</v>
      </c>
      <c r="H13" s="39"/>
      <c r="I13" s="39"/>
    </row>
    <row r="14" spans="1:9">
      <c r="A14" s="44">
        <v>2024</v>
      </c>
      <c r="B14" s="45">
        <v>2</v>
      </c>
      <c r="C14" s="46">
        <v>1.19</v>
      </c>
      <c r="D14" s="46">
        <v>1.25</v>
      </c>
      <c r="E14" s="46">
        <v>2.56</v>
      </c>
      <c r="F14" s="47">
        <v>0.1</v>
      </c>
      <c r="G14" s="46">
        <v>2.82</v>
      </c>
      <c r="H14" s="39"/>
      <c r="I14" s="39"/>
    </row>
    <row r="15" spans="1:9">
      <c r="A15" s="44">
        <v>2025</v>
      </c>
      <c r="B15" s="45">
        <v>3</v>
      </c>
      <c r="C15" s="46">
        <v>0.98</v>
      </c>
      <c r="D15" s="46">
        <v>1.08</v>
      </c>
      <c r="E15" s="46">
        <v>3.64</v>
      </c>
      <c r="F15" s="47">
        <v>0.1</v>
      </c>
      <c r="G15" s="46">
        <v>4.01</v>
      </c>
      <c r="H15" s="39"/>
      <c r="I15" s="39"/>
    </row>
    <row r="16" spans="1:9">
      <c r="A16" s="44">
        <v>2026</v>
      </c>
      <c r="B16" s="45">
        <v>4</v>
      </c>
      <c r="C16" s="46">
        <v>0.82</v>
      </c>
      <c r="D16" s="46">
        <v>0.95</v>
      </c>
      <c r="E16" s="46">
        <v>4.5999999999999996</v>
      </c>
      <c r="F16" s="47">
        <v>0.1</v>
      </c>
      <c r="G16" s="46">
        <v>5.0599999999999996</v>
      </c>
      <c r="H16" s="39"/>
      <c r="I16" s="39"/>
    </row>
    <row r="17" spans="1:9">
      <c r="A17" s="44">
        <v>2027</v>
      </c>
      <c r="B17" s="45">
        <v>5</v>
      </c>
      <c r="C17" s="46">
        <v>0.85</v>
      </c>
      <c r="D17" s="46">
        <v>1.03</v>
      </c>
      <c r="E17" s="46">
        <v>5.63</v>
      </c>
      <c r="F17" s="47">
        <v>0.1</v>
      </c>
      <c r="G17" s="46">
        <v>6.19</v>
      </c>
      <c r="H17" s="39"/>
      <c r="I17" s="39"/>
    </row>
    <row r="18" spans="1:9">
      <c r="A18" s="44">
        <v>2028</v>
      </c>
      <c r="B18" s="45">
        <v>6</v>
      </c>
      <c r="C18" s="46">
        <v>0.79</v>
      </c>
      <c r="D18" s="46">
        <v>1.01</v>
      </c>
      <c r="E18" s="46">
        <v>6.64</v>
      </c>
      <c r="F18" s="47">
        <v>0.1</v>
      </c>
      <c r="G18" s="46">
        <v>7.3</v>
      </c>
      <c r="H18" s="39"/>
      <c r="I18" s="39"/>
    </row>
    <row r="19" spans="1:9">
      <c r="A19" s="44">
        <v>2029</v>
      </c>
      <c r="B19" s="45">
        <v>7</v>
      </c>
      <c r="C19" s="46">
        <v>0.81</v>
      </c>
      <c r="D19" s="46">
        <v>1.0900000000000001</v>
      </c>
      <c r="E19" s="46">
        <v>7.72</v>
      </c>
      <c r="F19" s="47">
        <v>0.1</v>
      </c>
      <c r="G19" s="46">
        <v>8.5</v>
      </c>
      <c r="H19" s="39"/>
      <c r="I19" s="39"/>
    </row>
    <row r="20" spans="1:9">
      <c r="A20" s="44">
        <v>2030</v>
      </c>
      <c r="B20" s="45">
        <v>8</v>
      </c>
      <c r="C20" s="46">
        <v>1.9</v>
      </c>
      <c r="D20" s="46">
        <v>2.69</v>
      </c>
      <c r="E20" s="46">
        <v>10.41</v>
      </c>
      <c r="F20" s="47">
        <v>0.1</v>
      </c>
      <c r="G20" s="46">
        <v>11.46</v>
      </c>
      <c r="H20" s="39"/>
      <c r="I20" s="39"/>
    </row>
    <row r="21" spans="1:9">
      <c r="A21" s="44">
        <v>2031</v>
      </c>
      <c r="B21" s="45">
        <v>9</v>
      </c>
      <c r="C21" s="46">
        <v>0.75</v>
      </c>
      <c r="D21" s="46">
        <v>1.1100000000000001</v>
      </c>
      <c r="E21" s="46">
        <v>11.52</v>
      </c>
      <c r="F21" s="47">
        <v>0.1</v>
      </c>
      <c r="G21" s="46">
        <v>12.67</v>
      </c>
      <c r="H21" s="39"/>
      <c r="I21" s="39"/>
    </row>
    <row r="22" spans="1:9">
      <c r="A22" s="44">
        <v>2032</v>
      </c>
      <c r="B22" s="45">
        <v>10</v>
      </c>
      <c r="C22" s="46">
        <v>0.67</v>
      </c>
      <c r="D22" s="46">
        <v>1.04</v>
      </c>
      <c r="E22" s="46">
        <v>12.56</v>
      </c>
      <c r="F22" s="47">
        <v>0.1</v>
      </c>
      <c r="G22" s="46">
        <v>13.82</v>
      </c>
      <c r="H22" s="39"/>
      <c r="I22" s="39"/>
    </row>
    <row r="23" spans="1:9">
      <c r="A23" s="44">
        <v>2033</v>
      </c>
      <c r="B23" s="45">
        <v>11</v>
      </c>
      <c r="C23" s="46">
        <v>0.73</v>
      </c>
      <c r="D23" s="46">
        <v>1.2</v>
      </c>
      <c r="E23" s="46">
        <v>13.76</v>
      </c>
      <c r="F23" s="47">
        <v>0.1</v>
      </c>
      <c r="G23" s="46">
        <v>15.13</v>
      </c>
      <c r="H23" s="39"/>
      <c r="I23" s="39"/>
    </row>
    <row r="24" spans="1:9">
      <c r="A24" s="44">
        <v>2034</v>
      </c>
      <c r="B24" s="45">
        <v>12</v>
      </c>
      <c r="C24" s="46">
        <v>0.67</v>
      </c>
      <c r="D24" s="46">
        <v>1.1599999999999999</v>
      </c>
      <c r="E24" s="46">
        <v>14.92</v>
      </c>
      <c r="F24" s="47">
        <v>0.1</v>
      </c>
      <c r="G24" s="46">
        <v>16.41</v>
      </c>
      <c r="H24" s="39"/>
      <c r="I24" s="39"/>
    </row>
    <row r="25" spans="1:9">
      <c r="A25" s="44">
        <v>2035</v>
      </c>
      <c r="B25" s="45">
        <v>13</v>
      </c>
      <c r="C25" s="46">
        <v>0.65</v>
      </c>
      <c r="D25" s="46">
        <v>1.18</v>
      </c>
      <c r="E25" s="46">
        <v>16.100000000000001</v>
      </c>
      <c r="F25" s="47">
        <v>0.1</v>
      </c>
      <c r="G25" s="46">
        <v>17.71</v>
      </c>
      <c r="H25" s="39"/>
      <c r="I25" s="39"/>
    </row>
    <row r="26" spans="1:9">
      <c r="A26" s="44">
        <v>2036</v>
      </c>
      <c r="B26" s="45">
        <v>14</v>
      </c>
      <c r="C26" s="46">
        <v>0.83</v>
      </c>
      <c r="D26" s="46">
        <v>1.58</v>
      </c>
      <c r="E26" s="46">
        <v>17.670000000000002</v>
      </c>
      <c r="F26" s="47">
        <v>0.1</v>
      </c>
      <c r="G26" s="46">
        <v>19.440000000000001</v>
      </c>
      <c r="H26" s="39"/>
      <c r="I26" s="39"/>
    </row>
    <row r="27" spans="1:9">
      <c r="A27" s="44">
        <v>2037</v>
      </c>
      <c r="B27" s="45">
        <v>15</v>
      </c>
      <c r="C27" s="46">
        <v>0.56999999999999995</v>
      </c>
      <c r="D27" s="46">
        <v>1.1299999999999999</v>
      </c>
      <c r="E27" s="46">
        <v>18.8</v>
      </c>
      <c r="F27" s="47">
        <v>0.1</v>
      </c>
      <c r="G27" s="46">
        <v>20.68</v>
      </c>
      <c r="H27" s="39"/>
      <c r="I27" s="39"/>
    </row>
    <row r="28" spans="1:9">
      <c r="A28" s="44">
        <v>2038</v>
      </c>
      <c r="B28" s="45">
        <v>16</v>
      </c>
      <c r="C28" s="46">
        <v>0.6</v>
      </c>
      <c r="D28" s="46">
        <v>1.25</v>
      </c>
      <c r="E28" s="46">
        <v>20.059999999999999</v>
      </c>
      <c r="F28" s="47">
        <v>0.1</v>
      </c>
      <c r="G28" s="46">
        <v>22.06</v>
      </c>
      <c r="H28" s="39"/>
      <c r="I28" s="39"/>
    </row>
    <row r="29" spans="1:9">
      <c r="A29" s="44">
        <v>2039</v>
      </c>
      <c r="B29" s="45">
        <v>17</v>
      </c>
      <c r="C29" s="46">
        <v>0.56999999999999995</v>
      </c>
      <c r="D29" s="46">
        <v>1.26</v>
      </c>
      <c r="E29" s="46">
        <v>21.31</v>
      </c>
      <c r="F29" s="47">
        <v>0.1</v>
      </c>
      <c r="G29" s="46">
        <v>23.45</v>
      </c>
      <c r="H29" s="39"/>
      <c r="I29" s="39"/>
    </row>
    <row r="30" spans="1:9">
      <c r="A30" s="44">
        <v>2040</v>
      </c>
      <c r="B30" s="45">
        <v>18</v>
      </c>
      <c r="C30" s="46">
        <v>0.55000000000000004</v>
      </c>
      <c r="D30" s="46">
        <v>1.26</v>
      </c>
      <c r="E30" s="46">
        <v>22.58</v>
      </c>
      <c r="F30" s="47">
        <v>0.1</v>
      </c>
      <c r="G30" s="46">
        <v>24.83</v>
      </c>
      <c r="H30" s="39"/>
      <c r="I30" s="39"/>
    </row>
    <row r="31" spans="1:9">
      <c r="A31" s="44">
        <v>2041</v>
      </c>
      <c r="B31" s="45">
        <v>19</v>
      </c>
      <c r="C31" s="46">
        <v>4.8499999999999996</v>
      </c>
      <c r="D31" s="46">
        <v>11.79</v>
      </c>
      <c r="E31" s="46">
        <v>34.369999999999997</v>
      </c>
      <c r="F31" s="47">
        <v>0.1</v>
      </c>
      <c r="G31" s="46">
        <v>37.799999999999997</v>
      </c>
      <c r="H31" s="39"/>
      <c r="I31" s="39"/>
    </row>
    <row r="32" spans="1:9">
      <c r="A32" s="44">
        <v>2042</v>
      </c>
      <c r="B32" s="45">
        <v>20</v>
      </c>
      <c r="C32" s="46">
        <v>0.53</v>
      </c>
      <c r="D32" s="46">
        <v>1.35</v>
      </c>
      <c r="E32" s="46">
        <v>35.72</v>
      </c>
      <c r="F32" s="47">
        <v>0.1</v>
      </c>
      <c r="G32" s="46">
        <v>39.29</v>
      </c>
      <c r="H32" s="39"/>
      <c r="I32" s="39"/>
    </row>
    <row r="33" spans="1:9">
      <c r="A33" s="44">
        <v>2043</v>
      </c>
      <c r="B33" s="45">
        <v>21</v>
      </c>
      <c r="C33" s="46">
        <v>0.52</v>
      </c>
      <c r="D33" s="46">
        <v>1.39</v>
      </c>
      <c r="E33" s="46">
        <v>37.1</v>
      </c>
      <c r="F33" s="47">
        <v>0.1</v>
      </c>
      <c r="G33" s="46">
        <v>40.81</v>
      </c>
      <c r="H33" s="39"/>
      <c r="I33" s="39"/>
    </row>
    <row r="34" spans="1:9">
      <c r="A34" s="44">
        <v>2044</v>
      </c>
      <c r="B34" s="45">
        <v>22</v>
      </c>
      <c r="C34" s="46">
        <v>0.5</v>
      </c>
      <c r="D34" s="46">
        <v>1.42</v>
      </c>
      <c r="E34" s="46">
        <v>38.53</v>
      </c>
      <c r="F34" s="47">
        <v>0.1</v>
      </c>
      <c r="G34" s="46">
        <v>42.38</v>
      </c>
      <c r="H34" s="39"/>
      <c r="I34" s="39"/>
    </row>
    <row r="35" spans="1:9">
      <c r="A35" s="44">
        <v>2045</v>
      </c>
      <c r="B35" s="45">
        <v>23</v>
      </c>
      <c r="C35" s="46">
        <v>0.49</v>
      </c>
      <c r="D35" s="46">
        <v>1.46</v>
      </c>
      <c r="E35" s="46">
        <v>39.99</v>
      </c>
      <c r="F35" s="47">
        <v>0.1</v>
      </c>
      <c r="G35" s="46">
        <v>43.99</v>
      </c>
      <c r="H35" s="39"/>
      <c r="I35" s="39"/>
    </row>
    <row r="36" spans="1:9">
      <c r="A36" s="44">
        <v>2046</v>
      </c>
      <c r="B36" s="45">
        <v>24</v>
      </c>
      <c r="C36" s="46">
        <v>0.48</v>
      </c>
      <c r="D36" s="46">
        <v>1.5</v>
      </c>
      <c r="E36" s="46">
        <v>41.49</v>
      </c>
      <c r="F36" s="47">
        <v>0.1</v>
      </c>
      <c r="G36" s="46">
        <v>45.64</v>
      </c>
      <c r="H36" s="39"/>
      <c r="I36" s="39"/>
    </row>
    <row r="37" spans="1:9">
      <c r="A37" s="44">
        <v>2047</v>
      </c>
      <c r="B37" s="45">
        <v>25</v>
      </c>
      <c r="C37" s="46">
        <v>0.47</v>
      </c>
      <c r="D37" s="46">
        <v>1.55</v>
      </c>
      <c r="E37" s="46">
        <v>43.04</v>
      </c>
      <c r="F37" s="47">
        <v>0.1</v>
      </c>
      <c r="G37" s="46">
        <v>47.35</v>
      </c>
      <c r="H37" s="39"/>
      <c r="I37" s="39"/>
    </row>
    <row r="38" spans="1:9">
      <c r="A38" s="44">
        <v>2048</v>
      </c>
      <c r="B38" s="45">
        <v>26</v>
      </c>
      <c r="C38" s="46">
        <v>0.47</v>
      </c>
      <c r="D38" s="46">
        <v>1.6</v>
      </c>
      <c r="E38" s="46">
        <v>44.64</v>
      </c>
      <c r="F38" s="47">
        <v>0.1</v>
      </c>
      <c r="G38" s="46">
        <v>49.11</v>
      </c>
      <c r="H38" s="39"/>
      <c r="I38" s="39"/>
    </row>
    <row r="39" spans="1:9">
      <c r="A39" s="44">
        <v>2049</v>
      </c>
      <c r="B39" s="45">
        <v>27</v>
      </c>
      <c r="C39" s="46">
        <v>0.46</v>
      </c>
      <c r="D39" s="46">
        <v>1.65</v>
      </c>
      <c r="E39" s="46">
        <v>46.29</v>
      </c>
      <c r="F39" s="47">
        <v>0.1</v>
      </c>
      <c r="G39" s="46">
        <v>50.92</v>
      </c>
      <c r="H39" s="39"/>
      <c r="I39" s="39"/>
    </row>
    <row r="40" spans="1:9">
      <c r="A40" s="44">
        <v>2050</v>
      </c>
      <c r="B40" s="45">
        <v>28</v>
      </c>
      <c r="C40" s="46">
        <v>0.45</v>
      </c>
      <c r="D40" s="46">
        <v>1.7</v>
      </c>
      <c r="E40" s="46">
        <v>48</v>
      </c>
      <c r="F40" s="47">
        <v>0.1</v>
      </c>
      <c r="G40" s="46">
        <v>52.8</v>
      </c>
      <c r="H40" s="39"/>
      <c r="I40" s="39"/>
    </row>
    <row r="41" spans="1:9">
      <c r="A41" s="44">
        <v>2051</v>
      </c>
      <c r="B41" s="45">
        <v>29</v>
      </c>
      <c r="C41" s="46">
        <v>0.44</v>
      </c>
      <c r="D41" s="46">
        <v>1.76</v>
      </c>
      <c r="E41" s="46">
        <v>49.76</v>
      </c>
      <c r="F41" s="47">
        <v>0.1</v>
      </c>
      <c r="G41" s="46">
        <v>54.74</v>
      </c>
      <c r="H41" s="39"/>
      <c r="I41" s="39"/>
    </row>
    <row r="42" spans="1:9">
      <c r="A42" s="44">
        <v>2052</v>
      </c>
      <c r="B42" s="45">
        <v>30</v>
      </c>
      <c r="C42" s="46">
        <v>0.43</v>
      </c>
      <c r="D42" s="46">
        <v>1.82</v>
      </c>
      <c r="E42" s="46">
        <v>51.58</v>
      </c>
      <c r="F42" s="47">
        <v>0.1</v>
      </c>
      <c r="G42" s="46">
        <v>56.74</v>
      </c>
      <c r="H42" s="39"/>
      <c r="I42" s="39"/>
    </row>
    <row r="43" spans="1:9">
      <c r="A43" s="44">
        <v>2053</v>
      </c>
      <c r="B43" s="45">
        <v>31</v>
      </c>
      <c r="C43" s="46">
        <v>0.43</v>
      </c>
      <c r="D43" s="46">
        <v>1.88</v>
      </c>
      <c r="E43" s="46">
        <v>53.46</v>
      </c>
      <c r="F43" s="47">
        <v>0.1</v>
      </c>
      <c r="G43" s="46">
        <v>58.81</v>
      </c>
      <c r="H43" s="39"/>
      <c r="I43" s="39"/>
    </row>
    <row r="44" spans="1:9">
      <c r="A44" s="44">
        <v>2054</v>
      </c>
      <c r="B44" s="45">
        <v>32</v>
      </c>
      <c r="C44" s="46">
        <v>0.42</v>
      </c>
      <c r="D44" s="46">
        <v>1.94</v>
      </c>
      <c r="E44" s="46">
        <v>55.4</v>
      </c>
      <c r="F44" s="47">
        <v>0.1</v>
      </c>
      <c r="G44" s="46">
        <v>60.94</v>
      </c>
      <c r="H44" s="39"/>
      <c r="I44" s="39"/>
    </row>
    <row r="45" spans="1:9">
      <c r="A45" s="44">
        <v>2055</v>
      </c>
      <c r="B45" s="45">
        <v>33</v>
      </c>
      <c r="C45" s="46">
        <v>0.41</v>
      </c>
      <c r="D45" s="46">
        <v>2.0099999999999998</v>
      </c>
      <c r="E45" s="46">
        <v>57.41</v>
      </c>
      <c r="F45" s="47">
        <v>0.1</v>
      </c>
      <c r="G45" s="46">
        <v>63.16</v>
      </c>
      <c r="H45" s="39"/>
      <c r="I45" s="39"/>
    </row>
    <row r="46" spans="1:9">
      <c r="A46" s="44">
        <v>2056</v>
      </c>
      <c r="B46" s="45">
        <v>34</v>
      </c>
      <c r="C46" s="46">
        <v>0.41</v>
      </c>
      <c r="D46" s="46">
        <v>2.08</v>
      </c>
      <c r="E46" s="46">
        <v>59.49</v>
      </c>
      <c r="F46" s="47">
        <v>0.1</v>
      </c>
      <c r="G46" s="46">
        <v>65.44</v>
      </c>
      <c r="H46" s="39"/>
      <c r="I46" s="39"/>
    </row>
    <row r="47" spans="1:9">
      <c r="A47" s="44">
        <v>2057</v>
      </c>
      <c r="B47" s="45">
        <v>35</v>
      </c>
      <c r="C47" s="46">
        <v>0.4</v>
      </c>
      <c r="D47" s="46">
        <v>2.15</v>
      </c>
      <c r="E47" s="46">
        <v>61.64</v>
      </c>
      <c r="F47" s="47">
        <v>0.1</v>
      </c>
      <c r="G47" s="46">
        <v>67.8</v>
      </c>
      <c r="H47" s="39"/>
      <c r="I47" s="39"/>
    </row>
    <row r="48" spans="1:9">
      <c r="A48" s="44">
        <v>2058</v>
      </c>
      <c r="B48" s="45">
        <v>36</v>
      </c>
      <c r="C48" s="46">
        <v>0.39</v>
      </c>
      <c r="D48" s="46">
        <v>2.2200000000000002</v>
      </c>
      <c r="E48" s="46">
        <v>63.86</v>
      </c>
      <c r="F48" s="47">
        <v>0.1</v>
      </c>
      <c r="G48" s="46">
        <v>70.25</v>
      </c>
      <c r="H48" s="39"/>
      <c r="I48" s="39"/>
    </row>
    <row r="49" spans="1:9">
      <c r="A49" s="44">
        <v>2059</v>
      </c>
      <c r="B49" s="45">
        <v>37</v>
      </c>
      <c r="C49" s="46">
        <v>0.39</v>
      </c>
      <c r="D49" s="46">
        <v>2.2999999999999998</v>
      </c>
      <c r="E49" s="46">
        <v>66.16</v>
      </c>
      <c r="F49" s="47">
        <v>0.1</v>
      </c>
      <c r="G49" s="46">
        <v>72.77</v>
      </c>
      <c r="H49" s="39"/>
      <c r="I49" s="39"/>
    </row>
    <row r="50" spans="1:9">
      <c r="A50" s="44">
        <v>2060</v>
      </c>
      <c r="B50" s="45">
        <v>38</v>
      </c>
      <c r="C50" s="46">
        <v>0.38</v>
      </c>
      <c r="D50" s="46">
        <v>2.37</v>
      </c>
      <c r="E50" s="46">
        <v>68.53</v>
      </c>
      <c r="F50" s="47">
        <v>0.1</v>
      </c>
      <c r="G50" s="46">
        <v>75.38</v>
      </c>
      <c r="H50" s="39"/>
      <c r="I50" s="39"/>
    </row>
    <row r="51" spans="1:9">
      <c r="A51" s="44">
        <v>2061</v>
      </c>
      <c r="B51" s="45">
        <v>39</v>
      </c>
      <c r="C51" s="46">
        <v>0.38</v>
      </c>
      <c r="D51" s="46">
        <v>2.46</v>
      </c>
      <c r="E51" s="46">
        <v>70.989999999999995</v>
      </c>
      <c r="F51" s="47">
        <v>0.1</v>
      </c>
      <c r="G51" s="46">
        <v>78.08</v>
      </c>
      <c r="H51" s="39"/>
      <c r="I51" s="39"/>
    </row>
    <row r="52" spans="1:9">
      <c r="A52" s="44">
        <v>2062</v>
      </c>
      <c r="B52" s="45">
        <v>40</v>
      </c>
      <c r="C52" s="46">
        <v>0.37</v>
      </c>
      <c r="D52" s="46">
        <v>2.54</v>
      </c>
      <c r="E52" s="46">
        <v>73.53</v>
      </c>
      <c r="F52" s="47">
        <v>0.1</v>
      </c>
      <c r="G52" s="46">
        <v>80.88</v>
      </c>
      <c r="H52" s="39"/>
      <c r="I52" s="39"/>
    </row>
    <row r="53" spans="1:9">
      <c r="A53" s="44">
        <v>2063</v>
      </c>
      <c r="B53" s="45">
        <v>41</v>
      </c>
      <c r="C53" s="46">
        <v>0.36</v>
      </c>
      <c r="D53" s="46">
        <v>2.63</v>
      </c>
      <c r="E53" s="46">
        <v>76.150000000000006</v>
      </c>
      <c r="F53" s="47">
        <v>0.1</v>
      </c>
      <c r="G53" s="46">
        <v>83.77</v>
      </c>
      <c r="H53" s="39"/>
      <c r="I53" s="39"/>
    </row>
    <row r="54" spans="1:9">
      <c r="A54" s="44">
        <v>2064</v>
      </c>
      <c r="B54" s="45">
        <v>42</v>
      </c>
      <c r="C54" s="46">
        <v>0.36</v>
      </c>
      <c r="D54" s="46">
        <v>2.72</v>
      </c>
      <c r="E54" s="46">
        <v>78.87</v>
      </c>
      <c r="F54" s="47">
        <v>0.1</v>
      </c>
      <c r="G54" s="46">
        <v>86.75</v>
      </c>
      <c r="H54" s="39"/>
      <c r="I54" s="39"/>
    </row>
    <row r="55" spans="1:9">
      <c r="A55" s="44">
        <v>2065</v>
      </c>
      <c r="B55" s="45">
        <v>43</v>
      </c>
      <c r="C55" s="46">
        <v>0.35</v>
      </c>
      <c r="D55" s="46">
        <v>2.81</v>
      </c>
      <c r="E55" s="46">
        <v>81.680000000000007</v>
      </c>
      <c r="F55" s="47">
        <v>0.1</v>
      </c>
      <c r="G55" s="46">
        <v>89.84</v>
      </c>
      <c r="H55" s="39"/>
      <c r="I55" s="39"/>
    </row>
    <row r="56" spans="1:9">
      <c r="A56" s="44">
        <v>2066</v>
      </c>
      <c r="B56" s="45">
        <v>44</v>
      </c>
      <c r="C56" s="46">
        <v>0.35</v>
      </c>
      <c r="D56" s="46">
        <v>2.91</v>
      </c>
      <c r="E56" s="46">
        <v>84.58</v>
      </c>
      <c r="F56" s="47">
        <v>0.1</v>
      </c>
      <c r="G56" s="46">
        <v>93.04</v>
      </c>
      <c r="H56" s="39"/>
      <c r="I56" s="39"/>
    </row>
    <row r="57" spans="1:9">
      <c r="A57" s="44">
        <v>2067</v>
      </c>
      <c r="B57" s="45">
        <v>45</v>
      </c>
      <c r="C57" s="46">
        <v>0.34</v>
      </c>
      <c r="D57" s="46">
        <v>3</v>
      </c>
      <c r="E57" s="46">
        <v>87.59</v>
      </c>
      <c r="F57" s="47">
        <v>0.1</v>
      </c>
      <c r="G57" s="46">
        <v>96.35</v>
      </c>
      <c r="H57" s="39"/>
      <c r="I57" s="39"/>
    </row>
    <row r="58" spans="1:9">
      <c r="A58" s="44">
        <v>2068</v>
      </c>
      <c r="B58" s="45">
        <v>46</v>
      </c>
      <c r="C58" s="46">
        <v>0.34</v>
      </c>
      <c r="D58" s="46">
        <v>3</v>
      </c>
      <c r="E58" s="46">
        <v>90.59</v>
      </c>
      <c r="F58" s="47">
        <v>0.1</v>
      </c>
      <c r="G58" s="46">
        <v>99.65</v>
      </c>
      <c r="H58" s="39"/>
      <c r="I58" s="39"/>
    </row>
    <row r="59" spans="1:9">
      <c r="A59" s="44">
        <v>2069</v>
      </c>
      <c r="B59" s="45">
        <v>47</v>
      </c>
      <c r="C59" s="46">
        <v>0.34</v>
      </c>
      <c r="D59" s="46">
        <v>3</v>
      </c>
      <c r="E59" s="46">
        <v>93.6</v>
      </c>
      <c r="F59" s="47">
        <v>0.1</v>
      </c>
      <c r="G59" s="46">
        <v>102.96</v>
      </c>
      <c r="H59" s="39"/>
      <c r="I59" s="39"/>
    </row>
    <row r="60" spans="1:9">
      <c r="A60" s="44">
        <v>2070</v>
      </c>
      <c r="B60" s="45">
        <v>48</v>
      </c>
      <c r="C60" s="46">
        <v>0.34</v>
      </c>
      <c r="D60" s="46">
        <v>3</v>
      </c>
      <c r="E60" s="46">
        <v>96.6</v>
      </c>
      <c r="F60" s="47">
        <v>0.1</v>
      </c>
      <c r="G60" s="46">
        <v>106.26</v>
      </c>
      <c r="H60" s="39"/>
      <c r="I60" s="39"/>
    </row>
    <row r="61" spans="1:9">
      <c r="A61" s="44">
        <v>2071</v>
      </c>
      <c r="B61" s="45">
        <v>49</v>
      </c>
      <c r="C61" s="46">
        <v>0.34</v>
      </c>
      <c r="D61" s="46">
        <v>3</v>
      </c>
      <c r="E61" s="46">
        <v>99.61</v>
      </c>
      <c r="F61" s="47">
        <v>0.1</v>
      </c>
      <c r="G61" s="46">
        <v>109.57</v>
      </c>
      <c r="H61" s="39"/>
      <c r="I61" s="39"/>
    </row>
    <row r="62" spans="1:9" ht="19" customHeight="1">
      <c r="A62" s="44">
        <v>2072</v>
      </c>
      <c r="B62" s="45">
        <v>50</v>
      </c>
      <c r="C62" s="46">
        <v>0.34</v>
      </c>
      <c r="D62" s="46">
        <v>3</v>
      </c>
      <c r="E62" s="46">
        <v>102.61</v>
      </c>
      <c r="F62" s="47">
        <v>0.1</v>
      </c>
      <c r="G62" s="46">
        <v>112.87</v>
      </c>
      <c r="H62" s="39"/>
      <c r="I62" s="39"/>
    </row>
    <row r="63" spans="1:9" ht="30" customHeight="1">
      <c r="A63" s="68" t="s">
        <v>87</v>
      </c>
      <c r="B63" s="68"/>
      <c r="C63" s="39"/>
      <c r="D63" s="39"/>
      <c r="E63" s="39"/>
      <c r="F63" s="39"/>
      <c r="G63" s="39"/>
      <c r="H63" s="39"/>
      <c r="I63" s="39"/>
    </row>
    <row r="64" spans="1:9">
      <c r="A64" s="66" t="s">
        <v>107</v>
      </c>
      <c r="B64" s="66"/>
      <c r="C64" s="39"/>
      <c r="D64" s="39"/>
      <c r="E64" s="48">
        <v>5.0599999999999999E-2</v>
      </c>
      <c r="F64" s="39"/>
      <c r="G64" s="39"/>
      <c r="H64" s="39"/>
      <c r="I64" s="39"/>
    </row>
    <row r="65" spans="1:9">
      <c r="A65" s="67"/>
      <c r="B65" s="67"/>
      <c r="C65" s="39" t="s">
        <v>108</v>
      </c>
      <c r="D65" s="39"/>
      <c r="E65" s="48">
        <v>5.0599999999999999E-2</v>
      </c>
      <c r="F65" s="39"/>
      <c r="G65" s="39"/>
      <c r="H65" s="39"/>
      <c r="I65" s="39"/>
    </row>
    <row r="66" spans="1:9">
      <c r="A66" s="67"/>
      <c r="B66" s="67"/>
      <c r="C66" s="39" t="s">
        <v>109</v>
      </c>
      <c r="D66" s="39"/>
      <c r="E66" s="48">
        <v>4.1700000000000001E-2</v>
      </c>
      <c r="F66" s="39"/>
      <c r="G66" s="39"/>
      <c r="H66" s="39"/>
      <c r="I66" s="39"/>
    </row>
    <row r="67" spans="1:9">
      <c r="A67" s="67"/>
      <c r="B67" s="67"/>
      <c r="C67" s="39" t="s">
        <v>110</v>
      </c>
      <c r="D67" s="39"/>
      <c r="E67" s="48">
        <v>0.02</v>
      </c>
      <c r="F67" s="39" t="s">
        <v>111</v>
      </c>
      <c r="G67" s="39"/>
      <c r="H67" s="39"/>
      <c r="I67" s="39"/>
    </row>
  </sheetData>
  <mergeCells count="14">
    <mergeCell ref="A67:B67"/>
    <mergeCell ref="I6:I9"/>
    <mergeCell ref="A63:B63"/>
    <mergeCell ref="A64:B64"/>
    <mergeCell ref="A65:B65"/>
    <mergeCell ref="A66:B66"/>
    <mergeCell ref="A6:A9"/>
    <mergeCell ref="B6:B9"/>
    <mergeCell ref="H6:H9"/>
    <mergeCell ref="A1:H1"/>
    <mergeCell ref="A2:H2"/>
    <mergeCell ref="A3:H3"/>
    <mergeCell ref="A4:H4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0AC263BA319A41A5EAD400E8A077FB" ma:contentTypeVersion="24" ma:contentTypeDescription="" ma:contentTypeScope="" ma:versionID="284b4688e378103f23a136f7029b7a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2023-11-15T08:00:00+00:00</OpenedDate>
    <SignificantOrder xmlns="dc463f71-b30c-4ab2-9473-d307f9d35888">false</SignificantOrder>
    <Date1 xmlns="dc463f71-b30c-4ab2-9473-d307f9d35888">2025-06-12T07:00:00+00:00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230937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C7C375E-1C0F-4CEA-8989-D487DA7FE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9FD6E2-09CE-4DD7-9487-82E56C055CC8}"/>
</file>

<file path=customXml/itemProps3.xml><?xml version="1.0" encoding="utf-8"?>
<ds:datastoreItem xmlns:ds="http://schemas.openxmlformats.org/officeDocument/2006/customXml" ds:itemID="{3B650EB0-B4CC-43D3-A80D-02D20A14C1B2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4.xml><?xml version="1.0" encoding="utf-8"?>
<ds:datastoreItem xmlns:ds="http://schemas.openxmlformats.org/officeDocument/2006/customXml" ds:itemID="{6FB6427A-1A3F-4DFC-9565-10B195991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</vt:lpstr>
      <vt:lpstr>APP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2025-04-11T23:41:47Z</dcterms:created>
  <dcterms:modified xsi:type="dcterms:W3CDTF">2025-06-10T18:36:01Z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2025-04-11T23:41:43Z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d53f7cef-9b6c-4816-b523-345390ab1087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0x0101006E56B4D1795A2E4DB2F0B01679ED314A00040AC263BA319A41A5EAD400E8A077FB</vt:lpwstr>
  </property>
  <property fmtid="{D5CDD505-2E9C-101B-9397-08002B2CF9AE}" pid="11" name="MediaServiceImageTags">
    <vt:lpwstr/>
  </property>
  <property fmtid="{D5CDD505-2E9C-101B-9397-08002B2CF9AE}" pid="12" name="_docset_NoMedatataSyncRequired">
    <vt:lpwstr>False</vt:lpwstr>
  </property>
</Properties>
</file>