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xl/connections.xml" ContentType="application/vnd.openxmlformats-officedocument.spreadsheetml.connections+xml"/>
  <Override PartName="/xl/metadata.xml" ContentType="application/vnd.openxmlformats-officedocument.spreadsheetml.sheetMetadata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filterPrivacy="1" codeName="ThisWorkbook" defaultThemeVersion="124226"/>
  <xr:revisionPtr revIDLastSave="0" documentId="13_ncr:1_{AAF0F4DD-2058-4A59-A9A9-5949A44E9C16}" xr6:coauthVersionLast="47" xr6:coauthVersionMax="47" xr10:uidLastSave="{00000000-0000-0000-0000-000000000000}"/>
  <bookViews>
    <workbookView xWindow="-110" yWindow="-110" windowWidth="38620" windowHeight="21100" tabRatio="593" xr2:uid="{00000000-000D-0000-FFFF-FFFF00000000}"/>
  </bookViews>
  <sheets>
    <sheet name="Table of Contents" sheetId="15" r:id="rId1"/>
    <sheet name="Summary" sheetId="5" r:id="rId2"/>
    <sheet name="Table G.1" sheetId="8" r:id="rId3"/>
    <sheet name="Table G.2" sheetId="12" r:id="rId4"/>
    <sheet name="Table G.3" sheetId="13" r:id="rId5"/>
    <sheet name="Table G.4" sheetId="14" r:id="rId6"/>
  </sheets>
  <definedNames>
    <definedName name="_xlnm._FilterDatabase" localSheetId="1" hidden="1">Summary!$A$2:$V$19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K9" i="8" l="1"/>
  <c r="AK10" i="8"/>
  <c r="AK11" i="8"/>
  <c r="AK12" i="8"/>
  <c r="AK13" i="8"/>
  <c r="AK14" i="8"/>
  <c r="AK15" i="8"/>
  <c r="AK16" i="8"/>
  <c r="AK17" i="8"/>
  <c r="AK8" i="8"/>
  <c r="AJ9" i="8"/>
  <c r="AJ10" i="8"/>
  <c r="AJ11" i="8"/>
  <c r="AJ12" i="8"/>
  <c r="AJ13" i="8"/>
  <c r="AJ14" i="8"/>
  <c r="AJ15" i="8"/>
  <c r="AJ16" i="8"/>
  <c r="AJ17" i="8"/>
  <c r="AJ8" i="8"/>
  <c r="AG8" i="8" l="1"/>
  <c r="P18" i="8"/>
  <c r="D13" i="14"/>
  <c r="C13" i="14"/>
  <c r="B13" i="14"/>
  <c r="D23" i="13"/>
  <c r="C23" i="13"/>
  <c r="B23" i="13"/>
  <c r="D15" i="13"/>
  <c r="C15" i="13"/>
  <c r="B15" i="13"/>
  <c r="B21" i="12"/>
  <c r="D21" i="12"/>
  <c r="C21" i="12"/>
  <c r="D13" i="12"/>
  <c r="C13" i="12"/>
  <c r="B13" i="12"/>
  <c r="J22" i="13" l="1" a="1"/>
  <c r="J22" i="13" s="1"/>
  <c r="N18" i="8" l="1"/>
  <c r="Q8" i="8" l="1"/>
  <c r="AH8" i="8"/>
  <c r="H7" i="14"/>
  <c r="H18" i="13"/>
  <c r="G18" i="13" s="1"/>
  <c r="F18" i="13" s="1"/>
  <c r="E18" i="13" s="1"/>
  <c r="H8" i="13"/>
  <c r="H16" i="12"/>
  <c r="G16" i="12" s="1"/>
  <c r="F16" i="12" s="1"/>
  <c r="E16" i="12" s="1"/>
  <c r="H7" i="12"/>
  <c r="G7" i="12" s="1"/>
  <c r="Y4" i="5"/>
  <c r="X4" i="5"/>
  <c r="W4" i="5"/>
  <c r="AG17" i="8"/>
  <c r="AG16" i="8"/>
  <c r="AG15" i="8"/>
  <c r="AG14" i="8"/>
  <c r="AG13" i="8"/>
  <c r="AG12" i="8"/>
  <c r="AG11" i="8"/>
  <c r="AG10" i="8"/>
  <c r="AG9" i="8"/>
  <c r="Q17" i="8"/>
  <c r="Q16" i="8"/>
  <c r="Q15" i="8"/>
  <c r="Q14" i="8"/>
  <c r="Q13" i="8"/>
  <c r="Q12" i="8"/>
  <c r="Q11" i="8"/>
  <c r="Q10" i="8"/>
  <c r="Q9" i="8"/>
  <c r="H11" i="13" l="1"/>
  <c r="H12" i="13"/>
  <c r="H13" i="13"/>
  <c r="H14" i="13"/>
  <c r="H10" i="13"/>
  <c r="H9" i="13"/>
  <c r="H9" i="12"/>
  <c r="H11" i="12"/>
  <c r="H18" i="12"/>
  <c r="H20" i="12"/>
  <c r="G8" i="13"/>
  <c r="F7" i="12"/>
  <c r="G20" i="12"/>
  <c r="G11" i="12"/>
  <c r="G18" i="12"/>
  <c r="G19" i="12"/>
  <c r="G12" i="12"/>
  <c r="G10" i="12"/>
  <c r="G8" i="12"/>
  <c r="G17" i="12"/>
  <c r="G9" i="12"/>
  <c r="H17" i="12"/>
  <c r="G7" i="14"/>
  <c r="H8" i="12"/>
  <c r="H10" i="12"/>
  <c r="H12" i="12"/>
  <c r="H19" i="12"/>
  <c r="H11" i="14"/>
  <c r="H9" i="14"/>
  <c r="H12" i="14"/>
  <c r="H8" i="14"/>
  <c r="H20" i="13"/>
  <c r="H21" i="13"/>
  <c r="H19" i="13"/>
  <c r="H22" i="13"/>
  <c r="G22" i="13" l="1"/>
  <c r="G12" i="13"/>
  <c r="G13" i="13"/>
  <c r="G11" i="13"/>
  <c r="G14" i="13"/>
  <c r="G9" i="13"/>
  <c r="G10" i="13"/>
  <c r="G19" i="13"/>
  <c r="G20" i="13"/>
  <c r="G21" i="13"/>
  <c r="F8" i="13"/>
  <c r="G11" i="14"/>
  <c r="G12" i="14"/>
  <c r="F7" i="14"/>
  <c r="G8" i="14"/>
  <c r="G9" i="14"/>
  <c r="H13" i="14"/>
  <c r="E7" i="12"/>
  <c r="E8" i="12" s="1"/>
  <c r="F18" i="12"/>
  <c r="F11" i="12"/>
  <c r="F9" i="12"/>
  <c r="F19" i="12"/>
  <c r="F12" i="12"/>
  <c r="F10" i="12"/>
  <c r="F8" i="12"/>
  <c r="F17" i="12"/>
  <c r="F20" i="12"/>
  <c r="H23" i="13"/>
  <c r="F12" i="13" l="1"/>
  <c r="F13" i="13"/>
  <c r="F9" i="13"/>
  <c r="F14" i="13"/>
  <c r="F11" i="13"/>
  <c r="F10" i="13"/>
  <c r="G23" i="13"/>
  <c r="E8" i="13"/>
  <c r="E9" i="13" s="1"/>
  <c r="F21" i="13"/>
  <c r="F20" i="13"/>
  <c r="F19" i="13"/>
  <c r="F22" i="13"/>
  <c r="E18" i="12"/>
  <c r="E11" i="12"/>
  <c r="E9" i="12"/>
  <c r="E12" i="12"/>
  <c r="E19" i="12"/>
  <c r="E10" i="12"/>
  <c r="E20" i="12"/>
  <c r="E17" i="12"/>
  <c r="G13" i="14"/>
  <c r="F12" i="14"/>
  <c r="F11" i="14"/>
  <c r="E7" i="14"/>
  <c r="F8" i="14"/>
  <c r="F9" i="14"/>
  <c r="F23" i="13" l="1"/>
  <c r="E12" i="13"/>
  <c r="E14" i="13"/>
  <c r="E21" i="13"/>
  <c r="E10" i="13"/>
  <c r="E22" i="13"/>
  <c r="K22" i="13" s="1"/>
  <c r="E19" i="13"/>
  <c r="E20" i="13"/>
  <c r="E11" i="13"/>
  <c r="E13" i="13"/>
  <c r="F13" i="14"/>
  <c r="E11" i="14"/>
  <c r="E8" i="14"/>
  <c r="E9" i="14"/>
  <c r="E12" i="14"/>
  <c r="E23" i="13" l="1"/>
  <c r="E13" i="14"/>
  <c r="AF18" i="8"/>
  <c r="AB18" i="8"/>
  <c r="AC18" i="8"/>
  <c r="AD18" i="8"/>
  <c r="AE18" i="8"/>
  <c r="L18" i="8" l="1"/>
  <c r="M18" i="8"/>
  <c r="O18" i="8"/>
  <c r="Q18" i="8" s="1"/>
  <c r="Y18" i="8" l="1"/>
  <c r="X18" i="8"/>
  <c r="Z9" i="8"/>
  <c r="Z8" i="8"/>
  <c r="K18" i="8"/>
  <c r="Z18" i="8" l="1"/>
  <c r="H11" i="5"/>
  <c r="H14" i="5"/>
  <c r="AA18" i="8" l="1"/>
  <c r="Y2" i="5" l="1"/>
  <c r="Y9" i="5"/>
  <c r="Y10" i="5"/>
  <c r="Y11" i="5"/>
  <c r="Y14" i="5"/>
  <c r="Y15" i="5"/>
  <c r="Y16" i="5"/>
  <c r="Y17" i="5"/>
  <c r="Y18" i="5"/>
  <c r="Y19" i="5"/>
  <c r="H15" i="13"/>
  <c r="J18" i="8"/>
  <c r="H13" i="12" l="1"/>
  <c r="H21" i="12"/>
  <c r="G15" i="13" l="1"/>
  <c r="F15" i="13"/>
  <c r="X18" i="5"/>
  <c r="X19" i="5"/>
  <c r="X15" i="5"/>
  <c r="X16" i="5"/>
  <c r="X17" i="5"/>
  <c r="W19" i="5"/>
  <c r="W18" i="5"/>
  <c r="W17" i="5"/>
  <c r="W16" i="5"/>
  <c r="W15" i="5"/>
  <c r="X14" i="5"/>
  <c r="W14" i="5"/>
  <c r="X11" i="5"/>
  <c r="W11" i="5"/>
  <c r="X10" i="5"/>
  <c r="W10" i="5"/>
  <c r="X9" i="5"/>
  <c r="W9" i="5"/>
  <c r="W2" i="5"/>
  <c r="X2" i="5"/>
  <c r="G21" i="12" l="1"/>
  <c r="F21" i="12"/>
  <c r="F13" i="12" l="1"/>
  <c r="G13" i="12"/>
  <c r="I18" i="8" l="1"/>
  <c r="H18" i="8"/>
  <c r="AG18" i="8" l="1"/>
  <c r="T8" i="8" l="1"/>
  <c r="V2" i="5"/>
  <c r="E2" i="5"/>
  <c r="D2" i="5"/>
  <c r="C2" i="5"/>
  <c r="J20" i="13" l="1" a="1"/>
  <c r="J20" i="13" s="1"/>
  <c r="K20" i="13" s="1"/>
  <c r="J21" i="13" a="1"/>
  <c r="J21" i="13" s="1"/>
  <c r="K21" i="13" s="1"/>
  <c r="J9" i="13" a="1"/>
  <c r="J9" i="13" s="1"/>
  <c r="K9" i="13" s="1"/>
  <c r="J13" i="13" a="1"/>
  <c r="J13" i="13" s="1"/>
  <c r="K13" i="13" s="1"/>
  <c r="J10" i="13" a="1"/>
  <c r="J10" i="13" s="1"/>
  <c r="K10" i="13" s="1"/>
  <c r="J19" i="13" a="1"/>
  <c r="J19" i="13" s="1"/>
  <c r="K19" i="13" s="1"/>
  <c r="J12" i="13" a="1"/>
  <c r="J12" i="13" s="1"/>
  <c r="K12" i="13" s="1"/>
  <c r="J11" i="13" a="1"/>
  <c r="J11" i="13" s="1"/>
  <c r="K11" i="13" s="1"/>
  <c r="J14" i="13" a="1"/>
  <c r="J14" i="13" s="1"/>
  <c r="K14" i="13" s="1"/>
  <c r="U2" i="5"/>
  <c r="T2" i="5"/>
  <c r="S2" i="5"/>
  <c r="K15" i="13" l="1"/>
  <c r="V9" i="8" a="1"/>
  <c r="V9" i="8" s="1"/>
  <c r="W10" i="8" a="1"/>
  <c r="W10" i="8" s="1"/>
  <c r="V13" i="8" a="1"/>
  <c r="V13" i="8" s="1"/>
  <c r="W14" i="8" a="1"/>
  <c r="W14" i="8" s="1"/>
  <c r="V17" i="8" a="1"/>
  <c r="V17" i="8" s="1"/>
  <c r="V8" i="8" a="1"/>
  <c r="V8" i="8" s="1"/>
  <c r="W9" i="8" a="1"/>
  <c r="W9" i="8" s="1"/>
  <c r="V12" i="8" a="1"/>
  <c r="V12" i="8" s="1"/>
  <c r="W13" i="8" a="1"/>
  <c r="W13" i="8" s="1"/>
  <c r="V16" i="8" a="1"/>
  <c r="V16" i="8" s="1"/>
  <c r="W17" i="8" a="1"/>
  <c r="W17" i="8" s="1"/>
  <c r="W8" i="8" a="1"/>
  <c r="W8" i="8" s="1"/>
  <c r="V11" i="8" a="1"/>
  <c r="V11" i="8" s="1"/>
  <c r="W12" i="8" a="1"/>
  <c r="W12" i="8" s="1"/>
  <c r="V15" i="8" a="1"/>
  <c r="V15" i="8" s="1"/>
  <c r="W16" i="8" a="1"/>
  <c r="W16" i="8" s="1"/>
  <c r="V10" i="8" a="1"/>
  <c r="V10" i="8" s="1"/>
  <c r="W11" i="8" a="1"/>
  <c r="W11" i="8" s="1"/>
  <c r="V14" i="8" a="1"/>
  <c r="V14" i="8" s="1"/>
  <c r="W15" i="8" a="1"/>
  <c r="W15" i="8" s="1"/>
  <c r="E15" i="13" l="1"/>
  <c r="W18" i="8"/>
  <c r="V18" i="8"/>
  <c r="G14" i="8" a="1"/>
  <c r="G14" i="8" s="1"/>
  <c r="G10" i="8" a="1"/>
  <c r="G10" i="8" s="1"/>
  <c r="E9" i="8" a="1"/>
  <c r="E9" i="8" s="1"/>
  <c r="E11" i="8" a="1"/>
  <c r="E11" i="8" s="1"/>
  <c r="E13" i="8" a="1"/>
  <c r="E13" i="8" s="1"/>
  <c r="E15" i="8" a="1"/>
  <c r="E15" i="8" s="1"/>
  <c r="E17" i="8" a="1"/>
  <c r="E17" i="8" s="1"/>
  <c r="D10" i="8" a="1"/>
  <c r="D10" i="8" s="1"/>
  <c r="D14" i="8" a="1"/>
  <c r="D14" i="8" s="1"/>
  <c r="G17" i="8" a="1"/>
  <c r="G17" i="8" s="1"/>
  <c r="G13" i="8" a="1"/>
  <c r="G13" i="8" s="1"/>
  <c r="G9" i="8" a="1"/>
  <c r="G9" i="8" s="1"/>
  <c r="F9" i="8" a="1"/>
  <c r="F9" i="8" s="1"/>
  <c r="F11" i="8" a="1"/>
  <c r="F11" i="8" s="1"/>
  <c r="F13" i="8" a="1"/>
  <c r="F13" i="8" s="1"/>
  <c r="F15" i="8" a="1"/>
  <c r="F15" i="8" s="1"/>
  <c r="F17" i="8" a="1"/>
  <c r="F17" i="8" s="1"/>
  <c r="D11" i="8" a="1"/>
  <c r="D11" i="8" s="1"/>
  <c r="D15" i="8" a="1"/>
  <c r="D15" i="8" s="1"/>
  <c r="G16" i="8" a="1"/>
  <c r="G16" i="8" s="1"/>
  <c r="G12" i="8" a="1"/>
  <c r="G12" i="8" s="1"/>
  <c r="E10" i="8" a="1"/>
  <c r="E10" i="8" s="1"/>
  <c r="E12" i="8" a="1"/>
  <c r="E12" i="8" s="1"/>
  <c r="E14" i="8" a="1"/>
  <c r="E14" i="8" s="1"/>
  <c r="E16" i="8" a="1"/>
  <c r="E16" i="8" s="1"/>
  <c r="D12" i="8" a="1"/>
  <c r="D12" i="8" s="1"/>
  <c r="D16" i="8" a="1"/>
  <c r="D16" i="8" s="1"/>
  <c r="G15" i="8" a="1"/>
  <c r="G15" i="8" s="1"/>
  <c r="G11" i="8" a="1"/>
  <c r="G11" i="8" s="1"/>
  <c r="F10" i="8" a="1"/>
  <c r="F10" i="8" s="1"/>
  <c r="F12" i="8" a="1"/>
  <c r="F12" i="8" s="1"/>
  <c r="F14" i="8" a="1"/>
  <c r="F14" i="8" s="1"/>
  <c r="F16" i="8" a="1"/>
  <c r="F16" i="8" s="1"/>
  <c r="D9" i="8" a="1"/>
  <c r="D9" i="8" s="1"/>
  <c r="D13" i="8" a="1"/>
  <c r="D13" i="8" s="1"/>
  <c r="D17" i="8" a="1"/>
  <c r="D17" i="8" s="1"/>
  <c r="D16" i="13" l="1" a="1"/>
  <c r="D16" i="13" s="1"/>
  <c r="D24" i="13"/>
  <c r="T12" i="8"/>
  <c r="T16" i="8"/>
  <c r="T14" i="8"/>
  <c r="T10" i="8"/>
  <c r="AH16" i="8"/>
  <c r="AH10" i="8"/>
  <c r="AH12" i="8"/>
  <c r="T11" i="8"/>
  <c r="AH11" i="8"/>
  <c r="T17" i="8"/>
  <c r="AH17" i="8"/>
  <c r="T9" i="8"/>
  <c r="T15" i="8"/>
  <c r="AH15" i="8"/>
  <c r="AH14" i="8"/>
  <c r="T13" i="8"/>
  <c r="AH9" i="8"/>
  <c r="E13" i="12"/>
  <c r="E21" i="12"/>
  <c r="D18" i="8"/>
  <c r="G18" i="8"/>
  <c r="F18" i="8"/>
  <c r="E18" i="8"/>
  <c r="AH13" i="8"/>
  <c r="D14" i="12" l="1" a="1"/>
  <c r="D14" i="12" s="1"/>
  <c r="D22" i="12" a="1"/>
  <c r="D22" i="12" s="1"/>
  <c r="D14" i="14"/>
  <c r="K23" i="13"/>
  <c r="AH18" i="8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onnection" type="1" refreshedVersion="1" savePassword="1" background="1" saveData="1">
    <dbPr connection="DSN=Visual FoxPro Tables;UID=;PWD=;SourceDB=c:\vfp\his;SourceType=DBF;Exclusive=No;BackgroundFetch=Yes;Collate=Machine;Null=Yes;Deleted=Yes;" command="SELECT comb_perf_yr.syr, comb_perf_yr.unitid, comb_perf_yr.nplt, comb_perf_yr.mdc, comb_perf_yr.af, comb_perf_yr.eaf, comb_perf_yr.oeaf, comb_perf_yr.cf, comb_perf_yr.ocf, comb_perf_yr.frcd, comb_perf_yr.efor, comb_perf_yr.pof, comb_perf_yr.sof, comb_perf_yr.sf, comb_perf_yr.sh, comb_perf_yr.hrs, comb_perf_yr.fd, comb_perf_yr.fo, comb_perf_yr.md, comb_perf_yr.mo, comb_perf_yr.n, comb_perf_yr.pd, comb_perf_yr.po, comb_perf_yr.r, comb_perf_yr.pohrs, comb_perf_yr.mohrs, comb_perf_yr.fohrs, comb_perf_yr.rshrs, comb_perf_yr.totpossmwh, comb_perf_yr.gross_gen, comb_perf_yr.net_gen, comb_perf_yr.attempts, comb_perf_yr.starts, comb_perf_yr.warm, comb_perf_yr.cold_x000d__x000a_FROM comb_perf_yr comb_perf_yr_x000d__x000a_WHERE (comb_perf_yr.syr&gt;=$2007)"/>
  </connection>
  <connection id="2" xr16:uid="{00000000-0015-0000-FFFF-FFFF01000000}" name="Connection1" type="1" refreshedVersion="1" savePassword="1" background="1" saveData="1">
    <dbPr connection="DSN=Visual FoxPro Tables;UID=;PWD=;SourceDB=c:\vfp\his;SourceType=DBF;Exclusive=No;BackgroundFetch=Yes;Collate=Machine;Null=Yes;Deleted=Yes;" command="SELECT comb_perf_yr.syr, comb_perf_yr.unitid, comb_perf_yr.nplt, comb_perf_yr.mdc, comb_perf_yr.af, comb_perf_yr.eaf, comb_perf_yr.oeaf, comb_perf_yr.cf, comb_perf_yr.ocf, comb_perf_yr.frcd, comb_perf_yr.efor, comb_perf_yr.pof, comb_perf_yr.sof, comb_perf_yr.sf, comb_perf_yr.sh, comb_perf_yr.hrs, comb_perf_yr.fd, comb_perf_yr.fo, comb_perf_yr.md, comb_perf_yr.mo, comb_perf_yr.n, comb_perf_yr.pd, comb_perf_yr.po, comb_perf_yr.r, comb_perf_yr.pohrs, comb_perf_yr.mohrs, comb_perf_yr.fohrs, comb_perf_yr.rshrs, comb_perf_yr.totpossmwh, comb_perf_yr.gross_gen, comb_perf_yr.net_gen, comb_perf_yr.attempts, comb_perf_yr.starts, comb_perf_yr.warm, comb_perf_yr.cold_x000d__x000a_FROM comb_perf_yr comb_perf_yr"/>
  </connection>
  <connection id="3" xr16:uid="{00000000-0015-0000-FFFF-FFFF02000000}" name="Connection2" type="1" refreshedVersion="1" savePassword="1" background="1" saveData="1">
    <dbPr connection="DSN=Visual FoxPro Tables;UID=;PWD=;SourceDB=c:\vfp\his;SourceType=DBF;Exclusive=No;BackgroundFetch=Yes;Collate=Machine;Null=Yes;Deleted=Yes;" command="SELECT comb_perf_yr.syr, comb_perf_yr.unitid, comb_perf_yr.nplt, comb_perf_yr.mdc, comb_perf_yr.af, comb_perf_yr.eaf, comb_perf_yr.oeaf, comb_perf_yr.cf, comb_perf_yr.ocf, comb_perf_yr.frcd, comb_perf_yr.efor, comb_perf_yr.pof, comb_perf_yr.sof, comb_perf_yr.sf, comb_perf_yr.sh, comb_perf_yr.hrs, comb_perf_yr.fd, comb_perf_yr.fo, comb_perf_yr.md, comb_perf_yr.mo, comb_perf_yr.n, comb_perf_yr.pd, comb_perf_yr.po, comb_perf_yr.r, comb_perf_yr.pohrs, comb_perf_yr.mohrs, comb_perf_yr.fohrs, comb_perf_yr.rshrs, comb_perf_yr.totpossmwh, comb_perf_yr.gross_gen, comb_perf_yr.net_gen, comb_perf_yr.attempts, comb_perf_yr.starts, comb_perf_yr.warm, comb_perf_yr.cold_x000d__x000a_FROM comb_perf_yr comb_perf_yr_x000d__x000a_WHERE (comb_perf_yr.syr&gt;=$2006)"/>
  </connection>
</connection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<sst xmlns="http://schemas.openxmlformats.org/spreadsheetml/2006/main" count="213" uniqueCount="97">
  <si>
    <t>Total Net Energy (MWH)</t>
  </si>
  <si>
    <t>BLN</t>
  </si>
  <si>
    <t>CHE</t>
  </si>
  <si>
    <t>CHO</t>
  </si>
  <si>
    <t>COL</t>
  </si>
  <si>
    <t>CRB</t>
  </si>
  <si>
    <t>CRG</t>
  </si>
  <si>
    <t>CUR</t>
  </si>
  <si>
    <t>DJ</t>
  </si>
  <si>
    <t>GAD</t>
  </si>
  <si>
    <t>HDN</t>
  </si>
  <si>
    <t>HRM</t>
  </si>
  <si>
    <t>HTG</t>
  </si>
  <si>
    <t>HTR</t>
  </si>
  <si>
    <t>JB</t>
  </si>
  <si>
    <t>LS</t>
  </si>
  <si>
    <t>NTN</t>
  </si>
  <si>
    <t>WYO</t>
  </si>
  <si>
    <t>Blundell</t>
  </si>
  <si>
    <t>Chehalis</t>
  </si>
  <si>
    <t>Currant Creek</t>
  </si>
  <si>
    <t>Gadsby</t>
  </si>
  <si>
    <t>Huntington</t>
  </si>
  <si>
    <t>Hunter</t>
  </si>
  <si>
    <t>Jim Bridger</t>
  </si>
  <si>
    <t>Naughton</t>
  </si>
  <si>
    <t>Wyodak</t>
  </si>
  <si>
    <t>Plant ID</t>
  </si>
  <si>
    <t>Plant Name</t>
  </si>
  <si>
    <t>Carbon</t>
  </si>
  <si>
    <t>Ownership</t>
  </si>
  <si>
    <t>Operation</t>
  </si>
  <si>
    <t>PacifiCorp</t>
  </si>
  <si>
    <t>Geothermal</t>
  </si>
  <si>
    <t>IRP Water Tables</t>
  </si>
  <si>
    <t>State</t>
  </si>
  <si>
    <t>Fuel Type</t>
  </si>
  <si>
    <t>Coal</t>
  </si>
  <si>
    <t>Natural Gas</t>
  </si>
  <si>
    <t>Washington</t>
  </si>
  <si>
    <t>Utah</t>
  </si>
  <si>
    <t>Wyoming</t>
  </si>
  <si>
    <t>Upper Colorado</t>
  </si>
  <si>
    <t>Dave Johnston</t>
  </si>
  <si>
    <t>Air</t>
  </si>
  <si>
    <t>Cooling Media</t>
  </si>
  <si>
    <t>Cholla</t>
  </si>
  <si>
    <t>Hayden</t>
  </si>
  <si>
    <t>Colstrip</t>
  </si>
  <si>
    <t>Craig</t>
  </si>
  <si>
    <t>Total Net Water Use (Acre-feet)</t>
  </si>
  <si>
    <t>Yes</t>
  </si>
  <si>
    <t>Zero Discharge</t>
  </si>
  <si>
    <t>TOTAL</t>
  </si>
  <si>
    <t>Average Net Maximum Dependable Capacity 
(MW)</t>
  </si>
  <si>
    <t>PACIFICORP ENERGY THERMAL GENERATION</t>
  </si>
  <si>
    <t>Plants Owned and Operated by PacifiCorp</t>
  </si>
  <si>
    <t>Total water consumption and generation includes all owners for jointly-owned facilities</t>
  </si>
  <si>
    <t>Acre-Feet Per Year</t>
  </si>
  <si>
    <t>Average</t>
  </si>
  <si>
    <t>Generation Capacity (MW)</t>
  </si>
  <si>
    <t>Ac-ft/MW</t>
  </si>
  <si>
    <t>Gals/ MWH</t>
  </si>
  <si>
    <t>GPM/ MW</t>
  </si>
  <si>
    <t>1 acre-foot of water is equivalent to:</t>
  </si>
  <si>
    <t>Gallons</t>
  </si>
  <si>
    <t>Cubic Feet</t>
  </si>
  <si>
    <t>Hermiston</t>
  </si>
  <si>
    <t>WATER CONSUMPTION REPORT (acre-feet)</t>
  </si>
  <si>
    <t>NET WATER CONSUMPTION</t>
  </si>
  <si>
    <t>By State</t>
  </si>
  <si>
    <t>UTAH PLANTS</t>
  </si>
  <si>
    <t xml:space="preserve">Percent of total water consumption = </t>
  </si>
  <si>
    <t>WYOMING PLANTS</t>
  </si>
  <si>
    <t>NET WATER CONSUMPTION (acre-feet)</t>
  </si>
  <si>
    <t>By Fuel Type</t>
  </si>
  <si>
    <t>COAL FIRED PLANTS</t>
  </si>
  <si>
    <t>Plants Located in the Upper Colorado River Basin</t>
  </si>
  <si>
    <t>NATURAL GAS FIRED PLANTS</t>
  </si>
  <si>
    <t>* Beginning in 2014, net water consumed reflects "Raw Water Consumed" instead of "Raw Water Diversion"</t>
  </si>
  <si>
    <t>Acre-ft/MW</t>
  </si>
  <si>
    <t>Water*</t>
  </si>
  <si>
    <t>* Cooling tower</t>
  </si>
  <si>
    <t>4-year
Average</t>
  </si>
  <si>
    <t>4-year Average</t>
  </si>
  <si>
    <t>Water</t>
  </si>
  <si>
    <t>Base Year</t>
  </si>
  <si>
    <t>Net MWhs Per Year</t>
  </si>
  <si>
    <t>** Gadsby includes a mix of both Rankine steam units and Brayton peaking gas turbines</t>
  </si>
  <si>
    <t>Lakeside</t>
  </si>
  <si>
    <t>2023 Rate (Gallons/Net GWh)</t>
  </si>
  <si>
    <t>4 year avg (Gallons/Net GWh)</t>
  </si>
  <si>
    <t>Summary</t>
  </si>
  <si>
    <t>Table G.1</t>
  </si>
  <si>
    <t>Table G.2</t>
  </si>
  <si>
    <t>Table G.3</t>
  </si>
  <si>
    <t>Table G.4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</si>
</sst>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_(* #,##0.0_);_(* \(#,##0.0\);_(* &quot;-&quot;??_);_(@_)"/>
    <numFmt numFmtId="165" formatCode="_(* #,##0_);_(* \(#,##0\);_(* &quot;-&quot;??_);_(@_)"/>
    <numFmt numFmtId="166" formatCode="0.0"/>
    <numFmt numFmtId="167" formatCode="0.0%"/>
    <numFmt numFmtId="168" formatCode="_(* #,##0.000_);_(* \(#,##0.000\);_(* &quot;-&quot;??_);_(@_)"/>
    <numFmt numFmtId="169" formatCode="#,##0.000"/>
  </numFmts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3F3F76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u/>
      <sz val="10"/>
      <color theme="10"/>
      <name val="Arial"/>
      <family val="2"/>
    </font>
    <font>
      <sz val="10"/>
      <name val="Times New Roman"/>
      <family val="1"/>
    </font>
    <font>
      <u/>
      <sz val="10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CC99"/>
      </patternFill>
    </fill>
  </fills>
  <borders count="4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2" borderId="2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103">
    <xf numFmtId="0" fontId="0" fillId="0" borderId="0" xfId="0"/>
    <xf numFmtId="0" fontId="7" fillId="0" borderId="0" xfId="0" applyFont="1"/>
    <xf numFmtId="0" fontId="8" fillId="0" borderId="0" xfId="6" applyFont="1" applyFill="1"/>
    <xf numFmtId="0" fontId="9" fillId="0" borderId="1" xfId="0" applyFont="1" applyBorder="1" applyAlignment="1">
      <alignment horizontal="centerContinuous" wrapText="1"/>
    </xf>
    <xf numFmtId="0" fontId="7" fillId="0" borderId="1" xfId="0" applyFont="1" applyBorder="1" applyAlignment="1">
      <alignment horizontal="centerContinuous"/>
    </xf>
    <xf numFmtId="0" fontId="7" fillId="0" borderId="0" xfId="0" applyFont="1" applyAlignment="1">
      <alignment horizontal="centerContinuous"/>
    </xf>
    <xf numFmtId="0" fontId="9" fillId="0" borderId="1" xfId="0" applyFont="1" applyBorder="1" applyAlignment="1">
      <alignment horizontal="center" wrapText="1"/>
    </xf>
    <xf numFmtId="3" fontId="7" fillId="0" borderId="0" xfId="0" applyNumberFormat="1" applyFont="1"/>
    <xf numFmtId="9" fontId="7" fillId="0" borderId="0" xfId="0" applyNumberFormat="1" applyFont="1"/>
    <xf numFmtId="0" fontId="7" fillId="0" borderId="0" xfId="0" applyFont="1" applyAlignment="1">
      <alignment horizontal="center"/>
    </xf>
    <xf numFmtId="3" fontId="7" fillId="0" borderId="0" xfId="1" applyNumberFormat="1" applyFont="1" applyFill="1"/>
    <xf numFmtId="0" fontId="10" fillId="0" borderId="0" xfId="0" applyFont="1"/>
    <xf numFmtId="0" fontId="7" fillId="0" borderId="0" xfId="0" applyFont="1" applyAlignment="1">
      <alignment horizontal="left"/>
    </xf>
    <xf numFmtId="0" fontId="11" fillId="0" borderId="26" xfId="3" applyFont="1" applyFill="1" applyBorder="1" applyAlignment="1">
      <alignment horizontal="center" wrapText="1"/>
    </xf>
    <xf numFmtId="0" fontId="11" fillId="0" borderId="1" xfId="3" applyFont="1" applyFill="1" applyBorder="1" applyAlignment="1">
      <alignment horizontal="center" wrapText="1"/>
    </xf>
    <xf numFmtId="0" fontId="4" fillId="0" borderId="17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3" fontId="5" fillId="0" borderId="7" xfId="0" applyNumberFormat="1" applyFont="1" applyBorder="1" applyAlignment="1">
      <alignment horizontal="right" indent="1"/>
    </xf>
    <xf numFmtId="3" fontId="5" fillId="0" borderId="35" xfId="0" applyNumberFormat="1" applyFont="1" applyBorder="1" applyAlignment="1">
      <alignment horizontal="right" indent="1"/>
    </xf>
    <xf numFmtId="3" fontId="5" fillId="0" borderId="11" xfId="0" applyNumberFormat="1" applyFont="1" applyBorder="1" applyAlignment="1">
      <alignment horizontal="right" indent="1"/>
    </xf>
    <xf numFmtId="3" fontId="5" fillId="0" borderId="4" xfId="0" applyNumberFormat="1" applyFont="1" applyBorder="1" applyAlignment="1">
      <alignment horizontal="right" indent="1"/>
    </xf>
    <xf numFmtId="3" fontId="5" fillId="0" borderId="36" xfId="0" applyNumberFormat="1" applyFont="1" applyBorder="1" applyAlignment="1">
      <alignment horizontal="right" indent="1"/>
    </xf>
    <xf numFmtId="3" fontId="5" fillId="0" borderId="37" xfId="0" applyNumberFormat="1" applyFont="1" applyBorder="1" applyAlignment="1">
      <alignment horizontal="right" indent="1"/>
    </xf>
    <xf numFmtId="3" fontId="4" fillId="0" borderId="29" xfId="0" applyNumberFormat="1" applyFont="1" applyBorder="1" applyAlignment="1">
      <alignment horizontal="right" indent="1"/>
    </xf>
    <xf numFmtId="3" fontId="4" fillId="0" borderId="17" xfId="0" applyNumberFormat="1" applyFont="1" applyBorder="1" applyAlignment="1">
      <alignment horizontal="right" indent="1"/>
    </xf>
    <xf numFmtId="168" fontId="7" fillId="0" borderId="0" xfId="0" applyNumberFormat="1" applyFont="1"/>
    <xf numFmtId="169" fontId="7" fillId="0" borderId="0" xfId="0" applyNumberFormat="1" applyFont="1"/>
    <xf numFmtId="165" fontId="7" fillId="0" borderId="0" xfId="2" applyNumberFormat="1" applyFont="1" applyFill="1"/>
    <xf numFmtId="43" fontId="7" fillId="0" borderId="0" xfId="0" applyNumberFormat="1" applyFont="1"/>
    <xf numFmtId="0" fontId="5" fillId="0" borderId="0" xfId="0" applyFont="1"/>
    <xf numFmtId="0" fontId="5" fillId="0" borderId="30" xfId="0" applyFont="1" applyBorder="1"/>
    <xf numFmtId="0" fontId="5" fillId="0" borderId="27" xfId="0" applyFont="1" applyBorder="1"/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 wrapText="1"/>
    </xf>
    <xf numFmtId="0" fontId="4" fillId="0" borderId="16" xfId="0" applyFont="1" applyBorder="1" applyAlignment="1">
      <alignment horizontal="center" wrapText="1"/>
    </xf>
    <xf numFmtId="0" fontId="4" fillId="0" borderId="15" xfId="0" applyFont="1" applyBorder="1" applyAlignment="1">
      <alignment horizontal="center"/>
    </xf>
    <xf numFmtId="0" fontId="4" fillId="0" borderId="14" xfId="0" applyFont="1" applyBorder="1" applyAlignment="1">
      <alignment horizontal="center" wrapText="1"/>
    </xf>
    <xf numFmtId="0" fontId="4" fillId="0" borderId="21" xfId="0" applyFont="1" applyBorder="1" applyAlignment="1">
      <alignment horizontal="center" wrapText="1"/>
    </xf>
    <xf numFmtId="0" fontId="4" fillId="0" borderId="22" xfId="0" applyFont="1" applyBorder="1" applyAlignment="1">
      <alignment horizontal="center" wrapText="1"/>
    </xf>
    <xf numFmtId="0" fontId="4" fillId="0" borderId="25" xfId="0" applyFont="1" applyBorder="1" applyAlignment="1">
      <alignment horizontal="center"/>
    </xf>
    <xf numFmtId="0" fontId="5" fillId="0" borderId="8" xfId="0" applyFont="1" applyBorder="1" applyAlignment="1">
      <alignment horizontal="left" indent="1"/>
    </xf>
    <xf numFmtId="0" fontId="5" fillId="0" borderId="9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165" fontId="5" fillId="0" borderId="38" xfId="0" applyNumberFormat="1" applyFont="1" applyBorder="1" applyAlignment="1">
      <alignment horizontal="right" indent="1"/>
    </xf>
    <xf numFmtId="165" fontId="5" fillId="0" borderId="7" xfId="0" applyNumberFormat="1" applyFont="1" applyBorder="1" applyAlignment="1">
      <alignment horizontal="right" indent="1"/>
    </xf>
    <xf numFmtId="3" fontId="5" fillId="0" borderId="31" xfId="0" applyNumberFormat="1" applyFont="1" applyBorder="1" applyAlignment="1">
      <alignment horizontal="right" indent="1"/>
    </xf>
    <xf numFmtId="0" fontId="5" fillId="0" borderId="23" xfId="0" applyFont="1" applyBorder="1" applyAlignment="1">
      <alignment horizontal="center"/>
    </xf>
    <xf numFmtId="166" fontId="5" fillId="0" borderId="24" xfId="0" applyNumberFormat="1" applyFont="1" applyBorder="1" applyAlignment="1">
      <alignment horizontal="center"/>
    </xf>
    <xf numFmtId="3" fontId="5" fillId="0" borderId="10" xfId="0" applyNumberFormat="1" applyFont="1" applyBorder="1" applyAlignment="1">
      <alignment horizontal="right" indent="1"/>
    </xf>
    <xf numFmtId="3" fontId="5" fillId="0" borderId="12" xfId="0" applyNumberFormat="1" applyFont="1" applyBorder="1" applyAlignment="1">
      <alignment horizontal="right" indent="1"/>
    </xf>
    <xf numFmtId="165" fontId="5" fillId="0" borderId="9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 indent="1"/>
    </xf>
    <xf numFmtId="0" fontId="5" fillId="0" borderId="9" xfId="0" applyFont="1" applyBorder="1" applyAlignment="1">
      <alignment horizontal="center" wrapText="1"/>
    </xf>
    <xf numFmtId="3" fontId="5" fillId="0" borderId="9" xfId="0" applyNumberFormat="1" applyFont="1" applyBorder="1" applyAlignment="1">
      <alignment horizontal="right" indent="1"/>
    </xf>
    <xf numFmtId="164" fontId="5" fillId="0" borderId="12" xfId="0" applyNumberFormat="1" applyFont="1" applyBorder="1" applyAlignment="1">
      <alignment horizontal="right" indent="1"/>
    </xf>
    <xf numFmtId="0" fontId="5" fillId="0" borderId="13" xfId="0" applyFont="1" applyBorder="1" applyAlignment="1">
      <alignment horizontal="left" indent="1"/>
    </xf>
    <xf numFmtId="0" fontId="5" fillId="0" borderId="3" xfId="0" applyFont="1" applyBorder="1" applyAlignment="1">
      <alignment horizontal="center" wrapText="1"/>
    </xf>
    <xf numFmtId="3" fontId="5" fillId="0" borderId="3" xfId="0" applyNumberFormat="1" applyFont="1" applyBorder="1" applyAlignment="1">
      <alignment horizontal="right" indent="1"/>
    </xf>
    <xf numFmtId="3" fontId="5" fillId="0" borderId="32" xfId="0" applyNumberFormat="1" applyFont="1" applyBorder="1" applyAlignment="1">
      <alignment horizontal="right" indent="1"/>
    </xf>
    <xf numFmtId="3" fontId="5" fillId="0" borderId="5" xfId="0" applyNumberFormat="1" applyFont="1" applyBorder="1" applyAlignment="1">
      <alignment horizontal="right" indent="1"/>
    </xf>
    <xf numFmtId="3" fontId="5" fillId="0" borderId="33" xfId="0" applyNumberFormat="1" applyFont="1" applyBorder="1" applyAlignment="1">
      <alignment horizontal="right" indent="1"/>
    </xf>
    <xf numFmtId="3" fontId="5" fillId="0" borderId="34" xfId="0" applyNumberFormat="1" applyFont="1" applyBorder="1" applyAlignment="1">
      <alignment horizontal="right" indent="1"/>
    </xf>
    <xf numFmtId="164" fontId="5" fillId="0" borderId="6" xfId="0" applyNumberFormat="1" applyFont="1" applyBorder="1" applyAlignment="1">
      <alignment horizontal="right" indent="1"/>
    </xf>
    <xf numFmtId="3" fontId="4" fillId="0" borderId="15" xfId="0" applyNumberFormat="1" applyFont="1" applyBorder="1" applyAlignment="1">
      <alignment horizontal="right" indent="1"/>
    </xf>
    <xf numFmtId="3" fontId="4" fillId="0" borderId="28" xfId="0" applyNumberFormat="1" applyFont="1" applyBorder="1" applyAlignment="1">
      <alignment horizontal="right" indent="1"/>
    </xf>
    <xf numFmtId="3" fontId="4" fillId="0" borderId="14" xfId="0" applyNumberFormat="1" applyFont="1" applyBorder="1" applyAlignment="1">
      <alignment horizontal="right" indent="1"/>
    </xf>
    <xf numFmtId="3" fontId="4" fillId="0" borderId="16" xfId="0" applyNumberFormat="1" applyFont="1" applyBorder="1" applyAlignment="1">
      <alignment horizontal="right" indent="1"/>
    </xf>
    <xf numFmtId="37" fontId="4" fillId="0" borderId="18" xfId="0" applyNumberFormat="1" applyFont="1" applyBorder="1"/>
    <xf numFmtId="164" fontId="4" fillId="0" borderId="16" xfId="0" applyNumberFormat="1" applyFont="1" applyBorder="1" applyAlignment="1">
      <alignment horizontal="right" indent="1"/>
    </xf>
    <xf numFmtId="165" fontId="5" fillId="0" borderId="0" xfId="1" applyNumberFormat="1" applyFont="1" applyFill="1"/>
    <xf numFmtId="43" fontId="5" fillId="0" borderId="0" xfId="0" applyNumberFormat="1" applyFont="1"/>
    <xf numFmtId="3" fontId="5" fillId="0" borderId="0" xfId="0" applyNumberFormat="1" applyFont="1" applyAlignment="1">
      <alignment horizontal="center"/>
    </xf>
    <xf numFmtId="0" fontId="4" fillId="0" borderId="0" xfId="4" applyFont="1"/>
    <xf numFmtId="0" fontId="5" fillId="0" borderId="0" xfId="4" applyFont="1"/>
    <xf numFmtId="0" fontId="4" fillId="0" borderId="11" xfId="4" applyFont="1" applyBorder="1" applyAlignment="1">
      <alignment horizontal="center"/>
    </xf>
    <xf numFmtId="0" fontId="5" fillId="0" borderId="11" xfId="4" applyFont="1" applyBorder="1" applyAlignment="1">
      <alignment horizontal="left" indent="1"/>
    </xf>
    <xf numFmtId="3" fontId="5" fillId="0" borderId="11" xfId="4" applyNumberFormat="1" applyFont="1" applyBorder="1" applyAlignment="1">
      <alignment horizontal="right" indent="1"/>
    </xf>
    <xf numFmtId="165" fontId="5" fillId="0" borderId="11" xfId="4" applyNumberFormat="1" applyFont="1" applyBorder="1" applyAlignment="1">
      <alignment horizontal="right" indent="1"/>
    </xf>
    <xf numFmtId="0" fontId="4" fillId="0" borderId="11" xfId="4" applyFont="1" applyBorder="1"/>
    <xf numFmtId="3" fontId="4" fillId="0" borderId="11" xfId="4" applyNumberFormat="1" applyFont="1" applyBorder="1" applyAlignment="1">
      <alignment horizontal="right"/>
    </xf>
    <xf numFmtId="165" fontId="4" fillId="0" borderId="11" xfId="4" applyNumberFormat="1" applyFont="1" applyBorder="1" applyAlignment="1">
      <alignment horizontal="center"/>
    </xf>
    <xf numFmtId="3" fontId="5" fillId="0" borderId="0" xfId="4" applyNumberFormat="1" applyFont="1"/>
    <xf numFmtId="0" fontId="5" fillId="0" borderId="0" xfId="4" applyFont="1" applyAlignment="1">
      <alignment horizontal="right"/>
    </xf>
    <xf numFmtId="167" fontId="5" fillId="0" borderId="0" xfId="2" applyNumberFormat="1" applyFont="1" applyFill="1"/>
    <xf numFmtId="0" fontId="5" fillId="0" borderId="0" xfId="5" applyNumberFormat="1" applyFont="1" applyFill="1" applyAlignment="1">
      <alignment horizontal="center"/>
    </xf>
    <xf numFmtId="167" fontId="5" fillId="0" borderId="0" xfId="5" applyNumberFormat="1" applyFont="1" applyFill="1" applyAlignment="1">
      <alignment horizontal="center"/>
    </xf>
    <xf numFmtId="167" fontId="5" fillId="0" borderId="0" xfId="4" applyNumberFormat="1" applyFont="1"/>
    <xf numFmtId="0" fontId="4" fillId="0" borderId="11" xfId="0" applyFont="1" applyBorder="1" applyAlignment="1">
      <alignment horizontal="center"/>
    </xf>
    <xf numFmtId="0" fontId="4" fillId="0" borderId="11" xfId="4" applyFont="1" applyBorder="1" applyAlignment="1">
      <alignment horizontal="center" wrapText="1"/>
    </xf>
    <xf numFmtId="166" fontId="5" fillId="0" borderId="11" xfId="4" applyNumberFormat="1" applyFont="1" applyBorder="1" applyAlignment="1">
      <alignment horizontal="center"/>
    </xf>
    <xf numFmtId="3" fontId="4" fillId="0" borderId="11" xfId="4" applyNumberFormat="1" applyFont="1" applyBorder="1" applyAlignment="1">
      <alignment horizontal="right" indent="1"/>
    </xf>
    <xf numFmtId="166" fontId="4" fillId="0" borderId="11" xfId="4" applyNumberFormat="1" applyFont="1" applyBorder="1" applyAlignment="1">
      <alignment horizontal="center"/>
    </xf>
    <xf numFmtId="3" fontId="4" fillId="0" borderId="11" xfId="4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8" xfId="0" applyFont="1" applyBorder="1" applyAlignment="1">
      <alignment horizontal="left"/>
    </xf>
    <xf numFmtId="0" fontId="4" fillId="0" borderId="19" xfId="0" applyFont="1" applyBorder="1" applyAlignment="1">
      <alignment horizontal="left"/>
    </xf>
    <xf numFmtId="0" fontId="4" fillId="0" borderId="20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4" fillId="0" borderId="39" xfId="0" applyFont="1" applyBorder="1" applyAlignment="1">
      <alignment horizontal="center"/>
    </xf>
    <xf numFmtId="0" fontId="4" fillId="0" borderId="40" xfId="4" applyFont="1" applyBorder="1" applyAlignment="1">
      <alignment horizontal="center"/>
    </xf>
    <xf numFmtId="0" fontId="4" fillId="0" borderId="41" xfId="4" applyFont="1" applyBorder="1" applyAlignment="1">
      <alignment horizontal="center"/>
    </xf>
    <xf numFmtId="0" fontId="4" fillId="0" borderId="42" xfId="4" applyFont="1" applyBorder="1" applyAlignment="1">
      <alignment horizontal="center"/>
    </xf>
    <xf numFmtId="0" fontId="4" fillId="0" borderId="0" xfId="4" applyFont="1" applyAlignment="1">
      <alignment horizontal="center"/>
    </xf>
  </cellXfs>
  <cellStyles count="7">
    <cellStyle name="Comma" xfId="1" builtinId="3"/>
    <cellStyle name="Hyperlink" xfId="6" builtinId="8"/>
    <cellStyle name="Input" xfId="3" builtinId="20"/>
    <cellStyle name="Normal" xfId="0" builtinId="0"/>
    <cellStyle name="Normal 2" xfId="4" xr:uid="{00000000-0005-0000-0000-000003000000}"/>
    <cellStyle name="Percent" xfId="2" builtinId="5"/>
    <cellStyle name="Percent 2" xfId="5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9525</xdr:colOff>
      <xdr:row>21</xdr:row>
      <xdr:rowOff>76200</xdr:rowOff>
    </xdr:from>
    <xdr:to>
      <xdr:col>23</xdr:col>
      <xdr:colOff>593725</xdr:colOff>
      <xdr:row>71</xdr:row>
      <xdr:rowOff>19050</xdr:rowOff>
    </xdr:to>
    <xdr:pic>
      <xdr:nvPicPr>
        <xdr:cNvPr id="4" name="Picture 3" descr="map image: Colorado River Basin w/CRSP Projects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86900" y="4152900"/>
          <a:ext cx="5619750" cy="836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CACCB-2274-4054-ADE9-EAC4AAD08DB0}">
  <sheetPr codeName="Sheet6"/>
  <dimension ref="A1:A5"/>
  <sheetViews>
    <sheetView tabSelected="1" zoomScaleNormal="100" workbookViewId="0">
      <selection activeCell="D11" sqref="D11"/>
    </sheetView>
  </sheetViews>
  <sheetFormatPr defaultRowHeight="13" x14ac:dyDescent="0.3"/>
  <cols>
    <col min="1" max="16384" width="8.7265625" style="1"/>
  </cols>
  <sheetData>
    <row r="1" spans="1:1" x14ac:dyDescent="0.3">
      <c r="A1" s="2" t="s">
        <v>92</v>
      </c>
    </row>
    <row r="2" spans="1:1" x14ac:dyDescent="0.3">
      <c r="A2" s="2" t="s">
        <v>93</v>
      </c>
    </row>
    <row r="3" spans="1:1" x14ac:dyDescent="0.3">
      <c r="A3" s="2" t="s">
        <v>94</v>
      </c>
    </row>
    <row r="4" spans="1:1" x14ac:dyDescent="0.3">
      <c r="A4" s="2" t="s">
        <v>95</v>
      </c>
    </row>
    <row r="5" spans="1:1" x14ac:dyDescent="0.3">
      <c r="A5" s="2" t="s">
        <v>96</v>
      </c>
    </row>
  </sheetData>
  <hyperlinks>
    <hyperlink ref="A1" location="'Summary'!A1" display="Summary" xr:uid="{4D65BABF-E6F1-4DA1-83A2-1D18931CAF2C}"/>
    <hyperlink ref="A2" location="'Table G.1'!A1" display="Table G.1" xr:uid="{312B25DE-C8C6-4C59-B5DF-60E2A7D04D29}"/>
    <hyperlink ref="A3" location="'Table G.2'!A1" display="Table G.2" xr:uid="{0FDE2803-A342-401A-B4B1-2D3F0489A670}"/>
    <hyperlink ref="A4" location="'Table G.3'!A1" display="Table G.3" xr:uid="{4F859320-9FD9-4DF1-9C58-BAB7A20F935F}"/>
    <hyperlink ref="A5" location="'Table G.4'!A1" display="Table G.4" xr:uid="{0ED4C2C9-7F4C-4F1E-ADF0-B84A509874F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K20"/>
  <sheetViews>
    <sheetView zoomScaleNormal="100" workbookViewId="0"/>
  </sheetViews>
  <sheetFormatPr defaultRowHeight="13" x14ac:dyDescent="0.3"/>
  <cols>
    <col min="1" max="1" width="14" style="1" customWidth="1"/>
    <col min="2" max="2" width="8.7265625" style="1"/>
    <col min="3" max="5" width="11.26953125" style="1" customWidth="1"/>
    <col min="6" max="6" width="10.26953125" style="1" bestFit="1" customWidth="1"/>
    <col min="7" max="10" width="10.1796875" style="1" customWidth="1"/>
    <col min="11" max="11" width="13.1796875" style="1" customWidth="1"/>
    <col min="12" max="13" width="11.7265625" style="1" customWidth="1"/>
    <col min="14" max="14" width="11" style="1" customWidth="1"/>
    <col min="15" max="15" width="10.81640625" style="1" bestFit="1" customWidth="1"/>
    <col min="16" max="16" width="8.81640625" style="1" bestFit="1" customWidth="1"/>
    <col min="17" max="17" width="8.7265625" style="1"/>
    <col min="18" max="18" width="8.81640625" style="1" bestFit="1" customWidth="1"/>
    <col min="19" max="21" width="9" style="1" bestFit="1" customWidth="1"/>
    <col min="22" max="22" width="10.36328125" style="1" bestFit="1" customWidth="1"/>
    <col min="23" max="37" width="8.81640625" style="1" bestFit="1" customWidth="1"/>
    <col min="38" max="16384" width="8.7265625" style="1"/>
  </cols>
  <sheetData>
    <row r="1" spans="1:37" ht="13.5" thickBot="1" x14ac:dyDescent="0.35">
      <c r="C1" s="3" t="s">
        <v>0</v>
      </c>
      <c r="D1" s="4"/>
      <c r="E1" s="4"/>
      <c r="F1" s="4"/>
      <c r="G1" s="4"/>
      <c r="H1" s="4"/>
      <c r="I1" s="5"/>
      <c r="J1" s="5"/>
      <c r="S1" s="3" t="s">
        <v>50</v>
      </c>
      <c r="T1" s="4"/>
      <c r="U1" s="4"/>
      <c r="V1" s="4"/>
      <c r="W1" s="4"/>
      <c r="X1" s="4"/>
      <c r="Y1" s="4"/>
    </row>
    <row r="2" spans="1:37" ht="65.5" thickBot="1" x14ac:dyDescent="0.35">
      <c r="A2" s="6" t="s">
        <v>28</v>
      </c>
      <c r="B2" s="6" t="s">
        <v>27</v>
      </c>
      <c r="C2" s="6">
        <f>F2-3</f>
        <v>2008</v>
      </c>
      <c r="D2" s="6">
        <f>F2-2</f>
        <v>2009</v>
      </c>
      <c r="E2" s="6">
        <f>F2-1</f>
        <v>2010</v>
      </c>
      <c r="F2" s="13">
        <v>2011</v>
      </c>
      <c r="G2" s="14">
        <v>2012</v>
      </c>
      <c r="H2" s="14">
        <v>2013</v>
      </c>
      <c r="I2" s="14">
        <v>2014</v>
      </c>
      <c r="J2" s="14">
        <v>2015</v>
      </c>
      <c r="K2" s="6" t="s">
        <v>54</v>
      </c>
      <c r="L2" s="6" t="s">
        <v>30</v>
      </c>
      <c r="M2" s="6" t="s">
        <v>31</v>
      </c>
      <c r="N2" s="6" t="s">
        <v>36</v>
      </c>
      <c r="O2" s="6" t="s">
        <v>35</v>
      </c>
      <c r="P2" s="6" t="s">
        <v>42</v>
      </c>
      <c r="Q2" s="6" t="s">
        <v>45</v>
      </c>
      <c r="R2" s="6" t="s">
        <v>34</v>
      </c>
      <c r="S2" s="6">
        <f>C2</f>
        <v>2008</v>
      </c>
      <c r="T2" s="6">
        <f t="shared" ref="T2:V2" si="0">D2</f>
        <v>2009</v>
      </c>
      <c r="U2" s="6">
        <f t="shared" si="0"/>
        <v>2010</v>
      </c>
      <c r="V2" s="6">
        <f t="shared" si="0"/>
        <v>2011</v>
      </c>
      <c r="W2" s="6">
        <f t="shared" ref="W2" si="1">G2</f>
        <v>2012</v>
      </c>
      <c r="X2" s="6">
        <f t="shared" ref="X2:Y2" si="2">H2</f>
        <v>2013</v>
      </c>
      <c r="Y2" s="6">
        <f t="shared" si="2"/>
        <v>2014</v>
      </c>
      <c r="Z2" s="6">
        <v>2015</v>
      </c>
      <c r="AA2" s="6">
        <v>2016</v>
      </c>
      <c r="AB2" s="6">
        <v>2017</v>
      </c>
      <c r="AC2" s="6">
        <v>2018</v>
      </c>
      <c r="AD2" s="6">
        <v>2019</v>
      </c>
      <c r="AE2" s="6">
        <v>2020</v>
      </c>
      <c r="AF2" s="6">
        <v>2021</v>
      </c>
      <c r="AG2" s="6">
        <v>2022</v>
      </c>
      <c r="AH2" s="6">
        <v>2023</v>
      </c>
      <c r="AI2" s="6">
        <v>2024</v>
      </c>
      <c r="AJ2" s="6">
        <v>2025</v>
      </c>
      <c r="AK2" s="6">
        <v>2026</v>
      </c>
    </row>
    <row r="3" spans="1:37" x14ac:dyDescent="0.3">
      <c r="A3" s="1" t="s">
        <v>18</v>
      </c>
      <c r="B3" s="1" t="s">
        <v>1</v>
      </c>
      <c r="C3" s="7">
        <v>250044</v>
      </c>
      <c r="D3" s="7">
        <v>279363</v>
      </c>
      <c r="E3" s="7">
        <v>274358</v>
      </c>
      <c r="F3" s="7">
        <v>278081</v>
      </c>
      <c r="G3" s="7">
        <v>268542</v>
      </c>
      <c r="H3" s="7">
        <v>250722</v>
      </c>
      <c r="I3" s="7">
        <v>274996</v>
      </c>
      <c r="K3" s="7"/>
      <c r="L3" s="8"/>
      <c r="M3" s="1" t="s">
        <v>32</v>
      </c>
      <c r="N3" s="1" t="s">
        <v>33</v>
      </c>
      <c r="O3" s="1" t="s">
        <v>40</v>
      </c>
      <c r="P3" s="1" t="b">
        <v>0</v>
      </c>
      <c r="Q3" s="9" t="s">
        <v>81</v>
      </c>
      <c r="R3" s="1" t="b">
        <v>0</v>
      </c>
      <c r="S3" s="7">
        <v>0</v>
      </c>
      <c r="T3" s="7">
        <v>0</v>
      </c>
      <c r="U3" s="7">
        <v>0</v>
      </c>
      <c r="V3" s="10">
        <v>0</v>
      </c>
      <c r="W3" s="10">
        <v>0</v>
      </c>
      <c r="X3" s="10">
        <v>0</v>
      </c>
      <c r="Y3" s="10">
        <v>0</v>
      </c>
    </row>
    <row r="4" spans="1:37" x14ac:dyDescent="0.3">
      <c r="A4" s="1" t="s">
        <v>29</v>
      </c>
      <c r="B4" s="1" t="s">
        <v>5</v>
      </c>
      <c r="C4" s="7">
        <v>1204984</v>
      </c>
      <c r="D4" s="7">
        <v>1211875</v>
      </c>
      <c r="E4" s="7">
        <v>1296004</v>
      </c>
      <c r="F4" s="7">
        <v>1332218</v>
      </c>
      <c r="G4" s="7">
        <v>1287240</v>
      </c>
      <c r="H4" s="7">
        <v>1197765</v>
      </c>
      <c r="I4" s="7">
        <v>1283645</v>
      </c>
      <c r="J4" s="7">
        <v>392328</v>
      </c>
      <c r="K4" s="7">
        <v>172</v>
      </c>
      <c r="L4" s="8"/>
      <c r="M4" s="1" t="s">
        <v>32</v>
      </c>
      <c r="N4" s="1" t="s">
        <v>37</v>
      </c>
      <c r="O4" s="1" t="s">
        <v>40</v>
      </c>
      <c r="P4" s="1" t="b">
        <v>1</v>
      </c>
      <c r="Q4" s="9" t="s">
        <v>81</v>
      </c>
      <c r="R4" s="1" t="b">
        <v>1</v>
      </c>
      <c r="S4" s="7">
        <v>2199</v>
      </c>
      <c r="T4" s="7">
        <v>2349</v>
      </c>
      <c r="U4" s="7">
        <v>2193</v>
      </c>
      <c r="V4" s="10">
        <v>2457.517992575782</v>
      </c>
      <c r="W4" s="10">
        <f>'Table G.1'!H4</f>
        <v>0</v>
      </c>
      <c r="X4" s="10">
        <f>'Table G.1'!I4</f>
        <v>0</v>
      </c>
      <c r="Y4" s="10">
        <f>'Table G.1'!J4</f>
        <v>0</v>
      </c>
    </row>
    <row r="5" spans="1:37" x14ac:dyDescent="0.3">
      <c r="A5" s="1" t="s">
        <v>19</v>
      </c>
      <c r="B5" s="1" t="s">
        <v>2</v>
      </c>
      <c r="C5" s="7">
        <v>715441</v>
      </c>
      <c r="D5" s="7">
        <v>1750041</v>
      </c>
      <c r="E5" s="7">
        <v>1296741</v>
      </c>
      <c r="F5" s="7">
        <v>664684</v>
      </c>
      <c r="G5" s="7">
        <v>849938</v>
      </c>
      <c r="H5" s="7">
        <v>1674194</v>
      </c>
      <c r="I5" s="7">
        <v>2543785</v>
      </c>
      <c r="J5" s="7">
        <v>1095433</v>
      </c>
      <c r="K5" s="7">
        <v>518</v>
      </c>
      <c r="L5" s="8"/>
      <c r="M5" s="1" t="s">
        <v>32</v>
      </c>
      <c r="N5" s="1" t="s">
        <v>38</v>
      </c>
      <c r="O5" s="1" t="s">
        <v>39</v>
      </c>
      <c r="P5" s="1" t="b">
        <v>0</v>
      </c>
      <c r="Q5" s="9" t="s">
        <v>44</v>
      </c>
      <c r="R5" s="1" t="b">
        <v>1</v>
      </c>
      <c r="S5" s="7">
        <v>0</v>
      </c>
      <c r="T5" s="7">
        <v>0</v>
      </c>
      <c r="U5" s="7">
        <v>0</v>
      </c>
      <c r="V5" s="10">
        <v>0</v>
      </c>
      <c r="W5" s="10">
        <v>0</v>
      </c>
      <c r="X5" s="10">
        <v>0</v>
      </c>
      <c r="Y5" s="10">
        <v>0</v>
      </c>
    </row>
    <row r="6" spans="1:37" x14ac:dyDescent="0.3">
      <c r="A6" s="1" t="s">
        <v>46</v>
      </c>
      <c r="B6" s="1" t="s">
        <v>3</v>
      </c>
      <c r="C6" s="7">
        <v>2510591</v>
      </c>
      <c r="D6" s="7">
        <v>2877189</v>
      </c>
      <c r="E6" s="7">
        <v>2621521</v>
      </c>
      <c r="F6" s="7">
        <v>2688370</v>
      </c>
      <c r="G6" s="7">
        <v>2703937</v>
      </c>
      <c r="H6" s="7">
        <v>2393681</v>
      </c>
      <c r="I6" s="7">
        <v>2633874</v>
      </c>
      <c r="K6" s="7">
        <v>395</v>
      </c>
      <c r="L6" s="8"/>
      <c r="Q6" s="9" t="s">
        <v>81</v>
      </c>
      <c r="R6" s="1" t="b">
        <v>0</v>
      </c>
      <c r="S6" s="7">
        <v>0</v>
      </c>
      <c r="T6" s="7">
        <v>0</v>
      </c>
      <c r="U6" s="7">
        <v>0</v>
      </c>
      <c r="V6" s="10">
        <v>0</v>
      </c>
      <c r="W6" s="10">
        <v>0</v>
      </c>
      <c r="X6" s="10">
        <v>0</v>
      </c>
      <c r="Y6" s="10">
        <v>0</v>
      </c>
    </row>
    <row r="7" spans="1:37" x14ac:dyDescent="0.3">
      <c r="A7" s="1" t="s">
        <v>48</v>
      </c>
      <c r="B7" s="1" t="s">
        <v>4</v>
      </c>
      <c r="C7" s="7">
        <v>11854808</v>
      </c>
      <c r="D7" s="7">
        <v>8561655</v>
      </c>
      <c r="E7" s="7">
        <v>11659502</v>
      </c>
      <c r="F7" s="7">
        <v>9416213</v>
      </c>
      <c r="G7" s="7">
        <v>1099064</v>
      </c>
      <c r="H7" s="7">
        <v>837293</v>
      </c>
      <c r="I7" s="7">
        <v>1021984</v>
      </c>
      <c r="K7" s="7">
        <v>1480</v>
      </c>
      <c r="L7" s="8"/>
      <c r="Q7" s="9" t="s">
        <v>81</v>
      </c>
      <c r="R7" s="1" t="b">
        <v>0</v>
      </c>
      <c r="S7" s="7">
        <v>0</v>
      </c>
      <c r="T7" s="7">
        <v>0</v>
      </c>
      <c r="U7" s="7">
        <v>0</v>
      </c>
      <c r="V7" s="10">
        <v>0</v>
      </c>
      <c r="W7" s="10">
        <v>0</v>
      </c>
      <c r="X7" s="10">
        <v>0</v>
      </c>
      <c r="Y7" s="10">
        <v>0</v>
      </c>
      <c r="AB7" s="11"/>
    </row>
    <row r="8" spans="1:37" x14ac:dyDescent="0.3">
      <c r="A8" s="1" t="s">
        <v>49</v>
      </c>
      <c r="B8" s="1" t="s">
        <v>6</v>
      </c>
      <c r="C8" s="7">
        <v>6787636</v>
      </c>
      <c r="D8" s="7">
        <v>6543737</v>
      </c>
      <c r="E8" s="7">
        <v>6306591</v>
      </c>
      <c r="F8" s="7">
        <v>5803995</v>
      </c>
      <c r="G8" s="7">
        <v>1344729</v>
      </c>
      <c r="H8" s="7">
        <v>1017613</v>
      </c>
      <c r="I8" s="7">
        <v>1205340</v>
      </c>
      <c r="K8" s="7">
        <v>855</v>
      </c>
      <c r="L8" s="8"/>
      <c r="Q8" s="9" t="s">
        <v>81</v>
      </c>
      <c r="R8" s="1" t="b">
        <v>0</v>
      </c>
      <c r="S8" s="7">
        <v>0</v>
      </c>
      <c r="T8" s="7">
        <v>0</v>
      </c>
      <c r="U8" s="7">
        <v>0</v>
      </c>
      <c r="V8" s="10">
        <v>0</v>
      </c>
      <c r="W8" s="10">
        <v>0</v>
      </c>
      <c r="X8" s="10">
        <v>0</v>
      </c>
      <c r="Y8" s="10">
        <v>0</v>
      </c>
    </row>
    <row r="9" spans="1:37" x14ac:dyDescent="0.3">
      <c r="A9" s="1" t="s">
        <v>20</v>
      </c>
      <c r="B9" s="1" t="s">
        <v>7</v>
      </c>
      <c r="C9" s="7">
        <v>2799585</v>
      </c>
      <c r="D9" s="7">
        <v>2464463</v>
      </c>
      <c r="E9" s="7">
        <v>2536660</v>
      </c>
      <c r="F9" s="7">
        <v>2396242</v>
      </c>
      <c r="G9" s="7">
        <v>2132523</v>
      </c>
      <c r="H9" s="7">
        <v>2359924</v>
      </c>
      <c r="I9" s="7">
        <v>2498058</v>
      </c>
      <c r="J9" s="7">
        <v>2257106</v>
      </c>
      <c r="K9" s="7">
        <v>445</v>
      </c>
      <c r="L9" s="8"/>
      <c r="M9" s="1" t="s">
        <v>32</v>
      </c>
      <c r="N9" s="1" t="s">
        <v>38</v>
      </c>
      <c r="O9" s="1" t="s">
        <v>40</v>
      </c>
      <c r="P9" s="1" t="b">
        <v>0</v>
      </c>
      <c r="Q9" s="9" t="s">
        <v>44</v>
      </c>
      <c r="R9" s="1" t="b">
        <v>1</v>
      </c>
      <c r="S9" s="7">
        <v>82</v>
      </c>
      <c r="T9" s="7">
        <v>108</v>
      </c>
      <c r="U9" s="7">
        <v>82.48310086865996</v>
      </c>
      <c r="V9" s="10">
        <v>78.039630227577476</v>
      </c>
      <c r="W9" s="10">
        <f>'Table G.1'!H9</f>
        <v>90</v>
      </c>
      <c r="X9" s="10">
        <f>'Table G.1'!I9</f>
        <v>84</v>
      </c>
      <c r="Y9" s="10">
        <f>'Table G.1'!J9</f>
        <v>91.904900517347585</v>
      </c>
    </row>
    <row r="10" spans="1:37" x14ac:dyDescent="0.3">
      <c r="A10" s="1" t="s">
        <v>43</v>
      </c>
      <c r="B10" s="1" t="s">
        <v>8</v>
      </c>
      <c r="C10" s="7">
        <v>5638807</v>
      </c>
      <c r="D10" s="7">
        <v>5017794</v>
      </c>
      <c r="E10" s="7">
        <v>4704694</v>
      </c>
      <c r="F10" s="7">
        <v>5059930</v>
      </c>
      <c r="G10" s="7">
        <v>4906422</v>
      </c>
      <c r="H10" s="7">
        <v>5308783</v>
      </c>
      <c r="I10" s="7">
        <v>5183347</v>
      </c>
      <c r="J10" s="7">
        <v>5140970</v>
      </c>
      <c r="K10" s="7">
        <v>762</v>
      </c>
      <c r="L10" s="8"/>
      <c r="M10" s="1" t="s">
        <v>32</v>
      </c>
      <c r="N10" s="1" t="s">
        <v>37</v>
      </c>
      <c r="O10" s="1" t="s">
        <v>41</v>
      </c>
      <c r="P10" s="1" t="b">
        <v>0</v>
      </c>
      <c r="Q10" s="9" t="s">
        <v>81</v>
      </c>
      <c r="R10" s="1" t="b">
        <v>1</v>
      </c>
      <c r="S10" s="7">
        <v>7745.7</v>
      </c>
      <c r="T10" s="7">
        <v>6982.9</v>
      </c>
      <c r="U10" s="7">
        <v>6603.8718635204441</v>
      </c>
      <c r="V10" s="10">
        <v>7232.8921329073728</v>
      </c>
      <c r="W10" s="10">
        <f>'Table G.1'!H10</f>
        <v>7721</v>
      </c>
      <c r="X10" s="10">
        <f>'Table G.1'!I10</f>
        <v>8941</v>
      </c>
      <c r="Y10" s="10">
        <f>'Table G.1'!J10</f>
        <v>9473.7201997231859</v>
      </c>
    </row>
    <row r="11" spans="1:37" x14ac:dyDescent="0.3">
      <c r="A11" s="1" t="s">
        <v>21</v>
      </c>
      <c r="B11" s="1" t="s">
        <v>9</v>
      </c>
      <c r="C11" s="7">
        <v>482903</v>
      </c>
      <c r="D11" s="7">
        <v>607387</v>
      </c>
      <c r="E11" s="7">
        <v>359404</v>
      </c>
      <c r="F11" s="7">
        <v>194382</v>
      </c>
      <c r="G11" s="7">
        <v>214739</v>
      </c>
      <c r="H11" s="7">
        <f>222396+117464</f>
        <v>339860</v>
      </c>
      <c r="I11" s="7">
        <v>325677</v>
      </c>
      <c r="J11" s="7">
        <v>123795</v>
      </c>
      <c r="K11" s="7">
        <v>230</v>
      </c>
      <c r="L11" s="8"/>
      <c r="M11" s="1" t="s">
        <v>32</v>
      </c>
      <c r="N11" s="1" t="s">
        <v>38</v>
      </c>
      <c r="O11" s="1" t="s">
        <v>40</v>
      </c>
      <c r="P11" s="1" t="b">
        <v>0</v>
      </c>
      <c r="Q11" s="9" t="s">
        <v>81</v>
      </c>
      <c r="R11" s="1" t="b">
        <v>1</v>
      </c>
      <c r="S11" s="7">
        <v>425.51</v>
      </c>
      <c r="T11" s="7">
        <v>680.48</v>
      </c>
      <c r="U11" s="7">
        <v>893.30564152041916</v>
      </c>
      <c r="V11" s="10">
        <v>863.9501673751962</v>
      </c>
      <c r="W11" s="10">
        <f>'Table G.1'!H11</f>
        <v>1059</v>
      </c>
      <c r="X11" s="10">
        <f>'Table G.1'!I11</f>
        <v>610</v>
      </c>
      <c r="Y11" s="10">
        <f>'Table G.1'!J11</f>
        <v>366.8939394238497</v>
      </c>
    </row>
    <row r="12" spans="1:37" x14ac:dyDescent="0.3">
      <c r="A12" s="1" t="s">
        <v>47</v>
      </c>
      <c r="B12" s="1" t="s">
        <v>10</v>
      </c>
      <c r="C12" s="7">
        <v>3422371</v>
      </c>
      <c r="D12" s="7">
        <v>3229660</v>
      </c>
      <c r="E12" s="7">
        <v>3513670</v>
      </c>
      <c r="F12" s="7">
        <v>2828806</v>
      </c>
      <c r="G12" s="7">
        <v>488619</v>
      </c>
      <c r="H12" s="7">
        <v>646108</v>
      </c>
      <c r="I12" s="7">
        <v>579722</v>
      </c>
      <c r="K12" s="7">
        <v>446</v>
      </c>
      <c r="L12" s="8"/>
      <c r="Q12" s="9" t="s">
        <v>81</v>
      </c>
      <c r="R12" s="1" t="b">
        <v>0</v>
      </c>
      <c r="S12" s="7">
        <v>0</v>
      </c>
      <c r="T12" s="7">
        <v>0</v>
      </c>
      <c r="U12" s="7">
        <v>0</v>
      </c>
      <c r="V12" s="10">
        <v>0</v>
      </c>
      <c r="W12" s="10">
        <v>0</v>
      </c>
      <c r="X12" s="10">
        <v>0</v>
      </c>
      <c r="Y12" s="10">
        <v>0</v>
      </c>
    </row>
    <row r="13" spans="1:37" x14ac:dyDescent="0.3">
      <c r="A13" s="1" t="s">
        <v>67</v>
      </c>
      <c r="B13" s="1" t="s">
        <v>11</v>
      </c>
      <c r="C13" s="7">
        <v>3604813</v>
      </c>
      <c r="D13" s="7">
        <v>3100515</v>
      </c>
      <c r="E13" s="7">
        <v>3185559</v>
      </c>
      <c r="F13" s="7">
        <v>2313262</v>
      </c>
      <c r="G13" s="7">
        <v>1149724</v>
      </c>
      <c r="H13" s="7">
        <v>1293909</v>
      </c>
      <c r="I13" s="7">
        <v>1164903</v>
      </c>
      <c r="K13" s="7">
        <v>474</v>
      </c>
      <c r="L13" s="8"/>
      <c r="Q13" s="9" t="s">
        <v>81</v>
      </c>
      <c r="R13" s="1" t="b">
        <v>0</v>
      </c>
      <c r="S13" s="7">
        <v>0</v>
      </c>
      <c r="T13" s="7">
        <v>0</v>
      </c>
      <c r="U13" s="7">
        <v>0</v>
      </c>
      <c r="V13" s="10">
        <v>0</v>
      </c>
      <c r="W13" s="10">
        <v>0</v>
      </c>
      <c r="X13" s="10">
        <v>0</v>
      </c>
      <c r="Y13" s="10">
        <v>0</v>
      </c>
    </row>
    <row r="14" spans="1:37" x14ac:dyDescent="0.3">
      <c r="A14" s="1" t="s">
        <v>23</v>
      </c>
      <c r="B14" s="1" t="s">
        <v>13</v>
      </c>
      <c r="C14" s="7">
        <v>10246965</v>
      </c>
      <c r="D14" s="7">
        <v>9438683</v>
      </c>
      <c r="E14" s="7">
        <v>8785827</v>
      </c>
      <c r="F14" s="7">
        <v>8719300</v>
      </c>
      <c r="G14" s="7">
        <v>7574593</v>
      </c>
      <c r="H14" s="7">
        <f>2858108+1987634+3222147</f>
        <v>8067889</v>
      </c>
      <c r="I14" s="7">
        <v>9098918</v>
      </c>
      <c r="J14" s="7">
        <v>9630419</v>
      </c>
      <c r="K14" s="7">
        <v>1369</v>
      </c>
      <c r="L14" s="8"/>
      <c r="M14" s="1" t="s">
        <v>32</v>
      </c>
      <c r="N14" s="1" t="s">
        <v>37</v>
      </c>
      <c r="O14" s="1" t="s">
        <v>40</v>
      </c>
      <c r="P14" s="1" t="b">
        <v>1</v>
      </c>
      <c r="Q14" s="9" t="s">
        <v>81</v>
      </c>
      <c r="R14" s="1" t="b">
        <v>1</v>
      </c>
      <c r="S14" s="7">
        <v>19380</v>
      </c>
      <c r="T14" s="7">
        <v>19300</v>
      </c>
      <c r="U14" s="7">
        <v>18941</v>
      </c>
      <c r="V14" s="10">
        <v>16960.801673228347</v>
      </c>
      <c r="W14" s="10">
        <f>'Table G.1'!H12</f>
        <v>18266</v>
      </c>
      <c r="X14" s="10">
        <f>'Table G.1'!I12</f>
        <v>17001</v>
      </c>
      <c r="Y14" s="10">
        <f>'Table G.1'!J12</f>
        <v>16662</v>
      </c>
    </row>
    <row r="15" spans="1:37" x14ac:dyDescent="0.3">
      <c r="A15" s="1" t="s">
        <v>22</v>
      </c>
      <c r="B15" s="1" t="s">
        <v>12</v>
      </c>
      <c r="C15" s="7">
        <v>7148850</v>
      </c>
      <c r="D15" s="7">
        <v>6753764</v>
      </c>
      <c r="E15" s="7">
        <v>6107379</v>
      </c>
      <c r="F15" s="7">
        <v>5961604</v>
      </c>
      <c r="G15" s="7">
        <v>6744160</v>
      </c>
      <c r="H15" s="7">
        <v>6768625</v>
      </c>
      <c r="I15" s="7">
        <v>6300558</v>
      </c>
      <c r="J15" s="7">
        <v>5988318</v>
      </c>
      <c r="K15" s="7">
        <v>913</v>
      </c>
      <c r="L15" s="8"/>
      <c r="M15" s="1" t="s">
        <v>32</v>
      </c>
      <c r="N15" s="1" t="s">
        <v>37</v>
      </c>
      <c r="O15" s="1" t="s">
        <v>40</v>
      </c>
      <c r="P15" s="1" t="b">
        <v>1</v>
      </c>
      <c r="Q15" s="9" t="s">
        <v>81</v>
      </c>
      <c r="R15" s="1" t="b">
        <v>1</v>
      </c>
      <c r="S15" s="7">
        <v>11385</v>
      </c>
      <c r="T15" s="7">
        <v>10922</v>
      </c>
      <c r="U15" s="7">
        <v>9548.8553139130436</v>
      </c>
      <c r="V15" s="10">
        <v>9069.0535500000005</v>
      </c>
      <c r="W15" s="10">
        <f>'Table G.1'!H13</f>
        <v>10423</v>
      </c>
      <c r="X15" s="10">
        <f>'Table G.1'!I13</f>
        <v>10643</v>
      </c>
      <c r="Y15" s="10">
        <f>'Table G.1'!J13</f>
        <v>10239.805018008936</v>
      </c>
    </row>
    <row r="16" spans="1:37" x14ac:dyDescent="0.3">
      <c r="A16" s="1" t="s">
        <v>24</v>
      </c>
      <c r="B16" s="1" t="s">
        <v>14</v>
      </c>
      <c r="C16" s="7">
        <v>15303508</v>
      </c>
      <c r="D16" s="7">
        <v>15188184</v>
      </c>
      <c r="E16" s="7">
        <v>14828906</v>
      </c>
      <c r="F16" s="7">
        <v>12771611</v>
      </c>
      <c r="G16" s="7">
        <v>9250668</v>
      </c>
      <c r="H16" s="7">
        <v>9936388</v>
      </c>
      <c r="I16" s="7">
        <v>14016315</v>
      </c>
      <c r="J16" s="7">
        <v>13439341</v>
      </c>
      <c r="K16" s="7">
        <v>2123</v>
      </c>
      <c r="L16" s="8"/>
      <c r="M16" s="1" t="s">
        <v>32</v>
      </c>
      <c r="N16" s="1" t="s">
        <v>37</v>
      </c>
      <c r="O16" s="1" t="s">
        <v>41</v>
      </c>
      <c r="P16" s="1" t="b">
        <v>1</v>
      </c>
      <c r="Q16" s="9" t="s">
        <v>81</v>
      </c>
      <c r="R16" s="1" t="b">
        <v>1</v>
      </c>
      <c r="S16" s="7">
        <v>27322.400000000001</v>
      </c>
      <c r="T16" s="7">
        <v>25361.03</v>
      </c>
      <c r="U16" s="7">
        <v>20756.909999999996</v>
      </c>
      <c r="V16" s="10">
        <v>22281.827180479453</v>
      </c>
      <c r="W16" s="10">
        <f>'Table G.1'!H14</f>
        <v>23977</v>
      </c>
      <c r="X16" s="10">
        <f>'Table G.1'!I14</f>
        <v>25059</v>
      </c>
      <c r="Y16" s="10">
        <f>'Table G.1'!J14</f>
        <v>23936.036949346555</v>
      </c>
    </row>
    <row r="17" spans="1:25" x14ac:dyDescent="0.3">
      <c r="A17" s="1" t="s">
        <v>89</v>
      </c>
      <c r="B17" s="1" t="s">
        <v>15</v>
      </c>
      <c r="C17" s="7">
        <v>2863246</v>
      </c>
      <c r="D17" s="7">
        <v>2099013</v>
      </c>
      <c r="E17" s="7">
        <v>2537046</v>
      </c>
      <c r="F17" s="7">
        <v>1845898</v>
      </c>
      <c r="G17" s="7">
        <v>2890938</v>
      </c>
      <c r="H17" s="7">
        <v>2508960</v>
      </c>
      <c r="I17" s="7">
        <v>4351182</v>
      </c>
      <c r="J17" s="7">
        <v>4550871</v>
      </c>
      <c r="K17" s="7">
        <v>1060</v>
      </c>
      <c r="L17" s="8"/>
      <c r="M17" s="1" t="s">
        <v>32</v>
      </c>
      <c r="N17" s="1" t="s">
        <v>38</v>
      </c>
      <c r="O17" s="1" t="s">
        <v>40</v>
      </c>
      <c r="P17" s="1" t="b">
        <v>0</v>
      </c>
      <c r="Q17" s="9" t="s">
        <v>81</v>
      </c>
      <c r="R17" s="1" t="b">
        <v>1</v>
      </c>
      <c r="S17" s="7">
        <v>1821</v>
      </c>
      <c r="T17" s="7">
        <v>1287</v>
      </c>
      <c r="U17" s="7">
        <v>1532.5985678138952</v>
      </c>
      <c r="V17" s="10">
        <v>1153.6531342558787</v>
      </c>
      <c r="W17" s="10">
        <f>'Table G.1'!H15</f>
        <v>1693</v>
      </c>
      <c r="X17" s="10">
        <f>'Table G.1'!I15</f>
        <v>1361</v>
      </c>
      <c r="Y17" s="10">
        <f>'Table G.1'!J15</f>
        <v>2959.5430949242032</v>
      </c>
    </row>
    <row r="18" spans="1:25" x14ac:dyDescent="0.3">
      <c r="A18" s="1" t="s">
        <v>25</v>
      </c>
      <c r="B18" s="1" t="s">
        <v>16</v>
      </c>
      <c r="C18" s="7">
        <v>5114409</v>
      </c>
      <c r="D18" s="7">
        <v>4752632</v>
      </c>
      <c r="E18" s="7">
        <v>5339385</v>
      </c>
      <c r="F18" s="7">
        <v>5102235</v>
      </c>
      <c r="G18" s="7">
        <v>5056959</v>
      </c>
      <c r="H18" s="7">
        <v>5533895</v>
      </c>
      <c r="I18" s="7">
        <v>4958589</v>
      </c>
      <c r="J18" s="7">
        <v>4899321</v>
      </c>
      <c r="K18" s="7">
        <v>687</v>
      </c>
      <c r="L18" s="8"/>
      <c r="M18" s="1" t="s">
        <v>32</v>
      </c>
      <c r="N18" s="1" t="s">
        <v>37</v>
      </c>
      <c r="O18" s="1" t="s">
        <v>41</v>
      </c>
      <c r="P18" s="1" t="b">
        <v>1</v>
      </c>
      <c r="Q18" s="9" t="s">
        <v>81</v>
      </c>
      <c r="R18" s="1" t="b">
        <v>1</v>
      </c>
      <c r="S18" s="7">
        <v>10992</v>
      </c>
      <c r="T18" s="7">
        <v>10846</v>
      </c>
      <c r="U18" s="7">
        <v>13354</v>
      </c>
      <c r="V18" s="10">
        <v>14157.3</v>
      </c>
      <c r="W18" s="10">
        <f>'Table G.1'!H16</f>
        <v>8745</v>
      </c>
      <c r="X18" s="10">
        <f>'Table G.1'!I16</f>
        <v>9622</v>
      </c>
      <c r="Y18" s="10">
        <f>'Table G.1'!J16</f>
        <v>7483.7420693311324</v>
      </c>
    </row>
    <row r="19" spans="1:25" x14ac:dyDescent="0.3">
      <c r="A19" s="1" t="s">
        <v>26</v>
      </c>
      <c r="B19" s="1" t="s">
        <v>17</v>
      </c>
      <c r="C19" s="7">
        <v>2811590</v>
      </c>
      <c r="D19" s="7">
        <v>2732796</v>
      </c>
      <c r="E19" s="7">
        <v>2565341</v>
      </c>
      <c r="F19" s="7">
        <v>1831459</v>
      </c>
      <c r="G19" s="7">
        <v>1990902</v>
      </c>
      <c r="H19" s="7">
        <v>1975401</v>
      </c>
      <c r="I19" s="7">
        <v>2625183</v>
      </c>
      <c r="J19" s="7">
        <v>2563421</v>
      </c>
      <c r="K19" s="7">
        <v>335</v>
      </c>
      <c r="L19" s="8"/>
      <c r="M19" s="1" t="s">
        <v>32</v>
      </c>
      <c r="N19" s="1" t="s">
        <v>37</v>
      </c>
      <c r="O19" s="1" t="s">
        <v>41</v>
      </c>
      <c r="P19" s="1" t="b">
        <v>0</v>
      </c>
      <c r="Q19" s="9" t="s">
        <v>44</v>
      </c>
      <c r="R19" s="1" t="b">
        <v>1</v>
      </c>
      <c r="S19" s="7">
        <v>446</v>
      </c>
      <c r="T19" s="7">
        <v>365</v>
      </c>
      <c r="U19" s="7">
        <v>396</v>
      </c>
      <c r="V19" s="10">
        <v>366.9610091729042</v>
      </c>
      <c r="W19" s="10">
        <f>'Table G.1'!H17</f>
        <v>322</v>
      </c>
      <c r="X19" s="10">
        <f>'Table G.1'!I17</f>
        <v>319</v>
      </c>
      <c r="Y19" s="10">
        <f>'Table G.1'!J17</f>
        <v>331.72924434787683</v>
      </c>
    </row>
    <row r="20" spans="1:25" x14ac:dyDescent="0.3">
      <c r="Q20" s="12" t="s">
        <v>82</v>
      </c>
    </row>
  </sheetData>
  <pageMargins left="0.7" right="0.7" top="0.75" bottom="0.75" header="0.3" footer="0.3"/>
  <pageSetup paperSize="3" scale="81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M27"/>
  <sheetViews>
    <sheetView zoomScaleNormal="100" workbookViewId="0">
      <selection sqref="A1:AH1"/>
    </sheetView>
  </sheetViews>
  <sheetFormatPr defaultRowHeight="13" x14ac:dyDescent="0.3"/>
  <cols>
    <col min="1" max="1" width="18.7265625" style="1" customWidth="1"/>
    <col min="2" max="2" width="11.7265625" style="1" customWidth="1"/>
    <col min="3" max="3" width="9.54296875" style="1" customWidth="1"/>
    <col min="4" max="17" width="10.7265625" style="1" customWidth="1"/>
    <col min="18" max="18" width="1.7265625" style="1" customWidth="1"/>
    <col min="19" max="19" width="17" style="1" customWidth="1"/>
    <col min="20" max="20" width="7.81640625" style="1" customWidth="1"/>
    <col min="21" max="21" width="9.1796875" style="1" customWidth="1"/>
    <col min="22" max="32" width="13.7265625" style="1" customWidth="1"/>
    <col min="33" max="34" width="9.1796875" style="1" customWidth="1"/>
    <col min="35" max="35" width="10.54296875" style="1" bestFit="1" customWidth="1"/>
    <col min="36" max="37" width="26.26953125" style="1" bestFit="1" customWidth="1"/>
    <col min="38" max="38" width="16.26953125" style="1" bestFit="1" customWidth="1"/>
    <col min="39" max="39" width="14.26953125" style="1" bestFit="1" customWidth="1"/>
    <col min="40" max="16384" width="8.7265625" style="1"/>
  </cols>
  <sheetData>
    <row r="1" spans="1:39" ht="15" x14ac:dyDescent="0.3">
      <c r="A1" s="93" t="s">
        <v>55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</row>
    <row r="2" spans="1:39" ht="15" x14ac:dyDescent="0.3">
      <c r="A2" s="93" t="s">
        <v>69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</row>
    <row r="3" spans="1:39" ht="15.5" x14ac:dyDescent="0.35">
      <c r="A3" s="29" t="s">
        <v>56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</row>
    <row r="4" spans="1:39" ht="15.5" x14ac:dyDescent="0.35">
      <c r="A4" s="29" t="s">
        <v>57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</row>
    <row r="5" spans="1:39" ht="16" thickBot="1" x14ac:dyDescent="0.4">
      <c r="A5" s="29" t="s">
        <v>86</v>
      </c>
      <c r="B5" s="29">
        <v>2023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</row>
    <row r="6" spans="1:39" ht="16" thickBot="1" x14ac:dyDescent="0.4">
      <c r="A6" s="29"/>
      <c r="B6" s="29"/>
      <c r="C6" s="29"/>
      <c r="D6" s="93" t="s">
        <v>58</v>
      </c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29"/>
      <c r="S6" s="29"/>
      <c r="T6" s="29"/>
      <c r="U6" s="29"/>
      <c r="V6" s="97" t="s">
        <v>87</v>
      </c>
      <c r="W6" s="97"/>
      <c r="X6" s="97"/>
      <c r="Y6" s="97"/>
      <c r="Z6" s="97"/>
      <c r="AA6" s="97"/>
      <c r="AB6" s="97"/>
      <c r="AC6" s="97"/>
      <c r="AD6" s="97"/>
      <c r="AE6" s="97"/>
      <c r="AF6" s="98"/>
      <c r="AG6" s="30" t="s">
        <v>84</v>
      </c>
      <c r="AH6" s="31"/>
    </row>
    <row r="7" spans="1:39" ht="33" customHeight="1" thickTop="1" thickBot="1" x14ac:dyDescent="0.4">
      <c r="A7" s="32" t="s">
        <v>28</v>
      </c>
      <c r="B7" s="33" t="s">
        <v>52</v>
      </c>
      <c r="C7" s="34" t="s">
        <v>45</v>
      </c>
      <c r="D7" s="35">
        <v>2008</v>
      </c>
      <c r="E7" s="15">
        <v>2009</v>
      </c>
      <c r="F7" s="15">
        <v>2010</v>
      </c>
      <c r="G7" s="15">
        <v>2011</v>
      </c>
      <c r="H7" s="15">
        <v>2012</v>
      </c>
      <c r="I7" s="15">
        <v>2013</v>
      </c>
      <c r="J7" s="15">
        <v>2014</v>
      </c>
      <c r="K7" s="15">
        <v>2015</v>
      </c>
      <c r="L7" s="15">
        <v>2020</v>
      </c>
      <c r="M7" s="15">
        <v>2021</v>
      </c>
      <c r="N7" s="15">
        <v>2022</v>
      </c>
      <c r="O7" s="15">
        <v>2023</v>
      </c>
      <c r="P7" s="16">
        <v>2024</v>
      </c>
      <c r="Q7" s="36" t="s">
        <v>83</v>
      </c>
      <c r="R7" s="29"/>
      <c r="S7" s="37" t="s">
        <v>60</v>
      </c>
      <c r="T7" s="38" t="s">
        <v>80</v>
      </c>
      <c r="U7" s="29"/>
      <c r="V7" s="15">
        <v>2008</v>
      </c>
      <c r="W7" s="15">
        <v>2009</v>
      </c>
      <c r="X7" s="15">
        <v>2012</v>
      </c>
      <c r="Y7" s="39">
        <v>2013</v>
      </c>
      <c r="Z7" s="39">
        <v>2014</v>
      </c>
      <c r="AA7" s="15">
        <v>2015</v>
      </c>
      <c r="AB7" s="15">
        <v>2020</v>
      </c>
      <c r="AC7" s="15">
        <v>2021</v>
      </c>
      <c r="AD7" s="15">
        <v>2022</v>
      </c>
      <c r="AE7" s="15">
        <v>2023</v>
      </c>
      <c r="AF7" s="16">
        <v>2024</v>
      </c>
      <c r="AG7" s="33" t="s">
        <v>62</v>
      </c>
      <c r="AH7" s="34" t="s">
        <v>63</v>
      </c>
      <c r="AJ7" s="1" t="s">
        <v>91</v>
      </c>
      <c r="AK7" s="1" t="s">
        <v>90</v>
      </c>
    </row>
    <row r="8" spans="1:39" ht="15.5" x14ac:dyDescent="0.35">
      <c r="A8" s="40" t="s">
        <v>19</v>
      </c>
      <c r="B8" s="41"/>
      <c r="C8" s="42" t="s">
        <v>44</v>
      </c>
      <c r="D8" s="43">
        <v>53</v>
      </c>
      <c r="E8" s="44">
        <v>51.5</v>
      </c>
      <c r="F8" s="44">
        <v>23.5</v>
      </c>
      <c r="G8" s="44">
        <v>42.5</v>
      </c>
      <c r="H8" s="17">
        <v>55</v>
      </c>
      <c r="I8" s="17">
        <v>86</v>
      </c>
      <c r="J8" s="17">
        <v>149.76522447376257</v>
      </c>
      <c r="K8" s="17">
        <v>92.847843646329139</v>
      </c>
      <c r="L8" s="17">
        <v>66</v>
      </c>
      <c r="M8" s="17">
        <v>71</v>
      </c>
      <c r="N8" s="17">
        <v>47</v>
      </c>
      <c r="O8" s="17">
        <v>44.669629063590413</v>
      </c>
      <c r="P8" s="18"/>
      <c r="Q8" s="45">
        <f t="shared" ref="Q8:Q18" si="0">AVERAGEIFS(D8:P8,$D$7:$P$7,"&lt;="&amp;$B$5,$D$7:$P$7,"&gt;="&amp;$B$5-3)</f>
        <v>57.167407265897602</v>
      </c>
      <c r="R8" s="29"/>
      <c r="S8" s="46">
        <v>477</v>
      </c>
      <c r="T8" s="47">
        <f t="shared" ref="T8:T17" si="1">Q8/S8</f>
        <v>0.1198478139746281</v>
      </c>
      <c r="U8" s="29"/>
      <c r="V8" s="19">
        <f t="array" ref="V8">SUM(IF($A8=Summary!$A$3:$A$19,IF('Table G.1'!V$7=Summary!$C$2:$F$2,Summary!$C$3:$F$19,0),0))</f>
        <v>715441</v>
      </c>
      <c r="W8" s="19">
        <f t="array" ref="W8">SUM(IF($A8=Summary!$A$3:$A$19,IF('Table G.1'!W$7=Summary!$C$2:$F$2,Summary!$C$3:$F$19,0),0))</f>
        <v>1750041</v>
      </c>
      <c r="X8" s="19">
        <v>849938</v>
      </c>
      <c r="Y8" s="48">
        <v>1674194</v>
      </c>
      <c r="Z8" s="48">
        <f>1286232+1257553</f>
        <v>2543785</v>
      </c>
      <c r="AA8" s="19">
        <v>1095433</v>
      </c>
      <c r="AB8" s="19">
        <v>2407519</v>
      </c>
      <c r="AC8" s="19">
        <v>2248237</v>
      </c>
      <c r="AD8" s="19">
        <v>2172465</v>
      </c>
      <c r="AE8" s="19">
        <v>2239346</v>
      </c>
      <c r="AF8" s="49"/>
      <c r="AG8" s="50">
        <f>(SUMIFS(D8:P8,$D$7:$P$7,"&lt;="&amp;$B$5,$D$7:$P$7,"&gt;="&amp;$B$5-3))*$B$21/(SUMIFS(V8:AF8,$V$7:$AF$7,"&lt;="&amp;$B$5,$V$7:$AF$7,"&gt;="&amp;$B$5-3))</f>
        <v>8.2174443596611972</v>
      </c>
      <c r="AH8" s="51">
        <f>+AG8/60</f>
        <v>0.1369574059943533</v>
      </c>
      <c r="AJ8" s="25">
        <f>AG8*1000</f>
        <v>8217.4443596611964</v>
      </c>
      <c r="AK8" s="26">
        <f>(O8*$B$21)/(AE8/1000)</f>
        <v>6499.9527987189113</v>
      </c>
      <c r="AL8" s="27"/>
      <c r="AM8" s="27"/>
    </row>
    <row r="9" spans="1:39" ht="15.5" x14ac:dyDescent="0.35">
      <c r="A9" s="40" t="s">
        <v>20</v>
      </c>
      <c r="B9" s="52" t="s">
        <v>51</v>
      </c>
      <c r="C9" s="42" t="s">
        <v>44</v>
      </c>
      <c r="D9" s="53">
        <f t="array" ref="D9">SUM(IF($A9=Summary!$A$3:$A$19,IF('Table G.1'!D$7=Summary!$S$2:$V$2,Summary!$S$3:$V$19,0),0))</f>
        <v>82</v>
      </c>
      <c r="E9" s="19">
        <f t="array" ref="E9">SUM(IF($A9=Summary!$A$3:$A$19,IF('Table G.1'!E$7=Summary!$S$2:$V$2,Summary!$S$3:$V$19,0),0))</f>
        <v>108</v>
      </c>
      <c r="F9" s="19">
        <f t="array" ref="F9">SUM(IF($A9=Summary!$A$3:$A$19,IF('Table G.1'!F$7=Summary!$S$2:$V$2,Summary!$S$3:$V$19,0),0))</f>
        <v>82.48310086865996</v>
      </c>
      <c r="G9" s="19">
        <f t="array" ref="G9">SUM(IF($A9=Summary!$A$3:$A$19,IF('Table G.1'!G$7=Summary!$S$2:$V$2,Summary!$S$3:$V$19,0),0))</f>
        <v>78.039630227577476</v>
      </c>
      <c r="H9" s="19">
        <v>90</v>
      </c>
      <c r="I9" s="19">
        <v>84</v>
      </c>
      <c r="J9" s="19">
        <v>91.904900517347585</v>
      </c>
      <c r="K9" s="19">
        <v>77.573429319584733</v>
      </c>
      <c r="L9" s="17">
        <v>95</v>
      </c>
      <c r="M9" s="17">
        <v>113</v>
      </c>
      <c r="N9" s="17">
        <v>85</v>
      </c>
      <c r="O9" s="17">
        <v>132.60037511009634</v>
      </c>
      <c r="P9" s="18"/>
      <c r="Q9" s="45">
        <f t="shared" si="0"/>
        <v>106.40009377752409</v>
      </c>
      <c r="R9" s="29"/>
      <c r="S9" s="46">
        <v>524.20000000000005</v>
      </c>
      <c r="T9" s="47">
        <f t="shared" si="1"/>
        <v>0.20297614226921801</v>
      </c>
      <c r="U9" s="29"/>
      <c r="V9" s="19">
        <f t="array" ref="V9">SUM(IF($A9=Summary!$A$3:$A$19,IF('Table G.1'!V$7=Summary!$C$2:$F$2,Summary!$C$3:$F$19,0),0))</f>
        <v>2799585</v>
      </c>
      <c r="W9" s="19">
        <f t="array" ref="W9">SUM(IF($A9=Summary!$A$3:$A$19,IF('Table G.1'!W$7=Summary!$C$2:$F$2,Summary!$C$3:$F$19,0),0))</f>
        <v>2464463</v>
      </c>
      <c r="X9" s="19">
        <v>2132523</v>
      </c>
      <c r="Y9" s="48">
        <v>2359924</v>
      </c>
      <c r="Z9" s="48">
        <f>1261900+1236158</f>
        <v>2498058</v>
      </c>
      <c r="AA9" s="19">
        <v>2257106</v>
      </c>
      <c r="AB9" s="19">
        <v>2335426</v>
      </c>
      <c r="AC9" s="19">
        <v>2746290</v>
      </c>
      <c r="AD9" s="19">
        <v>2805979</v>
      </c>
      <c r="AE9" s="19">
        <v>2879943</v>
      </c>
      <c r="AF9" s="49"/>
      <c r="AG9" s="50">
        <f t="shared" ref="AG9:AG17" si="2">(SUMIFS(D9:P9,$D$7:$P$7,"&lt;="&amp;$B$5,$D$7:$P$7,"&gt;="&amp;$B$5-3))*$B$21/(SUMIFS(V9:AF9,$V$7:$AF$7,"&lt;="&amp;$B$5,$V$7:$AF$7,"&gt;="&amp;$B$5-3))</f>
        <v>12.879547755041543</v>
      </c>
      <c r="AH9" s="54">
        <f t="shared" ref="AH9:AH18" si="3">+AG9/60</f>
        <v>0.21465912925069239</v>
      </c>
      <c r="AJ9" s="25">
        <f t="shared" ref="AJ9:AJ17" si="4">AG9*1000</f>
        <v>12879.547755041543</v>
      </c>
      <c r="AK9" s="26">
        <f t="shared" ref="AK9:AK17" si="5">(O9*$B$21)/(AE9/1000)</f>
        <v>15003.062501584231</v>
      </c>
      <c r="AL9" s="27"/>
      <c r="AM9" s="27"/>
    </row>
    <row r="10" spans="1:39" ht="15.5" x14ac:dyDescent="0.35">
      <c r="A10" s="40" t="s">
        <v>43</v>
      </c>
      <c r="B10" s="41"/>
      <c r="C10" s="42" t="s">
        <v>85</v>
      </c>
      <c r="D10" s="53">
        <f t="array" ref="D10">SUM(IF($A10=Summary!$A$3:$A$19,IF('Table G.1'!D$7=Summary!$S$2:$V$2,Summary!$S$3:$V$19,0),0))</f>
        <v>7745.7</v>
      </c>
      <c r="E10" s="19">
        <f t="array" ref="E10">SUM(IF($A10=Summary!$A$3:$A$19,IF('Table G.1'!E$7=Summary!$S$2:$V$2,Summary!$S$3:$V$19,0),0))</f>
        <v>6982.9</v>
      </c>
      <c r="F10" s="19">
        <f t="array" ref="F10">SUM(IF($A10=Summary!$A$3:$A$19,IF('Table G.1'!F$7=Summary!$S$2:$V$2,Summary!$S$3:$V$19,0),0))</f>
        <v>6603.8718635204441</v>
      </c>
      <c r="G10" s="19">
        <f t="array" ref="G10">SUM(IF($A10=Summary!$A$3:$A$19,IF('Table G.1'!G$7=Summary!$S$2:$V$2,Summary!$S$3:$V$19,0),0))</f>
        <v>7232.8921329073728</v>
      </c>
      <c r="H10" s="19">
        <v>7721</v>
      </c>
      <c r="I10" s="19">
        <v>8941</v>
      </c>
      <c r="J10" s="19">
        <v>9473.7201997231859</v>
      </c>
      <c r="K10" s="19">
        <v>9736.4715087570712</v>
      </c>
      <c r="L10" s="17">
        <v>7856</v>
      </c>
      <c r="M10" s="17">
        <v>6571</v>
      </c>
      <c r="N10" s="17">
        <v>5901</v>
      </c>
      <c r="O10" s="17">
        <v>12770.074450468604</v>
      </c>
      <c r="P10" s="18"/>
      <c r="Q10" s="45">
        <f t="shared" si="0"/>
        <v>8274.5186126171502</v>
      </c>
      <c r="R10" s="29"/>
      <c r="S10" s="46">
        <v>760</v>
      </c>
      <c r="T10" s="47">
        <f>Q10/S10</f>
        <v>10.887524490285724</v>
      </c>
      <c r="U10" s="29"/>
      <c r="V10" s="19">
        <f t="array" ref="V10">SUM(IF($A10=Summary!$A$3:$A$19,IF('Table G.1'!V$7=Summary!$C$2:$F$2,Summary!$C$3:$F$19,0),0))</f>
        <v>5638807</v>
      </c>
      <c r="W10" s="19">
        <f t="array" ref="W10">SUM(IF($A10=Summary!$A$3:$A$19,IF('Table G.1'!W$7=Summary!$C$2:$F$2,Summary!$C$3:$F$19,0),0))</f>
        <v>5017794</v>
      </c>
      <c r="X10" s="19">
        <v>4906422</v>
      </c>
      <c r="Y10" s="48">
        <v>5295081</v>
      </c>
      <c r="Z10" s="48">
        <v>5183347</v>
      </c>
      <c r="AA10" s="19">
        <v>5140970</v>
      </c>
      <c r="AB10" s="19">
        <v>4325604</v>
      </c>
      <c r="AC10" s="19">
        <v>3601242</v>
      </c>
      <c r="AD10" s="19">
        <v>3581919</v>
      </c>
      <c r="AE10" s="19">
        <v>3537695</v>
      </c>
      <c r="AF10" s="49"/>
      <c r="AG10" s="50">
        <f t="shared" si="2"/>
        <v>716.78259589030529</v>
      </c>
      <c r="AH10" s="54">
        <f t="shared" si="3"/>
        <v>11.946376598171755</v>
      </c>
      <c r="AJ10" s="25">
        <f t="shared" si="4"/>
        <v>716782.59589030524</v>
      </c>
      <c r="AK10" s="26">
        <f t="shared" si="5"/>
        <v>1176229.5872763607</v>
      </c>
      <c r="AL10" s="27"/>
      <c r="AM10" s="27"/>
    </row>
    <row r="11" spans="1:39" ht="15.5" x14ac:dyDescent="0.35">
      <c r="A11" s="40" t="s">
        <v>21</v>
      </c>
      <c r="B11" s="41"/>
      <c r="C11" s="42" t="s">
        <v>85</v>
      </c>
      <c r="D11" s="53">
        <f t="array" ref="D11">SUM(IF($A11=Summary!$A$3:$A$19,IF('Table G.1'!D$7=Summary!$S$2:$V$2,Summary!$S$3:$V$19,0),0))</f>
        <v>425.51</v>
      </c>
      <c r="E11" s="19">
        <f t="array" ref="E11">SUM(IF($A11=Summary!$A$3:$A$19,IF('Table G.1'!E$7=Summary!$S$2:$V$2,Summary!$S$3:$V$19,0),0))</f>
        <v>680.48</v>
      </c>
      <c r="F11" s="19">
        <f t="array" ref="F11">SUM(IF($A11=Summary!$A$3:$A$19,IF('Table G.1'!F$7=Summary!$S$2:$V$2,Summary!$S$3:$V$19,0),0))</f>
        <v>893.30564152041916</v>
      </c>
      <c r="G11" s="19">
        <f t="array" ref="G11">SUM(IF($A11=Summary!$A$3:$A$19,IF('Table G.1'!G$7=Summary!$S$2:$V$2,Summary!$S$3:$V$19,0),0))</f>
        <v>863.9501673751962</v>
      </c>
      <c r="H11" s="19">
        <v>1059</v>
      </c>
      <c r="I11" s="19">
        <v>610</v>
      </c>
      <c r="J11" s="19">
        <v>366.8939394238497</v>
      </c>
      <c r="K11" s="19">
        <v>1021.8284868856492</v>
      </c>
      <c r="L11" s="17">
        <v>409</v>
      </c>
      <c r="M11" s="17">
        <v>339</v>
      </c>
      <c r="N11" s="17">
        <v>454</v>
      </c>
      <c r="O11" s="17">
        <v>183.83065971870582</v>
      </c>
      <c r="P11" s="18"/>
      <c r="Q11" s="45">
        <f t="shared" si="0"/>
        <v>346.45766492967647</v>
      </c>
      <c r="R11" s="29"/>
      <c r="S11" s="46">
        <v>356.3</v>
      </c>
      <c r="T11" s="47">
        <f t="shared" si="1"/>
        <v>0.97237626979982161</v>
      </c>
      <c r="U11" s="29"/>
      <c r="V11" s="19">
        <f t="array" ref="V11">SUM(IF($A11=Summary!$A$3:$A$19,IF('Table G.1'!V$7=Summary!$C$2:$F$2,Summary!$C$3:$F$19,0),0))</f>
        <v>482903</v>
      </c>
      <c r="W11" s="19">
        <f t="array" ref="W11">SUM(IF($A11=Summary!$A$3:$A$19,IF('Table G.1'!W$7=Summary!$C$2:$F$2,Summary!$C$3:$F$19,0),0))</f>
        <v>607387</v>
      </c>
      <c r="X11" s="19">
        <v>214739</v>
      </c>
      <c r="Y11" s="48">
        <v>339592</v>
      </c>
      <c r="Z11" s="48">
        <v>325677</v>
      </c>
      <c r="AA11" s="19">
        <v>123795</v>
      </c>
      <c r="AB11" s="19">
        <v>133410</v>
      </c>
      <c r="AC11" s="19">
        <v>83008</v>
      </c>
      <c r="AD11" s="19">
        <v>118821</v>
      </c>
      <c r="AE11" s="19">
        <v>236930</v>
      </c>
      <c r="AF11" s="49"/>
      <c r="AG11" s="50">
        <f t="shared" si="2"/>
        <v>789.23238815804427</v>
      </c>
      <c r="AH11" s="54">
        <f t="shared" si="3"/>
        <v>13.153873135967405</v>
      </c>
      <c r="AJ11" s="25">
        <f t="shared" si="4"/>
        <v>789232.38815804431</v>
      </c>
      <c r="AK11" s="26">
        <f t="shared" si="5"/>
        <v>252823.21487359141</v>
      </c>
      <c r="AL11" s="27"/>
      <c r="AM11" s="27"/>
    </row>
    <row r="12" spans="1:39" ht="15.5" x14ac:dyDescent="0.35">
      <c r="A12" s="40" t="s">
        <v>23</v>
      </c>
      <c r="B12" s="52" t="s">
        <v>51</v>
      </c>
      <c r="C12" s="42" t="s">
        <v>85</v>
      </c>
      <c r="D12" s="53">
        <f t="array" ref="D12">SUM(IF($A12=Summary!$A$3:$A$19,IF('Table G.1'!D$7=Summary!$S$2:$V$2,Summary!$S$3:$V$19,0),0))</f>
        <v>19380</v>
      </c>
      <c r="E12" s="19">
        <f t="array" ref="E12">SUM(IF($A12=Summary!$A$3:$A$19,IF('Table G.1'!E$7=Summary!$S$2:$V$2,Summary!$S$3:$V$19,0),0))</f>
        <v>19300</v>
      </c>
      <c r="F12" s="19">
        <f t="array" ref="F12">SUM(IF($A12=Summary!$A$3:$A$19,IF('Table G.1'!F$7=Summary!$S$2:$V$2,Summary!$S$3:$V$19,0),0))</f>
        <v>18941</v>
      </c>
      <c r="G12" s="19">
        <f t="array" ref="G12">SUM(IF($A12=Summary!$A$3:$A$19,IF('Table G.1'!G$7=Summary!$S$2:$V$2,Summary!$S$3:$V$19,0),0))</f>
        <v>16960.801673228347</v>
      </c>
      <c r="H12" s="19">
        <v>18266</v>
      </c>
      <c r="I12" s="19">
        <v>17001</v>
      </c>
      <c r="J12" s="19">
        <v>16662</v>
      </c>
      <c r="K12" s="19">
        <v>16386</v>
      </c>
      <c r="L12" s="17">
        <v>15103</v>
      </c>
      <c r="M12" s="17">
        <v>16326</v>
      </c>
      <c r="N12" s="17">
        <v>13426</v>
      </c>
      <c r="O12" s="17">
        <v>8788</v>
      </c>
      <c r="P12" s="18"/>
      <c r="Q12" s="45">
        <f t="shared" si="0"/>
        <v>13410.75</v>
      </c>
      <c r="R12" s="29"/>
      <c r="S12" s="46">
        <v>1363</v>
      </c>
      <c r="T12" s="47">
        <f>Q12/S12</f>
        <v>9.8391415994130593</v>
      </c>
      <c r="U12" s="29"/>
      <c r="V12" s="19">
        <f t="array" ref="V12">SUM(IF($A12=Summary!$A$3:$A$19,IF('Table G.1'!V$7=Summary!$C$2:$F$2,Summary!$C$3:$F$19,0),0))</f>
        <v>10246965</v>
      </c>
      <c r="W12" s="19">
        <f t="array" ref="W12">SUM(IF($A12=Summary!$A$3:$A$19,IF('Table G.1'!W$7=Summary!$C$2:$F$2,Summary!$C$3:$F$19,0),0))</f>
        <v>9438683</v>
      </c>
      <c r="X12" s="19">
        <v>9118876</v>
      </c>
      <c r="Y12" s="48">
        <v>9546313</v>
      </c>
      <c r="Z12" s="48">
        <v>9098918</v>
      </c>
      <c r="AA12" s="19">
        <v>9630419</v>
      </c>
      <c r="AB12" s="19">
        <v>7988203</v>
      </c>
      <c r="AC12" s="19">
        <v>9248963</v>
      </c>
      <c r="AD12" s="19">
        <v>7381184</v>
      </c>
      <c r="AE12" s="19">
        <v>3410309</v>
      </c>
      <c r="AF12" s="49"/>
      <c r="AG12" s="50">
        <f t="shared" si="2"/>
        <v>623.63401663276147</v>
      </c>
      <c r="AH12" s="54">
        <f t="shared" si="3"/>
        <v>10.39390027721269</v>
      </c>
      <c r="AJ12" s="25">
        <f t="shared" si="4"/>
        <v>623634.01663276146</v>
      </c>
      <c r="AK12" s="26">
        <f t="shared" si="5"/>
        <v>839683.02813615999</v>
      </c>
      <c r="AL12" s="27"/>
      <c r="AM12" s="27"/>
    </row>
    <row r="13" spans="1:39" ht="15.5" x14ac:dyDescent="0.35">
      <c r="A13" s="40" t="s">
        <v>22</v>
      </c>
      <c r="B13" s="52" t="s">
        <v>51</v>
      </c>
      <c r="C13" s="42" t="s">
        <v>85</v>
      </c>
      <c r="D13" s="53">
        <f t="array" ref="D13">SUM(IF($A13=Summary!$A$3:$A$19,IF('Table G.1'!D$7=Summary!$S$2:$V$2,Summary!$S$3:$V$19,0),0))</f>
        <v>11385</v>
      </c>
      <c r="E13" s="19">
        <f t="array" ref="E13">SUM(IF($A13=Summary!$A$3:$A$19,IF('Table G.1'!E$7=Summary!$S$2:$V$2,Summary!$S$3:$V$19,0),0))</f>
        <v>10922</v>
      </c>
      <c r="F13" s="19">
        <f t="array" ref="F13">SUM(IF($A13=Summary!$A$3:$A$19,IF('Table G.1'!F$7=Summary!$S$2:$V$2,Summary!$S$3:$V$19,0),0))</f>
        <v>9548.8553139130436</v>
      </c>
      <c r="G13" s="19">
        <f t="array" ref="G13">SUM(IF($A13=Summary!$A$3:$A$19,IF('Table G.1'!G$7=Summary!$S$2:$V$2,Summary!$S$3:$V$19,0),0))</f>
        <v>9069.0535500000005</v>
      </c>
      <c r="H13" s="19">
        <v>10423</v>
      </c>
      <c r="I13" s="19">
        <v>10643</v>
      </c>
      <c r="J13" s="19">
        <v>10239.805018008936</v>
      </c>
      <c r="K13" s="19">
        <v>9888.3000000000011</v>
      </c>
      <c r="L13" s="17">
        <v>7929</v>
      </c>
      <c r="M13" s="17">
        <v>12019</v>
      </c>
      <c r="N13" s="17">
        <v>11717</v>
      </c>
      <c r="O13" s="17">
        <v>7426.98</v>
      </c>
      <c r="P13" s="18"/>
      <c r="Q13" s="45">
        <f t="shared" si="0"/>
        <v>9772.994999999999</v>
      </c>
      <c r="R13" s="29"/>
      <c r="S13" s="46">
        <v>909</v>
      </c>
      <c r="T13" s="47">
        <f>Q13/S13</f>
        <v>10.751369636963695</v>
      </c>
      <c r="U13" s="29"/>
      <c r="V13" s="19">
        <f t="array" ref="V13">SUM(IF($A13=Summary!$A$3:$A$19,IF('Table G.1'!V$7=Summary!$C$2:$F$2,Summary!$C$3:$F$19,0),0))</f>
        <v>7148850</v>
      </c>
      <c r="W13" s="19">
        <f t="array" ref="W13">SUM(IF($A13=Summary!$A$3:$A$19,IF('Table G.1'!W$7=Summary!$C$2:$F$2,Summary!$C$3:$F$19,0),0))</f>
        <v>6753764</v>
      </c>
      <c r="X13" s="19">
        <v>6744160</v>
      </c>
      <c r="Y13" s="48">
        <v>6768625</v>
      </c>
      <c r="Z13" s="48">
        <v>6300558</v>
      </c>
      <c r="AA13" s="19">
        <v>5988318</v>
      </c>
      <c r="AB13" s="19">
        <v>4515305</v>
      </c>
      <c r="AC13" s="19">
        <v>6263658</v>
      </c>
      <c r="AD13" s="19">
        <v>5673115</v>
      </c>
      <c r="AE13" s="19">
        <v>3400758</v>
      </c>
      <c r="AF13" s="49"/>
      <c r="AG13" s="50">
        <f t="shared" si="2"/>
        <v>641.62927528238276</v>
      </c>
      <c r="AH13" s="54">
        <f t="shared" si="3"/>
        <v>10.69382125470638</v>
      </c>
      <c r="AJ13" s="25">
        <f t="shared" si="4"/>
        <v>641629.27528238273</v>
      </c>
      <c r="AK13" s="26">
        <f t="shared" si="5"/>
        <v>711632.1890531464</v>
      </c>
      <c r="AL13" s="27"/>
      <c r="AM13" s="27"/>
    </row>
    <row r="14" spans="1:39" ht="15.5" x14ac:dyDescent="0.35">
      <c r="A14" s="40" t="s">
        <v>24</v>
      </c>
      <c r="B14" s="52" t="s">
        <v>51</v>
      </c>
      <c r="C14" s="42" t="s">
        <v>85</v>
      </c>
      <c r="D14" s="53">
        <f t="array" ref="D14">SUM(IF($A14=Summary!$A$3:$A$19,IF('Table G.1'!D$7=Summary!$S$2:$V$2,Summary!$S$3:$V$19,0),0))</f>
        <v>27322.400000000001</v>
      </c>
      <c r="E14" s="19">
        <f t="array" ref="E14">SUM(IF($A14=Summary!$A$3:$A$19,IF('Table G.1'!E$7=Summary!$S$2:$V$2,Summary!$S$3:$V$19,0),0))</f>
        <v>25361.03</v>
      </c>
      <c r="F14" s="19">
        <f t="array" ref="F14">SUM(IF($A14=Summary!$A$3:$A$19,IF('Table G.1'!F$7=Summary!$S$2:$V$2,Summary!$S$3:$V$19,0),0))</f>
        <v>20756.909999999996</v>
      </c>
      <c r="G14" s="19">
        <f t="array" ref="G14">SUM(IF($A14=Summary!$A$3:$A$19,IF('Table G.1'!G$7=Summary!$S$2:$V$2,Summary!$S$3:$V$19,0),0))</f>
        <v>22281.827180479453</v>
      </c>
      <c r="H14" s="19">
        <v>23977</v>
      </c>
      <c r="I14" s="19">
        <v>25059</v>
      </c>
      <c r="J14" s="19">
        <v>23936.036949346555</v>
      </c>
      <c r="K14" s="19">
        <v>22493.193899675152</v>
      </c>
      <c r="L14" s="17">
        <v>18184</v>
      </c>
      <c r="M14" s="17">
        <v>19103</v>
      </c>
      <c r="N14" s="17">
        <v>19076</v>
      </c>
      <c r="O14" s="17">
        <v>15054.376077465502</v>
      </c>
      <c r="P14" s="18"/>
      <c r="Q14" s="45">
        <f t="shared" si="0"/>
        <v>17854.344019366377</v>
      </c>
      <c r="R14" s="29"/>
      <c r="S14" s="46">
        <v>2123</v>
      </c>
      <c r="T14" s="47">
        <f>Q14/S14</f>
        <v>8.4099595004080907</v>
      </c>
      <c r="U14" s="29"/>
      <c r="V14" s="19">
        <f t="array" ref="V14">SUM(IF($A14=Summary!$A$3:$A$19,IF('Table G.1'!V$7=Summary!$C$2:$F$2,Summary!$C$3:$F$19,0),0))</f>
        <v>15303508</v>
      </c>
      <c r="W14" s="19">
        <f t="array" ref="W14">SUM(IF($A14=Summary!$A$3:$A$19,IF('Table G.1'!W$7=Summary!$C$2:$F$2,Summary!$C$3:$F$19,0),0))</f>
        <v>15188184</v>
      </c>
      <c r="X14" s="19">
        <v>13625135</v>
      </c>
      <c r="Y14" s="48">
        <v>14817041</v>
      </c>
      <c r="Z14" s="48">
        <v>14016315</v>
      </c>
      <c r="AA14" s="19">
        <v>13439341</v>
      </c>
      <c r="AB14" s="19">
        <v>10458575</v>
      </c>
      <c r="AC14" s="19">
        <v>10342840</v>
      </c>
      <c r="AD14" s="19">
        <v>10662019</v>
      </c>
      <c r="AE14" s="19">
        <v>6075458</v>
      </c>
      <c r="AF14" s="49"/>
      <c r="AG14" s="50">
        <f t="shared" si="2"/>
        <v>619.928350901199</v>
      </c>
      <c r="AH14" s="54">
        <f t="shared" si="3"/>
        <v>10.332139181686649</v>
      </c>
      <c r="AJ14" s="25">
        <f t="shared" si="4"/>
        <v>619928.35090119904</v>
      </c>
      <c r="AK14" s="26">
        <f t="shared" si="5"/>
        <v>807426.1231364304</v>
      </c>
      <c r="AL14" s="27"/>
      <c r="AM14" s="27"/>
    </row>
    <row r="15" spans="1:39" ht="15.5" x14ac:dyDescent="0.35">
      <c r="A15" s="40" t="s">
        <v>89</v>
      </c>
      <c r="B15" s="41"/>
      <c r="C15" s="42" t="s">
        <v>85</v>
      </c>
      <c r="D15" s="53">
        <f t="array" ref="D15">SUM(IF($A15=Summary!$A$3:$A$19,IF('Table G.1'!D$7=Summary!$S$2:$V$2,Summary!$S$3:$V$19,0),0))</f>
        <v>1821</v>
      </c>
      <c r="E15" s="19">
        <f t="array" ref="E15">SUM(IF($A15=Summary!$A$3:$A$19,IF('Table G.1'!E$7=Summary!$S$2:$V$2,Summary!$S$3:$V$19,0),0))</f>
        <v>1287</v>
      </c>
      <c r="F15" s="19">
        <f t="array" ref="F15">SUM(IF($A15=Summary!$A$3:$A$19,IF('Table G.1'!F$7=Summary!$S$2:$V$2,Summary!$S$3:$V$19,0),0))</f>
        <v>1532.5985678138952</v>
      </c>
      <c r="G15" s="19">
        <f t="array" ref="G15">SUM(IF($A15=Summary!$A$3:$A$19,IF('Table G.1'!G$7=Summary!$S$2:$V$2,Summary!$S$3:$V$19,0),0))</f>
        <v>1153.6531342558787</v>
      </c>
      <c r="H15" s="19">
        <v>1693</v>
      </c>
      <c r="I15" s="19">
        <v>1361</v>
      </c>
      <c r="J15" s="19">
        <v>2959.5430949242032</v>
      </c>
      <c r="K15" s="19">
        <v>4532.6373809544521</v>
      </c>
      <c r="L15" s="17">
        <v>4075</v>
      </c>
      <c r="M15" s="17">
        <v>4421</v>
      </c>
      <c r="N15" s="17">
        <v>4591</v>
      </c>
      <c r="O15" s="17">
        <v>4434.6000000000004</v>
      </c>
      <c r="P15" s="18"/>
      <c r="Q15" s="45">
        <f t="shared" si="0"/>
        <v>4380.3999999999996</v>
      </c>
      <c r="R15" s="29"/>
      <c r="S15" s="46">
        <v>1177.4000000000001</v>
      </c>
      <c r="T15" s="47">
        <f>Q15/S15</f>
        <v>3.7204008833021907</v>
      </c>
      <c r="U15" s="29"/>
      <c r="V15" s="19">
        <f t="array" ref="V15">SUM(IF($A15=Summary!$A$3:$A$19,IF('Table G.1'!V$7=Summary!$C$2:$F$2,Summary!$C$3:$F$19,0),0))</f>
        <v>2863246</v>
      </c>
      <c r="W15" s="19">
        <f t="array" ref="W15">SUM(IF($A15=Summary!$A$3:$A$19,IF('Table G.1'!W$7=Summary!$C$2:$F$2,Summary!$C$3:$F$19,0),0))</f>
        <v>2099013</v>
      </c>
      <c r="X15" s="19">
        <v>2890938</v>
      </c>
      <c r="Y15" s="48">
        <v>2508960</v>
      </c>
      <c r="Z15" s="48">
        <v>4351182</v>
      </c>
      <c r="AA15" s="19">
        <v>4550871</v>
      </c>
      <c r="AB15" s="19">
        <v>5560112</v>
      </c>
      <c r="AC15" s="19">
        <v>6389355</v>
      </c>
      <c r="AD15" s="19">
        <v>6578673</v>
      </c>
      <c r="AE15" s="19">
        <v>6456506</v>
      </c>
      <c r="AF15" s="49"/>
      <c r="AG15" s="50">
        <f t="shared" si="2"/>
        <v>228.51758162192891</v>
      </c>
      <c r="AH15" s="54">
        <f t="shared" si="3"/>
        <v>3.8086263603654817</v>
      </c>
      <c r="AJ15" s="25">
        <f t="shared" si="4"/>
        <v>228517.5816219289</v>
      </c>
      <c r="AK15" s="26">
        <f t="shared" si="5"/>
        <v>223808.17807650144</v>
      </c>
      <c r="AL15" s="27"/>
      <c r="AM15" s="27"/>
    </row>
    <row r="16" spans="1:39" ht="15.5" x14ac:dyDescent="0.35">
      <c r="A16" s="40" t="s">
        <v>25</v>
      </c>
      <c r="B16" s="41" t="s">
        <v>51</v>
      </c>
      <c r="C16" s="42" t="s">
        <v>85</v>
      </c>
      <c r="D16" s="53">
        <f t="array" ref="D16">SUM(IF($A16=Summary!$A$3:$A$19,IF('Table G.1'!D$7=Summary!$S$2:$V$2,Summary!$S$3:$V$19,0),0))</f>
        <v>10992</v>
      </c>
      <c r="E16" s="19">
        <f t="array" ref="E16">SUM(IF($A16=Summary!$A$3:$A$19,IF('Table G.1'!E$7=Summary!$S$2:$V$2,Summary!$S$3:$V$19,0),0))</f>
        <v>10846</v>
      </c>
      <c r="F16" s="19">
        <f t="array" ref="F16">SUM(IF($A16=Summary!$A$3:$A$19,IF('Table G.1'!F$7=Summary!$S$2:$V$2,Summary!$S$3:$V$19,0),0))</f>
        <v>13354</v>
      </c>
      <c r="G16" s="19">
        <f t="array" ref="G16">SUM(IF($A16=Summary!$A$3:$A$19,IF('Table G.1'!G$7=Summary!$S$2:$V$2,Summary!$S$3:$V$19,0),0))</f>
        <v>14157.3</v>
      </c>
      <c r="H16" s="19">
        <v>8745</v>
      </c>
      <c r="I16" s="19">
        <v>9622</v>
      </c>
      <c r="J16" s="19">
        <v>7483.7420693311324</v>
      </c>
      <c r="K16" s="19">
        <v>9159.7962362197959</v>
      </c>
      <c r="L16" s="17">
        <v>7622</v>
      </c>
      <c r="M16" s="17">
        <v>7236</v>
      </c>
      <c r="N16" s="17">
        <v>6929</v>
      </c>
      <c r="O16" s="17">
        <v>7570</v>
      </c>
      <c r="P16" s="18"/>
      <c r="Q16" s="45">
        <f t="shared" si="0"/>
        <v>7339.25</v>
      </c>
      <c r="R16" s="29"/>
      <c r="S16" s="46">
        <v>637</v>
      </c>
      <c r="T16" s="47">
        <f t="shared" si="1"/>
        <v>11.521585557299844</v>
      </c>
      <c r="U16" s="29"/>
      <c r="V16" s="19">
        <f t="array" ref="V16">SUM(IF($A16=Summary!$A$3:$A$19,IF('Table G.1'!V$7=Summary!$C$2:$F$2,Summary!$C$3:$F$19,0),0))</f>
        <v>5114409</v>
      </c>
      <c r="W16" s="19">
        <f t="array" ref="W16">SUM(IF($A16=Summary!$A$3:$A$19,IF('Table G.1'!W$7=Summary!$C$2:$F$2,Summary!$C$3:$F$19,0),0))</f>
        <v>4752632</v>
      </c>
      <c r="X16" s="19">
        <v>5056959</v>
      </c>
      <c r="Y16" s="48">
        <v>5533895</v>
      </c>
      <c r="Z16" s="48">
        <v>4958589</v>
      </c>
      <c r="AA16" s="19">
        <v>4899321</v>
      </c>
      <c r="AB16" s="19">
        <v>2659033</v>
      </c>
      <c r="AC16" s="19">
        <v>2596446</v>
      </c>
      <c r="AD16" s="19">
        <v>2456201</v>
      </c>
      <c r="AE16" s="19">
        <v>2766289</v>
      </c>
      <c r="AF16" s="49"/>
      <c r="AG16" s="50">
        <f t="shared" si="2"/>
        <v>912.96393480454083</v>
      </c>
      <c r="AH16" s="54">
        <f t="shared" si="3"/>
        <v>15.21606558007568</v>
      </c>
      <c r="AJ16" s="25">
        <f t="shared" si="4"/>
        <v>912963.93480454083</v>
      </c>
      <c r="AK16" s="26">
        <f t="shared" si="5"/>
        <v>891697.16902319307</v>
      </c>
      <c r="AL16" s="27"/>
      <c r="AM16" s="27"/>
    </row>
    <row r="17" spans="1:39" ht="16" thickBot="1" x14ac:dyDescent="0.4">
      <c r="A17" s="55" t="s">
        <v>26</v>
      </c>
      <c r="B17" s="56" t="s">
        <v>51</v>
      </c>
      <c r="C17" s="42" t="s">
        <v>44</v>
      </c>
      <c r="D17" s="57">
        <f t="array" ref="D17">SUM(IF($A17=Summary!$A$3:$A$19,IF('Table G.1'!D$7=Summary!$S$2:$V$2,Summary!$S$3:$V$19,0),0))</f>
        <v>446</v>
      </c>
      <c r="E17" s="20">
        <f t="array" ref="E17">SUM(IF($A17=Summary!$A$3:$A$19,IF('Table G.1'!E$7=Summary!$S$2:$V$2,Summary!$S$3:$V$19,0),0))</f>
        <v>365</v>
      </c>
      <c r="F17" s="20">
        <f t="array" ref="F17">SUM(IF($A17=Summary!$A$3:$A$19,IF('Table G.1'!F$7=Summary!$S$2:$V$2,Summary!$S$3:$V$19,0),0))</f>
        <v>396</v>
      </c>
      <c r="G17" s="20">
        <f t="array" ref="G17">SUM(IF($A17=Summary!$A$3:$A$19,IF('Table G.1'!G$7=Summary!$S$2:$V$2,Summary!$S$3:$V$19,0),0))</f>
        <v>366.9610091729042</v>
      </c>
      <c r="H17" s="20">
        <v>322</v>
      </c>
      <c r="I17" s="19">
        <v>319</v>
      </c>
      <c r="J17" s="19">
        <v>331.72924434787683</v>
      </c>
      <c r="K17" s="19">
        <v>227.5</v>
      </c>
      <c r="L17" s="21">
        <v>336</v>
      </c>
      <c r="M17" s="21">
        <v>333</v>
      </c>
      <c r="N17" s="21">
        <v>324</v>
      </c>
      <c r="O17" s="17">
        <v>283.25592955062285</v>
      </c>
      <c r="P17" s="22"/>
      <c r="Q17" s="58">
        <f t="shared" si="0"/>
        <v>319.0639823876557</v>
      </c>
      <c r="R17" s="29"/>
      <c r="S17" s="46">
        <v>332</v>
      </c>
      <c r="T17" s="47">
        <f t="shared" si="1"/>
        <v>0.96103609152908342</v>
      </c>
      <c r="U17" s="29"/>
      <c r="V17" s="20">
        <f t="array" ref="V17">SUM(IF($A17=Summary!$A$3:$A$19,IF('Table G.1'!V$7=Summary!$C$2:$F$2,Summary!$C$3:$F$19,0),0))</f>
        <v>2811590</v>
      </c>
      <c r="W17" s="20">
        <f t="array" ref="W17">SUM(IF($A17=Summary!$A$3:$A$19,IF('Table G.1'!W$7=Summary!$C$2:$F$2,Summary!$C$3:$F$19,0),0))</f>
        <v>2732796</v>
      </c>
      <c r="X17" s="20">
        <v>2526307</v>
      </c>
      <c r="Y17" s="59">
        <v>2518120</v>
      </c>
      <c r="Z17" s="59">
        <v>2625183</v>
      </c>
      <c r="AA17" s="20">
        <v>2563421</v>
      </c>
      <c r="AB17" s="60">
        <v>1732784</v>
      </c>
      <c r="AC17" s="60">
        <v>1717528</v>
      </c>
      <c r="AD17" s="60">
        <v>1779843</v>
      </c>
      <c r="AE17" s="60">
        <v>1282117</v>
      </c>
      <c r="AF17" s="61"/>
      <c r="AG17" s="50">
        <f t="shared" si="2"/>
        <v>63.859321431905791</v>
      </c>
      <c r="AH17" s="62">
        <f t="shared" si="3"/>
        <v>1.0643220238650966</v>
      </c>
      <c r="AJ17" s="25">
        <f t="shared" si="4"/>
        <v>63859.321431905788</v>
      </c>
      <c r="AK17" s="26">
        <f t="shared" si="5"/>
        <v>71989.707569589984</v>
      </c>
      <c r="AL17" s="27"/>
      <c r="AM17" s="27"/>
    </row>
    <row r="18" spans="1:39" ht="16" thickBot="1" x14ac:dyDescent="0.4">
      <c r="A18" s="94" t="s">
        <v>53</v>
      </c>
      <c r="B18" s="95"/>
      <c r="C18" s="96"/>
      <c r="D18" s="63">
        <f t="shared" ref="D18:P18" si="6">SUM(D8:D17)</f>
        <v>79652.61</v>
      </c>
      <c r="E18" s="64">
        <f t="shared" si="6"/>
        <v>75903.91</v>
      </c>
      <c r="F18" s="23">
        <f t="shared" si="6"/>
        <v>72132.52448763646</v>
      </c>
      <c r="G18" s="23">
        <f t="shared" si="6"/>
        <v>72206.978477646713</v>
      </c>
      <c r="H18" s="23">
        <f t="shared" si="6"/>
        <v>72351</v>
      </c>
      <c r="I18" s="24">
        <f t="shared" si="6"/>
        <v>73726</v>
      </c>
      <c r="J18" s="24">
        <f t="shared" si="6"/>
        <v>71695.140640096841</v>
      </c>
      <c r="K18" s="24">
        <f t="shared" si="6"/>
        <v>73616.148785458034</v>
      </c>
      <c r="L18" s="24">
        <f t="shared" si="6"/>
        <v>61675</v>
      </c>
      <c r="M18" s="24">
        <f t="shared" si="6"/>
        <v>66532</v>
      </c>
      <c r="N18" s="24">
        <f>SUM(N8:N17)</f>
        <v>62550</v>
      </c>
      <c r="O18" s="24">
        <f t="shared" si="6"/>
        <v>56688.387121377113</v>
      </c>
      <c r="P18" s="24">
        <f t="shared" si="6"/>
        <v>0</v>
      </c>
      <c r="Q18" s="65">
        <f t="shared" si="0"/>
        <v>61861.346780344276</v>
      </c>
      <c r="R18" s="29"/>
      <c r="S18" s="29"/>
      <c r="T18" s="29"/>
      <c r="U18" s="29"/>
      <c r="V18" s="24">
        <f t="shared" ref="V18:AF18" si="7">SUM(V8:V17)</f>
        <v>53125304</v>
      </c>
      <c r="W18" s="24">
        <f t="shared" si="7"/>
        <v>50804757</v>
      </c>
      <c r="X18" s="24">
        <f t="shared" si="7"/>
        <v>48065997</v>
      </c>
      <c r="Y18" s="24">
        <f t="shared" si="7"/>
        <v>51361745</v>
      </c>
      <c r="Z18" s="24">
        <f t="shared" si="7"/>
        <v>51901612</v>
      </c>
      <c r="AA18" s="24">
        <f t="shared" si="7"/>
        <v>49688995</v>
      </c>
      <c r="AB18" s="24">
        <f t="shared" si="7"/>
        <v>42115971</v>
      </c>
      <c r="AC18" s="24">
        <f t="shared" si="7"/>
        <v>45237567</v>
      </c>
      <c r="AD18" s="24">
        <f t="shared" si="7"/>
        <v>43210219</v>
      </c>
      <c r="AE18" s="24">
        <f t="shared" si="7"/>
        <v>32285351</v>
      </c>
      <c r="AF18" s="66">
        <f t="shared" si="7"/>
        <v>0</v>
      </c>
      <c r="AG18" s="67">
        <f>+(SUM(H18:K18)*$B$21)/SUM(X18:AA18)</f>
        <v>472.34078863918285</v>
      </c>
      <c r="AH18" s="68">
        <f t="shared" si="3"/>
        <v>7.8723464773197138</v>
      </c>
    </row>
    <row r="19" spans="1:39" ht="15.5" x14ac:dyDescent="0.35">
      <c r="A19" s="29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</row>
    <row r="20" spans="1:39" ht="15.5" x14ac:dyDescent="0.35">
      <c r="A20" s="29" t="s">
        <v>64</v>
      </c>
      <c r="B20" s="29"/>
      <c r="C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</row>
    <row r="21" spans="1:39" ht="15.5" x14ac:dyDescent="0.35">
      <c r="A21" s="29"/>
      <c r="B21" s="69">
        <v>325851</v>
      </c>
      <c r="C21" s="29" t="s">
        <v>65</v>
      </c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69"/>
      <c r="AK21" s="28"/>
    </row>
    <row r="22" spans="1:39" ht="15.5" x14ac:dyDescent="0.35">
      <c r="A22" s="29"/>
      <c r="B22" s="69">
        <v>43560</v>
      </c>
      <c r="C22" s="29" t="s">
        <v>66</v>
      </c>
      <c r="D22" s="6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</row>
    <row r="23" spans="1:39" ht="15.5" x14ac:dyDescent="0.35">
      <c r="A23" s="29"/>
      <c r="B23" s="29"/>
      <c r="C23" s="29"/>
      <c r="D23" s="70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</row>
    <row r="24" spans="1:39" ht="15.5" x14ac:dyDescent="0.35">
      <c r="A24" s="29" t="s">
        <v>79</v>
      </c>
      <c r="Q24" s="29"/>
      <c r="R24" s="29"/>
      <c r="S24" s="29"/>
      <c r="T24" s="71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</row>
    <row r="25" spans="1:39" ht="15.5" x14ac:dyDescent="0.35">
      <c r="A25" s="29" t="s">
        <v>88</v>
      </c>
      <c r="Q25" s="29"/>
      <c r="R25" s="29"/>
      <c r="S25" s="29"/>
      <c r="T25" s="71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</row>
    <row r="26" spans="1:39" ht="15.5" x14ac:dyDescent="0.35">
      <c r="A26" s="29"/>
    </row>
    <row r="27" spans="1:39" ht="15.5" x14ac:dyDescent="0.35">
      <c r="A27" s="29"/>
    </row>
  </sheetData>
  <mergeCells count="5">
    <mergeCell ref="A1:AH1"/>
    <mergeCell ref="A2:AH2"/>
    <mergeCell ref="D6:Q6"/>
    <mergeCell ref="A18:C18"/>
    <mergeCell ref="V6:AF6"/>
  </mergeCells>
  <pageMargins left="0.7" right="0.7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2:S30"/>
  <sheetViews>
    <sheetView zoomScaleNormal="100" workbookViewId="0"/>
  </sheetViews>
  <sheetFormatPr defaultColWidth="9.1796875" defaultRowHeight="15.5" x14ac:dyDescent="0.35"/>
  <cols>
    <col min="1" max="1" width="18.7265625" style="73" customWidth="1"/>
    <col min="2" max="8" width="10.7265625" style="73" customWidth="1"/>
    <col min="9" max="10" width="9.1796875" style="73" customWidth="1"/>
    <col min="11" max="11" width="12" style="73" bestFit="1" customWidth="1"/>
    <col min="12" max="16384" width="9.1796875" style="73"/>
  </cols>
  <sheetData>
    <row r="2" spans="1:19" x14ac:dyDescent="0.35">
      <c r="A2" s="72" t="s">
        <v>55</v>
      </c>
    </row>
    <row r="3" spans="1:19" x14ac:dyDescent="0.35">
      <c r="A3" s="72" t="s">
        <v>74</v>
      </c>
    </row>
    <row r="4" spans="1:19" x14ac:dyDescent="0.35">
      <c r="A4" s="72" t="s">
        <v>70</v>
      </c>
    </row>
    <row r="6" spans="1:19" x14ac:dyDescent="0.35">
      <c r="A6" s="99" t="s">
        <v>71</v>
      </c>
      <c r="B6" s="100"/>
      <c r="C6" s="100"/>
      <c r="D6" s="100"/>
      <c r="E6" s="100"/>
      <c r="F6" s="100"/>
      <c r="G6" s="100"/>
      <c r="H6" s="100"/>
      <c r="J6" s="73">
        <v>-6</v>
      </c>
    </row>
    <row r="7" spans="1:19" x14ac:dyDescent="0.35">
      <c r="A7" s="74" t="s">
        <v>28</v>
      </c>
      <c r="B7" s="74">
        <v>2017</v>
      </c>
      <c r="C7" s="74">
        <v>2018</v>
      </c>
      <c r="D7" s="74">
        <v>2019</v>
      </c>
      <c r="E7" s="74">
        <f t="shared" ref="E7:F7" si="0">F7-1</f>
        <v>2020</v>
      </c>
      <c r="F7" s="74">
        <f t="shared" si="0"/>
        <v>2021</v>
      </c>
      <c r="G7" s="74">
        <f>H7-1</f>
        <v>2022</v>
      </c>
      <c r="H7" s="74">
        <f>'Table G.1'!$B$5</f>
        <v>2023</v>
      </c>
    </row>
    <row r="8" spans="1:19" x14ac:dyDescent="0.35">
      <c r="A8" s="75" t="s">
        <v>20</v>
      </c>
      <c r="B8" s="76">
        <v>116</v>
      </c>
      <c r="C8" s="76">
        <v>110</v>
      </c>
      <c r="D8" s="76">
        <v>101</v>
      </c>
      <c r="E8" s="77">
        <f>INDEX('Table G.1'!$D$8:$P$17,MATCH('Table G.2'!$A8,'Table G.1'!$A$8:$A$17,0),MATCH('Table G.2'!E$7,'Table G.1'!$D$7:'Table G.1'!$D$7:$P$7,0))</f>
        <v>95</v>
      </c>
      <c r="F8" s="77">
        <f>INDEX('Table G.1'!$D$8:$P$17,MATCH('Table G.2'!$A8,'Table G.1'!$A$8:$A$17,0),MATCH('Table G.2'!F$7,'Table G.1'!$D$7:'Table G.1'!$D$7:$P$7,0))</f>
        <v>113</v>
      </c>
      <c r="G8" s="77">
        <f>INDEX('Table G.1'!$D$8:$P$17,MATCH('Table G.2'!$A8,'Table G.1'!$A$8:$A$17,0),MATCH('Table G.2'!G$7,'Table G.1'!$D$7:'Table G.1'!$D$7:$P$7,0))</f>
        <v>85</v>
      </c>
      <c r="H8" s="77">
        <f>INDEX('Table G.1'!$D$8:$P$17,MATCH('Table G.2'!$A8,'Table G.1'!$A$8:$A$17,0),MATCH('Table G.2'!H$7,'Table G.1'!$D$7:'Table G.1'!$D$7:$P$7,0))</f>
        <v>132.60037511009634</v>
      </c>
    </row>
    <row r="9" spans="1:19" x14ac:dyDescent="0.35">
      <c r="A9" s="75" t="s">
        <v>21</v>
      </c>
      <c r="B9" s="76">
        <v>100</v>
      </c>
      <c r="C9" s="76">
        <v>205</v>
      </c>
      <c r="D9" s="76">
        <v>281</v>
      </c>
      <c r="E9" s="77">
        <f>INDEX('Table G.1'!$D$8:$P$17,MATCH('Table G.2'!$A9,'Table G.1'!$A$8:$A$17,0),MATCH('Table G.2'!E$7,'Table G.1'!$D$7:'Table G.1'!$D$7:$P$7,0))</f>
        <v>409</v>
      </c>
      <c r="F9" s="77">
        <f>INDEX('Table G.1'!$D$8:$P$17,MATCH('Table G.2'!$A9,'Table G.1'!$A$8:$A$17,0),MATCH('Table G.2'!F$7,'Table G.1'!$D$7:'Table G.1'!$D$7:$P$7,0))</f>
        <v>339</v>
      </c>
      <c r="G9" s="77">
        <f>INDEX('Table G.1'!$D$8:$P$17,MATCH('Table G.2'!$A9,'Table G.1'!$A$8:$A$17,0),MATCH('Table G.2'!G$7,'Table G.1'!$D$7:'Table G.1'!$D$7:$P$7,0))</f>
        <v>454</v>
      </c>
      <c r="H9" s="77">
        <f>INDEX('Table G.1'!$D$8:$P$17,MATCH('Table G.2'!$A9,'Table G.1'!$A$8:$A$17,0),MATCH('Table G.2'!H$7,'Table G.1'!$D$7:'Table G.1'!$D$7:$P$7,0))</f>
        <v>183.83065971870582</v>
      </c>
    </row>
    <row r="10" spans="1:19" x14ac:dyDescent="0.35">
      <c r="A10" s="75" t="s">
        <v>23</v>
      </c>
      <c r="B10" s="76">
        <v>15383</v>
      </c>
      <c r="C10" s="76">
        <v>14751</v>
      </c>
      <c r="D10" s="76">
        <v>15808</v>
      </c>
      <c r="E10" s="77">
        <f>INDEX('Table G.1'!$D$8:$P$17,MATCH('Table G.2'!$A10,'Table G.1'!$A$8:$A$17,0),MATCH('Table G.2'!E$7,'Table G.1'!$D$7:'Table G.1'!$D$7:$P$7,0))</f>
        <v>15103</v>
      </c>
      <c r="F10" s="77">
        <f>INDEX('Table G.1'!$D$8:$P$17,MATCH('Table G.2'!$A10,'Table G.1'!$A$8:$A$17,0),MATCH('Table G.2'!F$7,'Table G.1'!$D$7:'Table G.1'!$D$7:$P$7,0))</f>
        <v>16326</v>
      </c>
      <c r="G10" s="77">
        <f>INDEX('Table G.1'!$D$8:$P$17,MATCH('Table G.2'!$A10,'Table G.1'!$A$8:$A$17,0),MATCH('Table G.2'!G$7,'Table G.1'!$D$7:'Table G.1'!$D$7:$P$7,0))</f>
        <v>13426</v>
      </c>
      <c r="H10" s="77">
        <f>INDEX('Table G.1'!$D$8:$P$17,MATCH('Table G.2'!$A10,'Table G.1'!$A$8:$A$17,0),MATCH('Table G.2'!H$7,'Table G.1'!$D$7:'Table G.1'!$D$7:$P$7,0))</f>
        <v>8788</v>
      </c>
    </row>
    <row r="11" spans="1:19" x14ac:dyDescent="0.35">
      <c r="A11" s="75" t="s">
        <v>22</v>
      </c>
      <c r="B11" s="76">
        <v>9653</v>
      </c>
      <c r="C11" s="76">
        <v>9804</v>
      </c>
      <c r="D11" s="76">
        <v>9028</v>
      </c>
      <c r="E11" s="77">
        <f>INDEX('Table G.1'!$D$8:$P$17,MATCH('Table G.2'!$A11,'Table G.1'!$A$8:$A$17,0),MATCH('Table G.2'!E$7,'Table G.1'!$D$7:'Table G.1'!$D$7:$P$7,0))</f>
        <v>7929</v>
      </c>
      <c r="F11" s="77">
        <f>INDEX('Table G.1'!$D$8:$P$17,MATCH('Table G.2'!$A11,'Table G.1'!$A$8:$A$17,0),MATCH('Table G.2'!F$7,'Table G.1'!$D$7:'Table G.1'!$D$7:$P$7,0))</f>
        <v>12019</v>
      </c>
      <c r="G11" s="77">
        <f>INDEX('Table G.1'!$D$8:$P$17,MATCH('Table G.2'!$A11,'Table G.1'!$A$8:$A$17,0),MATCH('Table G.2'!G$7,'Table G.1'!$D$7:'Table G.1'!$D$7:$P$7,0))</f>
        <v>11717</v>
      </c>
      <c r="H11" s="77">
        <f>INDEX('Table G.1'!$D$8:$P$17,MATCH('Table G.2'!$A11,'Table G.1'!$A$8:$A$17,0),MATCH('Table G.2'!H$7,'Table G.1'!$D$7:'Table G.1'!$D$7:$P$7,0))</f>
        <v>7426.98</v>
      </c>
      <c r="O11" s="1"/>
      <c r="P11" s="1"/>
      <c r="Q11" s="1"/>
      <c r="R11" s="1"/>
      <c r="S11" s="1"/>
    </row>
    <row r="12" spans="1:19" x14ac:dyDescent="0.35">
      <c r="A12" s="75" t="s">
        <v>89</v>
      </c>
      <c r="B12" s="76">
        <v>2698</v>
      </c>
      <c r="C12" s="76">
        <v>3648</v>
      </c>
      <c r="D12" s="76">
        <v>3894</v>
      </c>
      <c r="E12" s="77">
        <f>INDEX('Table G.1'!$D$8:$P$17,MATCH('Table G.2'!$A12,'Table G.1'!$A$8:$A$17,0),MATCH('Table G.2'!E$7,'Table G.1'!$D$7:'Table G.1'!$D$7:$P$7,0))</f>
        <v>4075</v>
      </c>
      <c r="F12" s="77">
        <f>INDEX('Table G.1'!$D$8:$P$17,MATCH('Table G.2'!$A12,'Table G.1'!$A$8:$A$17,0),MATCH('Table G.2'!F$7,'Table G.1'!$D$7:'Table G.1'!$D$7:$P$7,0))</f>
        <v>4421</v>
      </c>
      <c r="G12" s="77">
        <f>INDEX('Table G.1'!$D$8:$P$17,MATCH('Table G.2'!$A12,'Table G.1'!$A$8:$A$17,0),MATCH('Table G.2'!G$7,'Table G.1'!$D$7:'Table G.1'!$D$7:$P$7,0))</f>
        <v>4591</v>
      </c>
      <c r="H12" s="77">
        <f>INDEX('Table G.1'!$D$8:$P$17,MATCH('Table G.2'!$A12,'Table G.1'!$A$8:$A$17,0),MATCH('Table G.2'!H$7,'Table G.1'!$D$7:'Table G.1'!$D$7:$P$7,0))</f>
        <v>4434.6000000000004</v>
      </c>
      <c r="O12" s="1"/>
      <c r="P12" s="1"/>
      <c r="Q12" s="1"/>
      <c r="R12" s="1"/>
      <c r="S12" s="1"/>
    </row>
    <row r="13" spans="1:19" x14ac:dyDescent="0.35">
      <c r="A13" s="78" t="s">
        <v>53</v>
      </c>
      <c r="B13" s="79">
        <f t="shared" ref="B13:D13" si="1">SUM(B8:B12)</f>
        <v>27950</v>
      </c>
      <c r="C13" s="79">
        <f t="shared" si="1"/>
        <v>28518</v>
      </c>
      <c r="D13" s="79">
        <f t="shared" si="1"/>
        <v>29112</v>
      </c>
      <c r="E13" s="80">
        <f t="shared" ref="E13:H13" si="2">SUM(E8:E12)</f>
        <v>27611</v>
      </c>
      <c r="F13" s="80">
        <f t="shared" si="2"/>
        <v>33218</v>
      </c>
      <c r="G13" s="80">
        <f t="shared" si="2"/>
        <v>30273</v>
      </c>
      <c r="H13" s="80">
        <f t="shared" si="2"/>
        <v>20966.0110348288</v>
      </c>
      <c r="I13" s="81"/>
      <c r="O13" s="1"/>
      <c r="P13" s="1"/>
      <c r="Q13" s="1"/>
      <c r="R13" s="1"/>
      <c r="S13" s="1"/>
    </row>
    <row r="14" spans="1:19" x14ac:dyDescent="0.35">
      <c r="A14" s="72"/>
      <c r="C14" s="82" t="s">
        <v>72</v>
      </c>
      <c r="D14" s="83" cm="1">
        <f t="array" ref="D14">SUM($B$13:$H$13/SUM($B$13:$H$13,$B$21:$H$21))</f>
        <v>0.4443268526582978</v>
      </c>
      <c r="L14" s="1"/>
      <c r="M14" s="1"/>
      <c r="N14" s="1"/>
      <c r="O14" s="1"/>
      <c r="P14" s="1"/>
    </row>
    <row r="15" spans="1:19" x14ac:dyDescent="0.35">
      <c r="A15" s="101" t="s">
        <v>73</v>
      </c>
      <c r="B15" s="102"/>
      <c r="C15" s="102"/>
      <c r="D15" s="102"/>
      <c r="E15" s="102"/>
      <c r="F15" s="102"/>
      <c r="G15" s="102"/>
      <c r="H15" s="102"/>
      <c r="L15" s="1"/>
      <c r="M15" s="1"/>
      <c r="N15" s="1"/>
      <c r="O15" s="1"/>
      <c r="P15" s="1"/>
    </row>
    <row r="16" spans="1:19" x14ac:dyDescent="0.35">
      <c r="A16" s="74" t="s">
        <v>28</v>
      </c>
      <c r="B16" s="74">
        <v>2017</v>
      </c>
      <c r="C16" s="74">
        <v>2018</v>
      </c>
      <c r="D16" s="74">
        <v>2019</v>
      </c>
      <c r="E16" s="74">
        <f t="shared" ref="E16:F16" si="3">F16-1</f>
        <v>2020</v>
      </c>
      <c r="F16" s="74">
        <f t="shared" si="3"/>
        <v>2021</v>
      </c>
      <c r="G16" s="74">
        <f>H16-1</f>
        <v>2022</v>
      </c>
      <c r="H16" s="74">
        <f>'Table G.1'!B5</f>
        <v>2023</v>
      </c>
      <c r="K16" s="84"/>
      <c r="O16" s="1"/>
      <c r="P16" s="1"/>
      <c r="Q16" s="1"/>
      <c r="R16" s="1"/>
      <c r="S16" s="1"/>
    </row>
    <row r="17" spans="1:19" x14ac:dyDescent="0.35">
      <c r="A17" s="75" t="s">
        <v>43</v>
      </c>
      <c r="B17" s="76">
        <v>8231</v>
      </c>
      <c r="C17" s="76">
        <v>8325</v>
      </c>
      <c r="D17" s="76">
        <v>8485</v>
      </c>
      <c r="E17" s="77">
        <f>INDEX('Table G.1'!$D$8:$P$17,MATCH('Table G.2'!$A17,'Table G.1'!$A$8:$A$17,0),MATCH('Table G.2'!E$7,'Table G.1'!$D$7:'Table G.1'!$D$7:$P$7,0))</f>
        <v>7856</v>
      </c>
      <c r="F17" s="77">
        <f>INDEX('Table G.1'!$D$8:$P$17,MATCH('Table G.2'!$A17,'Table G.1'!$A$8:$A$17,0),MATCH('Table G.2'!F$7,'Table G.1'!$D$7:'Table G.1'!$D$7:$P$7,0))</f>
        <v>6571</v>
      </c>
      <c r="G17" s="77">
        <f>INDEX('Table G.1'!$D$8:$P$17,MATCH('Table G.2'!$A17,'Table G.1'!$A$8:$A$17,0),MATCH('Table G.2'!G$7,'Table G.1'!$D$7:'Table G.1'!$D$7:$P$7,0))</f>
        <v>5901</v>
      </c>
      <c r="H17" s="77">
        <f>INDEX('Table G.1'!$D$8:$P$17,MATCH('Table G.2'!$A17,'Table G.1'!$A$8:$A$17,0),MATCH('Table G.2'!H$7,'Table G.1'!$D$7:'Table G.1'!$D$7:$P$7,0))</f>
        <v>12770.074450468604</v>
      </c>
      <c r="O17" s="1"/>
      <c r="P17" s="1"/>
      <c r="Q17" s="1"/>
      <c r="R17" s="1"/>
      <c r="S17" s="1"/>
    </row>
    <row r="18" spans="1:19" x14ac:dyDescent="0.35">
      <c r="A18" s="75" t="s">
        <v>24</v>
      </c>
      <c r="B18" s="76">
        <v>19047</v>
      </c>
      <c r="C18" s="76">
        <v>20067</v>
      </c>
      <c r="D18" s="76">
        <v>19893</v>
      </c>
      <c r="E18" s="77">
        <f>INDEX('Table G.1'!$D$8:$P$17,MATCH('Table G.2'!$A18,'Table G.1'!$A$8:$A$17,0),MATCH('Table G.2'!E$7,'Table G.1'!$D$7:'Table G.1'!$D$7:$P$7,0))</f>
        <v>18184</v>
      </c>
      <c r="F18" s="77">
        <f>INDEX('Table G.1'!$D$8:$P$17,MATCH('Table G.2'!$A18,'Table G.1'!$A$8:$A$17,0),MATCH('Table G.2'!F$7,'Table G.1'!$D$7:'Table G.1'!$D$7:$P$7,0))</f>
        <v>19103</v>
      </c>
      <c r="G18" s="77">
        <f>INDEX('Table G.1'!$D$8:$P$17,MATCH('Table G.2'!$A18,'Table G.1'!$A$8:$A$17,0),MATCH('Table G.2'!G$7,'Table G.1'!$D$7:'Table G.1'!$D$7:$P$7,0))</f>
        <v>19076</v>
      </c>
      <c r="H18" s="77">
        <f>INDEX('Table G.1'!$D$8:$P$17,MATCH('Table G.2'!$A18,'Table G.1'!$A$8:$A$17,0),MATCH('Table G.2'!H$7,'Table G.1'!$D$7:'Table G.1'!$D$7:$P$7,0))</f>
        <v>15054.376077465502</v>
      </c>
      <c r="O18" s="1"/>
      <c r="P18" s="1"/>
      <c r="Q18" s="1"/>
      <c r="R18" s="1"/>
      <c r="S18" s="1"/>
    </row>
    <row r="19" spans="1:19" x14ac:dyDescent="0.35">
      <c r="A19" s="75" t="s">
        <v>25</v>
      </c>
      <c r="B19" s="76">
        <v>6927</v>
      </c>
      <c r="C19" s="76">
        <v>9916</v>
      </c>
      <c r="D19" s="76">
        <v>10195</v>
      </c>
      <c r="E19" s="77">
        <f>INDEX('Table G.1'!$D$8:$P$17,MATCH('Table G.2'!$A19,'Table G.1'!$A$8:$A$17,0),MATCH('Table G.2'!E$7,'Table G.1'!$D$7:'Table G.1'!$D$7:$P$7,0))</f>
        <v>7622</v>
      </c>
      <c r="F19" s="77">
        <f>INDEX('Table G.1'!$D$8:$P$17,MATCH('Table G.2'!$A19,'Table G.1'!$A$8:$A$17,0),MATCH('Table G.2'!F$7,'Table G.1'!$D$7:'Table G.1'!$D$7:$P$7,0))</f>
        <v>7236</v>
      </c>
      <c r="G19" s="77">
        <f>INDEX('Table G.1'!$D$8:$P$17,MATCH('Table G.2'!$A19,'Table G.1'!$A$8:$A$17,0),MATCH('Table G.2'!G$7,'Table G.1'!$D$7:'Table G.1'!$D$7:$P$7,0))</f>
        <v>6929</v>
      </c>
      <c r="H19" s="77">
        <f>INDEX('Table G.1'!$D$8:$P$17,MATCH('Table G.2'!$A19,'Table G.1'!$A$8:$A$17,0),MATCH('Table G.2'!H$7,'Table G.1'!$D$7:'Table G.1'!$D$7:$P$7,0))</f>
        <v>7570</v>
      </c>
      <c r="O19" s="1"/>
      <c r="P19" s="1"/>
      <c r="Q19" s="1"/>
      <c r="R19" s="1"/>
      <c r="S19" s="1"/>
    </row>
    <row r="20" spans="1:19" x14ac:dyDescent="0.35">
      <c r="A20" s="75" t="s">
        <v>26</v>
      </c>
      <c r="B20" s="76">
        <v>332</v>
      </c>
      <c r="C20" s="76">
        <v>319</v>
      </c>
      <c r="D20" s="76">
        <v>292</v>
      </c>
      <c r="E20" s="77">
        <f>INDEX('Table G.1'!$D$8:$P$17,MATCH('Table G.2'!$A20,'Table G.1'!$A$8:$A$17,0),MATCH('Table G.2'!E$7,'Table G.1'!$D$7:'Table G.1'!$D$7:$P$7,0))</f>
        <v>336</v>
      </c>
      <c r="F20" s="77">
        <f>INDEX('Table G.1'!$D$8:$P$17,MATCH('Table G.2'!$A20,'Table G.1'!$A$8:$A$17,0),MATCH('Table G.2'!F$7,'Table G.1'!$D$7:'Table G.1'!$D$7:$P$7,0))</f>
        <v>333</v>
      </c>
      <c r="G20" s="77">
        <f>INDEX('Table G.1'!$D$8:$P$17,MATCH('Table G.2'!$A20,'Table G.1'!$A$8:$A$17,0),MATCH('Table G.2'!G$7,'Table G.1'!$D$7:'Table G.1'!$D$7:$P$7,0))</f>
        <v>324</v>
      </c>
      <c r="H20" s="77">
        <f>INDEX('Table G.1'!$D$8:$P$17,MATCH('Table G.2'!$A20,'Table G.1'!$A$8:$A$17,0),MATCH('Table G.2'!H$7,'Table G.1'!$D$7:'Table G.1'!$D$7:$P$7,0))</f>
        <v>283.25592955062285</v>
      </c>
      <c r="O20" s="1"/>
      <c r="P20" s="1"/>
      <c r="Q20" s="1"/>
      <c r="R20" s="1"/>
      <c r="S20" s="1"/>
    </row>
    <row r="21" spans="1:19" x14ac:dyDescent="0.35">
      <c r="A21" s="78" t="s">
        <v>53</v>
      </c>
      <c r="B21" s="79">
        <f>SUM(B17:B20)</f>
        <v>34537</v>
      </c>
      <c r="C21" s="79">
        <f t="shared" ref="C21:D21" si="4">SUM(C17:C20)</f>
        <v>38627</v>
      </c>
      <c r="D21" s="79">
        <f t="shared" si="4"/>
        <v>38865</v>
      </c>
      <c r="E21" s="80">
        <f t="shared" ref="E21" si="5">SUM(E17:E20)</f>
        <v>33998</v>
      </c>
      <c r="F21" s="80">
        <f t="shared" ref="F21:G21" si="6">SUM(F17:F20)</f>
        <v>33243</v>
      </c>
      <c r="G21" s="80">
        <f t="shared" si="6"/>
        <v>32230</v>
      </c>
      <c r="H21" s="80">
        <f t="shared" ref="H21" si="7">SUM(H17:H20)</f>
        <v>35677.706457484732</v>
      </c>
      <c r="O21" s="1"/>
      <c r="P21" s="1"/>
      <c r="Q21" s="1"/>
      <c r="R21" s="1"/>
      <c r="S21" s="1"/>
    </row>
    <row r="22" spans="1:19" x14ac:dyDescent="0.35">
      <c r="C22" s="82" t="s">
        <v>72</v>
      </c>
      <c r="D22" s="83" cm="1">
        <f t="array" ref="D22">SUM($B$21:$H$21/SUM($B$13:$H$13,$B$21:$H$21))</f>
        <v>0.55567314734170226</v>
      </c>
      <c r="L22" s="1"/>
      <c r="M22" s="1"/>
      <c r="N22" s="1"/>
      <c r="O22" s="1"/>
      <c r="P22" s="1"/>
    </row>
    <row r="23" spans="1:19" x14ac:dyDescent="0.35">
      <c r="L23" s="1"/>
      <c r="M23" s="1"/>
      <c r="N23" s="1"/>
      <c r="O23" s="1"/>
      <c r="P23" s="1"/>
    </row>
    <row r="24" spans="1:19" x14ac:dyDescent="0.35">
      <c r="L24" s="1"/>
      <c r="M24" s="1"/>
      <c r="N24" s="1"/>
      <c r="O24" s="1"/>
      <c r="P24" s="1"/>
    </row>
    <row r="25" spans="1:19" x14ac:dyDescent="0.35">
      <c r="I25" s="81"/>
      <c r="L25" s="1"/>
      <c r="M25" s="1"/>
      <c r="N25" s="1"/>
      <c r="O25" s="1"/>
      <c r="P25" s="1"/>
    </row>
    <row r="26" spans="1:19" x14ac:dyDescent="0.35">
      <c r="L26" s="1"/>
      <c r="M26" s="1"/>
      <c r="N26" s="1"/>
      <c r="O26" s="1"/>
      <c r="P26" s="1"/>
    </row>
    <row r="27" spans="1:19" x14ac:dyDescent="0.35">
      <c r="K27" s="85"/>
      <c r="L27" s="1"/>
      <c r="M27" s="1"/>
      <c r="N27" s="1"/>
      <c r="O27" s="1"/>
      <c r="P27" s="1"/>
    </row>
    <row r="29" spans="1:19" x14ac:dyDescent="0.35">
      <c r="D29" s="86"/>
    </row>
    <row r="30" spans="1:19" x14ac:dyDescent="0.35">
      <c r="B30" s="81"/>
      <c r="C30" s="81"/>
      <c r="D30" s="81"/>
    </row>
  </sheetData>
  <sortState xmlns:xlrd2="http://schemas.microsoft.com/office/spreadsheetml/2017/richdata2" ref="A17:E20">
    <sortCondition ref="A17"/>
  </sortState>
  <mergeCells count="2">
    <mergeCell ref="A6:H6"/>
    <mergeCell ref="A15:H15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2:K26"/>
  <sheetViews>
    <sheetView zoomScaleNormal="100" workbookViewId="0"/>
  </sheetViews>
  <sheetFormatPr defaultColWidth="9.1796875" defaultRowHeight="15.5" x14ac:dyDescent="0.35"/>
  <cols>
    <col min="1" max="1" width="18.7265625" style="73" customWidth="1"/>
    <col min="2" max="8" width="10.7265625" style="73" customWidth="1"/>
    <col min="9" max="9" width="2.54296875" style="73" customWidth="1"/>
    <col min="10" max="11" width="28.453125" style="73" customWidth="1"/>
    <col min="12" max="16384" width="9.1796875" style="73"/>
  </cols>
  <sheetData>
    <row r="2" spans="1:11" x14ac:dyDescent="0.35">
      <c r="A2" s="72" t="s">
        <v>55</v>
      </c>
    </row>
    <row r="3" spans="1:11" x14ac:dyDescent="0.35">
      <c r="A3" s="72" t="s">
        <v>68</v>
      </c>
    </row>
    <row r="4" spans="1:11" x14ac:dyDescent="0.35">
      <c r="A4" s="72" t="s">
        <v>75</v>
      </c>
    </row>
    <row r="5" spans="1:11" x14ac:dyDescent="0.35">
      <c r="A5" s="72"/>
    </row>
    <row r="7" spans="1:11" ht="16.5" customHeight="1" x14ac:dyDescent="0.35">
      <c r="A7" s="99" t="s">
        <v>76</v>
      </c>
      <c r="B7" s="100"/>
      <c r="C7" s="100"/>
      <c r="D7" s="100"/>
      <c r="E7" s="100"/>
      <c r="F7" s="100"/>
      <c r="G7" s="100"/>
      <c r="H7" s="100"/>
    </row>
    <row r="8" spans="1:11" x14ac:dyDescent="0.35">
      <c r="A8" s="87" t="s">
        <v>28</v>
      </c>
      <c r="B8" s="87">
        <v>2017</v>
      </c>
      <c r="C8" s="87">
        <v>2018</v>
      </c>
      <c r="D8" s="87">
        <v>2019</v>
      </c>
      <c r="E8" s="74">
        <f t="shared" ref="E8:F8" si="0">F8-1</f>
        <v>2020</v>
      </c>
      <c r="F8" s="74">
        <f t="shared" si="0"/>
        <v>2021</v>
      </c>
      <c r="G8" s="74">
        <f>H8-1</f>
        <v>2022</v>
      </c>
      <c r="H8" s="74">
        <f>'Table G.1'!$B$5</f>
        <v>2023</v>
      </c>
      <c r="J8" s="88" t="s">
        <v>60</v>
      </c>
      <c r="K8" s="88" t="s">
        <v>61</v>
      </c>
    </row>
    <row r="9" spans="1:11" x14ac:dyDescent="0.35">
      <c r="A9" s="75" t="s">
        <v>43</v>
      </c>
      <c r="B9" s="76">
        <v>8231</v>
      </c>
      <c r="C9" s="76">
        <v>8325</v>
      </c>
      <c r="D9" s="76">
        <v>8485</v>
      </c>
      <c r="E9" s="76">
        <f>INDEX('Table G.1'!$D$8:$P$17,MATCH('Table G.3'!$A9,'Table G.1'!$A$8:$A$17,0),MATCH('Table G.3'!E$8,'Table G.1'!$D$7:$P$7,0))</f>
        <v>7856</v>
      </c>
      <c r="F9" s="76">
        <f>INDEX('Table G.1'!$D$8:$P$17,MATCH('Table G.3'!$A9,'Table G.1'!$A$8:$A$17,0),MATCH('Table G.3'!F$8,'Table G.1'!$D$7:$P$7,0))</f>
        <v>6571</v>
      </c>
      <c r="G9" s="76">
        <f>INDEX('Table G.1'!$D$8:$P$17,MATCH('Table G.3'!$A9,'Table G.1'!$A$8:$A$17,0),MATCH('Table G.3'!G$8,'Table G.1'!$D$7:$P$7,0))</f>
        <v>5901</v>
      </c>
      <c r="H9" s="76">
        <f>INDEX('Table G.1'!$D$8:$P$17,MATCH('Table G.3'!$A9,'Table G.1'!$A$8:$A$17,0),MATCH('Table G.3'!H$8,'Table G.1'!$D$7:$P$7,0))</f>
        <v>12770.074450468604</v>
      </c>
      <c r="J9" s="76">
        <f t="array" ref="J9">SUM(IF($A9=Summary!$A$3:$A$19,Summary!$K$3:$K$19,0))</f>
        <v>762</v>
      </c>
      <c r="K9" s="89">
        <f t="shared" ref="K9:K14" si="1">AVERAGE(B9:H9)/J9</f>
        <v>10.89971399521346</v>
      </c>
    </row>
    <row r="10" spans="1:11" x14ac:dyDescent="0.35">
      <c r="A10" s="75" t="s">
        <v>23</v>
      </c>
      <c r="B10" s="76">
        <v>15383</v>
      </c>
      <c r="C10" s="76">
        <v>14751</v>
      </c>
      <c r="D10" s="76">
        <v>15808</v>
      </c>
      <c r="E10" s="76">
        <f>INDEX('Table G.1'!$D$8:$P$17,MATCH('Table G.3'!$A10,'Table G.1'!$A$8:$A$17,0),MATCH('Table G.3'!E$8,'Table G.1'!$D$7:$P$7,0))</f>
        <v>15103</v>
      </c>
      <c r="F10" s="76">
        <f>INDEX('Table G.1'!$D$8:$P$17,MATCH('Table G.3'!$A10,'Table G.1'!$A$8:$A$17,0),MATCH('Table G.3'!F$8,'Table G.1'!$D$7:$P$7,0))</f>
        <v>16326</v>
      </c>
      <c r="G10" s="76">
        <f>INDEX('Table G.1'!$D$8:$P$17,MATCH('Table G.3'!$A10,'Table G.1'!$A$8:$A$17,0),MATCH('Table G.3'!G$8,'Table G.1'!$D$7:$P$7,0))</f>
        <v>13426</v>
      </c>
      <c r="H10" s="76">
        <f>INDEX('Table G.1'!$D$8:$P$17,MATCH('Table G.3'!$A10,'Table G.1'!$A$8:$A$17,0),MATCH('Table G.3'!H$8,'Table G.1'!$D$7:$P$7,0))</f>
        <v>8788</v>
      </c>
      <c r="J10" s="76">
        <f t="array" ref="J10">SUM(IF($A10=Summary!$A$3:$A$19,Summary!$K$3:$K$19,0))</f>
        <v>1369</v>
      </c>
      <c r="K10" s="89">
        <f t="shared" si="1"/>
        <v>10.391839716164039</v>
      </c>
    </row>
    <row r="11" spans="1:11" x14ac:dyDescent="0.35">
      <c r="A11" s="75" t="s">
        <v>22</v>
      </c>
      <c r="B11" s="76">
        <v>9653</v>
      </c>
      <c r="C11" s="76">
        <v>9804</v>
      </c>
      <c r="D11" s="76">
        <v>9028</v>
      </c>
      <c r="E11" s="76">
        <f>INDEX('Table G.1'!$D$8:$P$17,MATCH('Table G.3'!$A11,'Table G.1'!$A$8:$A$17,0),MATCH('Table G.3'!E$8,'Table G.1'!$D$7:$P$7,0))</f>
        <v>7929</v>
      </c>
      <c r="F11" s="76">
        <f>INDEX('Table G.1'!$D$8:$P$17,MATCH('Table G.3'!$A11,'Table G.1'!$A$8:$A$17,0),MATCH('Table G.3'!F$8,'Table G.1'!$D$7:$P$7,0))</f>
        <v>12019</v>
      </c>
      <c r="G11" s="76">
        <f>INDEX('Table G.1'!$D$8:$P$17,MATCH('Table G.3'!$A11,'Table G.1'!$A$8:$A$17,0),MATCH('Table G.3'!G$8,'Table G.1'!$D$7:$P$7,0))</f>
        <v>11717</v>
      </c>
      <c r="H11" s="76">
        <f>INDEX('Table G.1'!$D$8:$P$17,MATCH('Table G.3'!$A11,'Table G.1'!$A$8:$A$17,0),MATCH('Table G.3'!H$8,'Table G.1'!$D$7:$P$7,0))</f>
        <v>7426.98</v>
      </c>
      <c r="J11" s="76">
        <f t="array" ref="J11">SUM(IF($A11=Summary!$A$3:$A$19,Summary!$K$3:$K$19,0))</f>
        <v>913</v>
      </c>
      <c r="K11" s="89">
        <f t="shared" si="1"/>
        <v>10.573772492567674</v>
      </c>
    </row>
    <row r="12" spans="1:11" x14ac:dyDescent="0.35">
      <c r="A12" s="75" t="s">
        <v>24</v>
      </c>
      <c r="B12" s="76">
        <v>19047</v>
      </c>
      <c r="C12" s="76">
        <v>20067</v>
      </c>
      <c r="D12" s="76">
        <v>19893</v>
      </c>
      <c r="E12" s="76">
        <f>INDEX('Table G.1'!$D$8:$P$17,MATCH('Table G.3'!$A12,'Table G.1'!$A$8:$A$17,0),MATCH('Table G.3'!E$8,'Table G.1'!$D$7:$P$7,0))</f>
        <v>18184</v>
      </c>
      <c r="F12" s="76">
        <f>INDEX('Table G.1'!$D$8:$P$17,MATCH('Table G.3'!$A12,'Table G.1'!$A$8:$A$17,0),MATCH('Table G.3'!F$8,'Table G.1'!$D$7:$P$7,0))</f>
        <v>19103</v>
      </c>
      <c r="G12" s="76">
        <f>INDEX('Table G.1'!$D$8:$P$17,MATCH('Table G.3'!$A12,'Table G.1'!$A$8:$A$17,0),MATCH('Table G.3'!G$8,'Table G.1'!$D$7:$P$7,0))</f>
        <v>19076</v>
      </c>
      <c r="H12" s="76">
        <f>INDEX('Table G.1'!$D$8:$P$17,MATCH('Table G.3'!$A12,'Table G.1'!$A$8:$A$17,0),MATCH('Table G.3'!H$8,'Table G.1'!$D$7:$P$7,0))</f>
        <v>15054.376077465502</v>
      </c>
      <c r="J12" s="76">
        <f t="array" ref="J12">SUM(IF($A12=Summary!$A$3:$A$19,Summary!$K$3:$K$19,0))</f>
        <v>2123</v>
      </c>
      <c r="K12" s="89">
        <f t="shared" si="1"/>
        <v>8.7762853157570504</v>
      </c>
    </row>
    <row r="13" spans="1:11" x14ac:dyDescent="0.35">
      <c r="A13" s="75" t="s">
        <v>25</v>
      </c>
      <c r="B13" s="76">
        <v>6927</v>
      </c>
      <c r="C13" s="76">
        <v>9916</v>
      </c>
      <c r="D13" s="76">
        <v>10195</v>
      </c>
      <c r="E13" s="76">
        <f>INDEX('Table G.1'!$D$8:$P$17,MATCH('Table G.3'!$A13,'Table G.1'!$A$8:$A$17,0),MATCH('Table G.3'!E$8,'Table G.1'!$D$7:$P$7,0))</f>
        <v>7622</v>
      </c>
      <c r="F13" s="76">
        <f>INDEX('Table G.1'!$D$8:$P$17,MATCH('Table G.3'!$A13,'Table G.1'!$A$8:$A$17,0),MATCH('Table G.3'!F$8,'Table G.1'!$D$7:$P$7,0))</f>
        <v>7236</v>
      </c>
      <c r="G13" s="76">
        <f>INDEX('Table G.1'!$D$8:$P$17,MATCH('Table G.3'!$A13,'Table G.1'!$A$8:$A$17,0),MATCH('Table G.3'!G$8,'Table G.1'!$D$7:$P$7,0))</f>
        <v>6929</v>
      </c>
      <c r="H13" s="76">
        <f>INDEX('Table G.1'!$D$8:$P$17,MATCH('Table G.3'!$A13,'Table G.1'!$A$8:$A$17,0),MATCH('Table G.3'!H$8,'Table G.1'!$D$7:$P$7,0))</f>
        <v>7570</v>
      </c>
      <c r="J13" s="76">
        <f t="array" ref="J13">SUM(IF($A13=Summary!$A$3:$A$19,Summary!$K$3:$K$19,0))</f>
        <v>687</v>
      </c>
      <c r="K13" s="89">
        <f t="shared" si="1"/>
        <v>11.726970264088168</v>
      </c>
    </row>
    <row r="14" spans="1:11" x14ac:dyDescent="0.35">
      <c r="A14" s="75" t="s">
        <v>26</v>
      </c>
      <c r="B14" s="76">
        <v>332</v>
      </c>
      <c r="C14" s="76">
        <v>319</v>
      </c>
      <c r="D14" s="76">
        <v>292</v>
      </c>
      <c r="E14" s="76">
        <f>INDEX('Table G.1'!$D$8:$P$17,MATCH('Table G.3'!$A14,'Table G.1'!$A$8:$A$17,0),MATCH('Table G.3'!E$8,'Table G.1'!$D$7:$P$7,0))</f>
        <v>336</v>
      </c>
      <c r="F14" s="76">
        <f>INDEX('Table G.1'!$D$8:$P$17,MATCH('Table G.3'!$A14,'Table G.1'!$A$8:$A$17,0),MATCH('Table G.3'!F$8,'Table G.1'!$D$7:$P$7,0))</f>
        <v>333</v>
      </c>
      <c r="G14" s="76">
        <f>INDEX('Table G.1'!$D$8:$P$17,MATCH('Table G.3'!$A14,'Table G.1'!$A$8:$A$17,0),MATCH('Table G.3'!G$8,'Table G.1'!$D$7:$P$7,0))</f>
        <v>324</v>
      </c>
      <c r="H14" s="76">
        <f>INDEX('Table G.1'!$D$8:$P$17,MATCH('Table G.3'!$A14,'Table G.1'!$A$8:$A$17,0),MATCH('Table G.3'!H$8,'Table G.1'!$D$7:$P$7,0))</f>
        <v>283.25592955062285</v>
      </c>
      <c r="J14" s="76">
        <f t="array" ref="J14">SUM(IF($A14=Summary!$A$3:$A$19,Summary!$K$3:$K$19,0))</f>
        <v>335</v>
      </c>
      <c r="K14" s="89">
        <f t="shared" si="1"/>
        <v>0.9463777951175365</v>
      </c>
    </row>
    <row r="15" spans="1:11" x14ac:dyDescent="0.35">
      <c r="A15" s="78" t="s">
        <v>53</v>
      </c>
      <c r="B15" s="79">
        <f t="shared" ref="B15:H15" si="2">SUBTOTAL(109,B9:B14)</f>
        <v>59573</v>
      </c>
      <c r="C15" s="79">
        <f t="shared" si="2"/>
        <v>63182</v>
      </c>
      <c r="D15" s="79">
        <f t="shared" si="2"/>
        <v>63701</v>
      </c>
      <c r="E15" s="90">
        <f t="shared" si="2"/>
        <v>57030</v>
      </c>
      <c r="F15" s="90">
        <f t="shared" si="2"/>
        <v>61588</v>
      </c>
      <c r="G15" s="90">
        <f t="shared" si="2"/>
        <v>57373</v>
      </c>
      <c r="H15" s="90">
        <f t="shared" si="2"/>
        <v>51892.686457484728</v>
      </c>
      <c r="J15" s="74" t="s">
        <v>59</v>
      </c>
      <c r="K15" s="91">
        <f>AVERAGE(K9:K14)</f>
        <v>8.8858265964846535</v>
      </c>
    </row>
    <row r="16" spans="1:11" x14ac:dyDescent="0.35">
      <c r="A16" s="72"/>
      <c r="C16" s="82" t="s">
        <v>72</v>
      </c>
      <c r="D16" s="83" cm="1">
        <f t="array" ref="D16">SUM(B15:H15/SUM(B15:H15,B23:H23))</f>
        <v>0.93067296379656372</v>
      </c>
    </row>
    <row r="17" spans="1:11" x14ac:dyDescent="0.35">
      <c r="A17" s="99" t="s">
        <v>78</v>
      </c>
      <c r="B17" s="100"/>
      <c r="C17" s="100"/>
      <c r="D17" s="100"/>
      <c r="E17" s="100"/>
      <c r="F17" s="100"/>
      <c r="G17" s="100"/>
      <c r="H17" s="100"/>
    </row>
    <row r="18" spans="1:11" x14ac:dyDescent="0.35">
      <c r="A18" s="87" t="s">
        <v>28</v>
      </c>
      <c r="B18" s="87">
        <v>2017</v>
      </c>
      <c r="C18" s="87">
        <v>2018</v>
      </c>
      <c r="D18" s="87">
        <v>2019</v>
      </c>
      <c r="E18" s="74">
        <f t="shared" ref="E18:F18" si="3">F18-1</f>
        <v>2020</v>
      </c>
      <c r="F18" s="74">
        <f t="shared" si="3"/>
        <v>2021</v>
      </c>
      <c r="G18" s="74">
        <f>H18-1</f>
        <v>2022</v>
      </c>
      <c r="H18" s="74">
        <f>'Table G.1'!$B$5</f>
        <v>2023</v>
      </c>
      <c r="J18" s="88" t="s">
        <v>60</v>
      </c>
      <c r="K18" s="88" t="s">
        <v>61</v>
      </c>
    </row>
    <row r="19" spans="1:11" x14ac:dyDescent="0.35">
      <c r="A19" s="75" t="s">
        <v>20</v>
      </c>
      <c r="B19" s="76">
        <v>116</v>
      </c>
      <c r="C19" s="76">
        <v>110</v>
      </c>
      <c r="D19" s="76">
        <v>101</v>
      </c>
      <c r="E19" s="76">
        <f>INDEX('Table G.1'!$D$8:$P$17,MATCH('Table G.3'!$A19,'Table G.1'!$A$8:$A$17,0),MATCH('Table G.3'!E$8,'Table G.1'!$D$7:$P$7,0))</f>
        <v>95</v>
      </c>
      <c r="F19" s="76">
        <f>INDEX('Table G.1'!$D$8:$P$17,MATCH('Table G.3'!$A19,'Table G.1'!$A$8:$A$17,0),MATCH('Table G.3'!F$8,'Table G.1'!$D$7:$P$7,0))</f>
        <v>113</v>
      </c>
      <c r="G19" s="76">
        <f>INDEX('Table G.1'!$D$8:$P$17,MATCH('Table G.3'!$A19,'Table G.1'!$A$8:$A$17,0),MATCH('Table G.3'!G$8,'Table G.1'!$D$7:$P$7,0))</f>
        <v>85</v>
      </c>
      <c r="H19" s="76">
        <f>INDEX('Table G.1'!$D$8:$P$17,MATCH('Table G.3'!$A19,'Table G.1'!$A$8:$A$17,0),MATCH('Table G.3'!H$8,'Table G.1'!$D$7:$P$7,0))</f>
        <v>132.60037511009634</v>
      </c>
      <c r="J19" s="76">
        <f t="array" ref="J19">SUM(IF($A19=Summary!$A$3:$A$19,Summary!$K$3:$K$19,0))</f>
        <v>445</v>
      </c>
      <c r="K19" s="89">
        <f>AVERAGE(B19:H19)/J19</f>
        <v>0.24160525685717379</v>
      </c>
    </row>
    <row r="20" spans="1:11" x14ac:dyDescent="0.35">
      <c r="A20" s="75" t="s">
        <v>19</v>
      </c>
      <c r="B20" s="76">
        <v>54</v>
      </c>
      <c r="C20" s="76">
        <v>33</v>
      </c>
      <c r="D20" s="76">
        <v>63</v>
      </c>
      <c r="E20" s="76">
        <f>INDEX('Table G.1'!$D$8:$P$17,MATCH('Table G.3'!$A20,'Table G.1'!$A$8:$A$17,0),MATCH('Table G.3'!E$8,'Table G.1'!$D$7:$P$7,0))</f>
        <v>66</v>
      </c>
      <c r="F20" s="76">
        <f>INDEX('Table G.1'!$D$8:$P$17,MATCH('Table G.3'!$A20,'Table G.1'!$A$8:$A$17,0),MATCH('Table G.3'!F$8,'Table G.1'!$D$7:$P$7,0))</f>
        <v>71</v>
      </c>
      <c r="G20" s="76">
        <f>INDEX('Table G.1'!$D$8:$P$17,MATCH('Table G.3'!$A20,'Table G.1'!$A$8:$A$17,0),MATCH('Table G.3'!G$8,'Table G.1'!$D$7:$P$7,0))</f>
        <v>47</v>
      </c>
      <c r="H20" s="76">
        <f>INDEX('Table G.1'!$D$8:$P$17,MATCH('Table G.3'!$A20,'Table G.1'!$A$8:$A$17,0),MATCH('Table G.3'!H$8,'Table G.1'!$D$7:$P$7,0))</f>
        <v>44.669629063590413</v>
      </c>
      <c r="J20" s="76">
        <f t="array" ref="J20">SUM(IF($A20=Summary!$A$3:$A$19,Summary!$K$3:$K$19,0))</f>
        <v>518</v>
      </c>
      <c r="K20" s="89">
        <f t="shared" ref="K20:K21" si="4">AVERAGE(B20:H20)/J20</f>
        <v>0.10443177856138731</v>
      </c>
    </row>
    <row r="21" spans="1:11" x14ac:dyDescent="0.35">
      <c r="A21" s="75" t="s">
        <v>21</v>
      </c>
      <c r="B21" s="76">
        <v>100</v>
      </c>
      <c r="C21" s="76">
        <v>205</v>
      </c>
      <c r="D21" s="76">
        <v>281</v>
      </c>
      <c r="E21" s="76">
        <f>INDEX('Table G.1'!$D$8:$P$17,MATCH('Table G.3'!$A21,'Table G.1'!$A$8:$A$17,0),MATCH('Table G.3'!E$8,'Table G.1'!$D$7:$P$7,0))</f>
        <v>409</v>
      </c>
      <c r="F21" s="76">
        <f>INDEX('Table G.1'!$D$8:$P$17,MATCH('Table G.3'!$A21,'Table G.1'!$A$8:$A$17,0),MATCH('Table G.3'!F$8,'Table G.1'!$D$7:$P$7,0))</f>
        <v>339</v>
      </c>
      <c r="G21" s="76">
        <f>INDEX('Table G.1'!$D$8:$P$17,MATCH('Table G.3'!$A21,'Table G.1'!$A$8:$A$17,0),MATCH('Table G.3'!G$8,'Table G.1'!$D$7:$P$7,0))</f>
        <v>454</v>
      </c>
      <c r="H21" s="76">
        <f>INDEX('Table G.1'!$D$8:$P$17,MATCH('Table G.3'!$A21,'Table G.1'!$A$8:$A$17,0),MATCH('Table G.3'!H$8,'Table G.1'!$D$7:$P$7,0))</f>
        <v>183.83065971870582</v>
      </c>
      <c r="J21" s="76">
        <f t="array" ref="J21">SUM(IF($A21=Summary!$A$3:$A$19,Summary!$K$3:$K$19,0))</f>
        <v>230</v>
      </c>
      <c r="K21" s="89">
        <f t="shared" si="4"/>
        <v>1.2247395401979539</v>
      </c>
    </row>
    <row r="22" spans="1:11" x14ac:dyDescent="0.35">
      <c r="A22" s="75" t="s">
        <v>89</v>
      </c>
      <c r="B22" s="76">
        <v>2698</v>
      </c>
      <c r="C22" s="76">
        <v>3648</v>
      </c>
      <c r="D22" s="76">
        <v>3894</v>
      </c>
      <c r="E22" s="76">
        <f>INDEX('Table G.1'!$D$8:$P$17,MATCH('Table G.3'!$A22,'Table G.1'!$A$8:$A$17,0),MATCH('Table G.3'!E$8,'Table G.1'!$D$7:$P$7,0))</f>
        <v>4075</v>
      </c>
      <c r="F22" s="76">
        <f>INDEX('Table G.1'!$D$8:$P$17,MATCH('Table G.3'!$A22,'Table G.1'!$A$8:$A$17,0),MATCH('Table G.3'!F$8,'Table G.1'!$D$7:$P$7,0))</f>
        <v>4421</v>
      </c>
      <c r="G22" s="76">
        <f>INDEX('Table G.1'!$D$8:$P$17,MATCH('Table G.3'!$A22,'Table G.1'!$A$8:$A$17,0),MATCH('Table G.3'!G$8,'Table G.1'!$D$7:$P$7,0))</f>
        <v>4591</v>
      </c>
      <c r="H22" s="76">
        <f>INDEX('Table G.1'!$D$8:$P$17,MATCH('Table G.3'!$A22,'Table G.1'!$A$8:$A$17,0),MATCH('Table G.3'!H$8,'Table G.1'!$D$7:$P$7,0))</f>
        <v>4434.6000000000004</v>
      </c>
      <c r="J22" s="76">
        <f t="array" ref="J22">SUM(IF($A22=Summary!$A$3:$A$19,Summary!$K$3:$K$19,0))</f>
        <v>1060</v>
      </c>
      <c r="K22" s="89">
        <f>AVERAGE(B22:H22)/J22</f>
        <v>3.7414555256064688</v>
      </c>
    </row>
    <row r="23" spans="1:11" x14ac:dyDescent="0.35">
      <c r="A23" s="78" t="s">
        <v>53</v>
      </c>
      <c r="B23" s="79">
        <f t="shared" ref="B23:D23" si="5">SUBTOTAL(109,B19:B22)</f>
        <v>2968</v>
      </c>
      <c r="C23" s="79">
        <f t="shared" si="5"/>
        <v>3996</v>
      </c>
      <c r="D23" s="79">
        <f t="shared" si="5"/>
        <v>4339</v>
      </c>
      <c r="E23" s="92">
        <f t="shared" ref="E23:H23" si="6">SUBTOTAL(109,E19:E22)</f>
        <v>4645</v>
      </c>
      <c r="F23" s="92">
        <f t="shared" si="6"/>
        <v>4944</v>
      </c>
      <c r="G23" s="92">
        <f t="shared" si="6"/>
        <v>5177</v>
      </c>
      <c r="H23" s="92">
        <f t="shared" si="6"/>
        <v>4795.7006638923931</v>
      </c>
      <c r="J23" s="74" t="s">
        <v>59</v>
      </c>
      <c r="K23" s="91">
        <f>AVERAGE(H17:H22)</f>
        <v>1363.7401327784785</v>
      </c>
    </row>
    <row r="24" spans="1:11" x14ac:dyDescent="0.35">
      <c r="C24" s="82" t="s">
        <v>72</v>
      </c>
      <c r="D24" s="83">
        <f>SUM(B23:H23)/SUM(B15:H15,B23:H23)</f>
        <v>6.9327036203436332E-2</v>
      </c>
      <c r="E24" s="85"/>
      <c r="F24" s="85"/>
      <c r="G24" s="85"/>
      <c r="H24" s="85"/>
    </row>
    <row r="25" spans="1:11" x14ac:dyDescent="0.35">
      <c r="D25" s="86"/>
    </row>
    <row r="26" spans="1:11" x14ac:dyDescent="0.35">
      <c r="B26" s="81"/>
      <c r="C26" s="81"/>
      <c r="D26" s="86"/>
      <c r="E26" s="86"/>
      <c r="F26" s="86"/>
      <c r="G26" s="86"/>
      <c r="H26" s="86"/>
    </row>
  </sheetData>
  <sortState xmlns:xlrd2="http://schemas.microsoft.com/office/spreadsheetml/2017/richdata2" ref="A19:H21">
    <sortCondition ref="A19"/>
  </sortState>
  <mergeCells count="2">
    <mergeCell ref="A7:H7"/>
    <mergeCell ref="A17:H17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2:H14"/>
  <sheetViews>
    <sheetView zoomScaleNormal="100" workbookViewId="0">
      <selection activeCell="B19" sqref="B19"/>
    </sheetView>
  </sheetViews>
  <sheetFormatPr defaultColWidth="9.1796875" defaultRowHeight="15.5" x14ac:dyDescent="0.35"/>
  <cols>
    <col min="1" max="1" width="18.7265625" style="73" customWidth="1"/>
    <col min="2" max="5" width="10.7265625" style="73" customWidth="1"/>
    <col min="6" max="16384" width="9.1796875" style="73"/>
  </cols>
  <sheetData>
    <row r="2" spans="1:8" x14ac:dyDescent="0.35">
      <c r="A2" s="72" t="s">
        <v>55</v>
      </c>
    </row>
    <row r="3" spans="1:8" x14ac:dyDescent="0.35">
      <c r="A3" s="72" t="s">
        <v>68</v>
      </c>
    </row>
    <row r="4" spans="1:8" x14ac:dyDescent="0.35">
      <c r="A4" s="72" t="s">
        <v>77</v>
      </c>
    </row>
    <row r="5" spans="1:8" x14ac:dyDescent="0.35">
      <c r="A5" s="72"/>
    </row>
    <row r="7" spans="1:8" x14ac:dyDescent="0.35">
      <c r="A7" s="87" t="s">
        <v>28</v>
      </c>
      <c r="B7" s="87">
        <v>2017</v>
      </c>
      <c r="C7" s="87">
        <v>2018</v>
      </c>
      <c r="D7" s="87">
        <v>2019</v>
      </c>
      <c r="E7" s="74">
        <f t="shared" ref="E7:F7" si="0">F7-1</f>
        <v>2020</v>
      </c>
      <c r="F7" s="74">
        <f t="shared" si="0"/>
        <v>2021</v>
      </c>
      <c r="G7" s="74">
        <f>H7-1</f>
        <v>2022</v>
      </c>
      <c r="H7" s="74">
        <f>'Table G.1'!B5</f>
        <v>2023</v>
      </c>
    </row>
    <row r="8" spans="1:8" x14ac:dyDescent="0.35">
      <c r="A8" s="75" t="s">
        <v>23</v>
      </c>
      <c r="B8" s="76">
        <v>15383</v>
      </c>
      <c r="C8" s="76">
        <v>14751</v>
      </c>
      <c r="D8" s="76">
        <v>15808</v>
      </c>
      <c r="E8" s="76">
        <f>INDEX('Table G.1'!$D$8:$P$17,MATCH('Table G.4'!$A8,'Table G.1'!$A$8:$A$17,0),MATCH('Table G.4'!E$7,'Table G.1'!$D$7:$P$7,0))</f>
        <v>15103</v>
      </c>
      <c r="F8" s="76">
        <f>INDEX('Table G.1'!$D$8:$P$17,MATCH('Table G.4'!$A8,'Table G.1'!$A$8:$A$17,0),MATCH('Table G.4'!F$7,'Table G.1'!$D$7:$P$7,0))</f>
        <v>16326</v>
      </c>
      <c r="G8" s="76">
        <f>INDEX('Table G.1'!$D$8:$P$17,MATCH('Table G.4'!$A8,'Table G.1'!$A$8:$A$17,0),MATCH('Table G.4'!G$7,'Table G.1'!$D$7:$P$7,0))</f>
        <v>13426</v>
      </c>
      <c r="H8" s="76">
        <f>INDEX('Table G.1'!$D$8:$P$17,MATCH('Table G.4'!$A8,'Table G.1'!$A$8:$A$17,0),MATCH('Table G.4'!H$7,'Table G.1'!$D$7:$P$7,0))</f>
        <v>8788</v>
      </c>
    </row>
    <row r="9" spans="1:8" x14ac:dyDescent="0.35">
      <c r="A9" s="75" t="s">
        <v>22</v>
      </c>
      <c r="B9" s="76">
        <v>9653</v>
      </c>
      <c r="C9" s="76">
        <v>9804</v>
      </c>
      <c r="D9" s="76">
        <v>9028</v>
      </c>
      <c r="E9" s="76">
        <f>INDEX('Table G.1'!$D$8:$P$17,MATCH('Table G.4'!$A9,'Table G.1'!$A$8:$A$17,0),MATCH('Table G.4'!E$7,'Table G.1'!$D$7:$P$7,0))</f>
        <v>7929</v>
      </c>
      <c r="F9" s="76">
        <f>INDEX('Table G.1'!$D$8:$P$17,MATCH('Table G.4'!$A9,'Table G.1'!$A$8:$A$17,0),MATCH('Table G.4'!F$7,'Table G.1'!$D$7:$P$7,0))</f>
        <v>12019</v>
      </c>
      <c r="G9" s="76">
        <f>INDEX('Table G.1'!$D$8:$P$17,MATCH('Table G.4'!$A9,'Table G.1'!$A$8:$A$17,0),MATCH('Table G.4'!G$7,'Table G.1'!$D$7:$P$7,0))</f>
        <v>11717</v>
      </c>
      <c r="H9" s="76">
        <f>INDEX('Table G.1'!$D$8:$P$17,MATCH('Table G.4'!$A9,'Table G.1'!$A$8:$A$17,0),MATCH('Table G.4'!H$7,'Table G.1'!$D$7:$P$7,0))</f>
        <v>7426.98</v>
      </c>
    </row>
    <row r="10" spans="1:8" x14ac:dyDescent="0.35">
      <c r="A10" s="75" t="s">
        <v>29</v>
      </c>
      <c r="B10" s="76"/>
      <c r="C10" s="76"/>
      <c r="D10" s="76"/>
      <c r="E10" s="76"/>
      <c r="F10" s="76"/>
      <c r="G10" s="76"/>
      <c r="H10" s="76"/>
    </row>
    <row r="11" spans="1:8" x14ac:dyDescent="0.35">
      <c r="A11" s="75" t="s">
        <v>25</v>
      </c>
      <c r="B11" s="76">
        <v>6927</v>
      </c>
      <c r="C11" s="76">
        <v>9916</v>
      </c>
      <c r="D11" s="76">
        <v>10195</v>
      </c>
      <c r="E11" s="76">
        <f>INDEX('Table G.1'!$D$8:$P$17,MATCH('Table G.4'!$A11,'Table G.1'!$A$8:$A$17,0),MATCH('Table G.4'!E$7,'Table G.1'!$D$7:$P$7,0))</f>
        <v>7622</v>
      </c>
      <c r="F11" s="76">
        <f>INDEX('Table G.1'!$D$8:$P$17,MATCH('Table G.4'!$A11,'Table G.1'!$A$8:$A$17,0),MATCH('Table G.4'!F$7,'Table G.1'!$D$7:$P$7,0))</f>
        <v>7236</v>
      </c>
      <c r="G11" s="76">
        <f>INDEX('Table G.1'!$D$8:$P$17,MATCH('Table G.4'!$A11,'Table G.1'!$A$8:$A$17,0),MATCH('Table G.4'!G$7,'Table G.1'!$D$7:$P$7,0))</f>
        <v>6929</v>
      </c>
      <c r="H11" s="76">
        <f>INDEX('Table G.1'!$D$8:$P$17,MATCH('Table G.4'!$A11,'Table G.1'!$A$8:$A$17,0),MATCH('Table G.4'!H$7,'Table G.1'!$D$7:$P$7,0))</f>
        <v>7570</v>
      </c>
    </row>
    <row r="12" spans="1:8" x14ac:dyDescent="0.35">
      <c r="A12" s="75" t="s">
        <v>24</v>
      </c>
      <c r="B12" s="76">
        <v>19047</v>
      </c>
      <c r="C12" s="76">
        <v>20067</v>
      </c>
      <c r="D12" s="76">
        <v>19893</v>
      </c>
      <c r="E12" s="76">
        <f>INDEX('Table G.1'!$D$8:$P$17,MATCH('Table G.4'!$A12,'Table G.1'!$A$8:$A$17,0),MATCH('Table G.4'!E$7,'Table G.1'!$D$7:$P$7,0))</f>
        <v>18184</v>
      </c>
      <c r="F12" s="76">
        <f>INDEX('Table G.1'!$D$8:$P$17,MATCH('Table G.4'!$A12,'Table G.1'!$A$8:$A$17,0),MATCH('Table G.4'!F$7,'Table G.1'!$D$7:$P$7,0))</f>
        <v>19103</v>
      </c>
      <c r="G12" s="76">
        <f>INDEX('Table G.1'!$D$8:$P$17,MATCH('Table G.4'!$A12,'Table G.1'!$A$8:$A$17,0),MATCH('Table G.4'!G$7,'Table G.1'!$D$7:$P$7,0))</f>
        <v>19076</v>
      </c>
      <c r="H12" s="76">
        <f>INDEX('Table G.1'!$D$8:$P$17,MATCH('Table G.4'!$A12,'Table G.1'!$A$8:$A$17,0),MATCH('Table G.4'!H$7,'Table G.1'!$D$7:$P$7,0))</f>
        <v>15054.376077465502</v>
      </c>
    </row>
    <row r="13" spans="1:8" x14ac:dyDescent="0.35">
      <c r="A13" s="78" t="s">
        <v>53</v>
      </c>
      <c r="B13" s="79">
        <f t="shared" ref="B13:D13" si="1">SUBTOTAL(109,B8:B12)</f>
        <v>51010</v>
      </c>
      <c r="C13" s="79">
        <f t="shared" si="1"/>
        <v>54538</v>
      </c>
      <c r="D13" s="79">
        <f t="shared" si="1"/>
        <v>54924</v>
      </c>
      <c r="E13" s="92">
        <f t="shared" ref="E13:H13" si="2">SUBTOTAL(109,E8:E12)</f>
        <v>48838</v>
      </c>
      <c r="F13" s="92">
        <f t="shared" si="2"/>
        <v>54684</v>
      </c>
      <c r="G13" s="92">
        <f t="shared" si="2"/>
        <v>51148</v>
      </c>
      <c r="H13" s="92">
        <f t="shared" si="2"/>
        <v>38839.356077465505</v>
      </c>
    </row>
    <row r="14" spans="1:8" x14ac:dyDescent="0.35">
      <c r="C14" s="82" t="s">
        <v>72</v>
      </c>
      <c r="D14" s="83">
        <f>SUM(B13:H13)/SUM('Table G.2'!B13:H13,'Table G.2'!B21:H21)</f>
        <v>0.79577538383576529</v>
      </c>
    </row>
  </sheetData>
  <printOptions horizontalCentered="1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1F08DB4955B0D342BFDD40F8F1264977" ma:contentTypeVersion="24" ma:contentTypeDescription="" ma:contentTypeScope="" ma:versionID="2d0cde048cbbdfd54a20e0eb72fbbfe2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43d1e58e9723df997e85f06fba2dda68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Workpapers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Plan</CaseType>
    <IndustryCode xmlns="dc463f71-b30c-4ab2-9473-d307f9d35888">140</IndustryCode>
    <CaseStatus xmlns="dc463f71-b30c-4ab2-9473-d307f9d35888">Pending</CaseStatus>
    <OpenedDate xmlns="dc463f71-b30c-4ab2-9473-d307f9d35888">2023-10-03T07:00:00+00:00</OpenedDate>
    <SignificantOrder xmlns="dc463f71-b30c-4ab2-9473-d307f9d35888">false</SignificantOrder>
    <Date1 xmlns="dc463f71-b30c-4ab2-9473-d307f9d35888">2025-01-17T08:00:00+00:00</Date1>
    <IsDocumentOrder xmlns="dc463f71-b30c-4ab2-9473-d307f9d35888">false</IsDocumentOrder>
    <IsHighlyConfidential xmlns="dc463f71-b30c-4ab2-9473-d307f9d35888">false</IsHighlyConfidential>
    <CaseCompanyNames xmlns="dc463f71-b30c-4ab2-9473-d307f9d35888">PacifiCorp</CaseCompanyNames>
    <Nickname xmlns="http://schemas.microsoft.com/sharepoint/v3" xsi:nil="true"/>
    <DocketNumber xmlns="dc463f71-b30c-4ab2-9473-d307f9d35888">230812</DocketNumber>
    <DelegatedOrder xmlns="dc463f71-b30c-4ab2-9473-d307f9d35888">false</DelegatedOrder>
  </documentManagement>
</p:properties>
</file>

<file path=customXml/item4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Props1.xml><?xml version="1.0" encoding="utf-8"?>
<ds:datastoreItem xmlns:ds="http://schemas.openxmlformats.org/officeDocument/2006/customXml" ds:itemID="{744D932F-7FA8-4C58-8BA8-BFD87B2D1F9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44AC34E-C257-4CC6-8722-469861B88C60}"/>
</file>

<file path=customXml/itemProps3.xml><?xml version="1.0" encoding="utf-8"?>
<ds:datastoreItem xmlns:ds="http://schemas.openxmlformats.org/officeDocument/2006/customXml" ds:itemID="{241A66F0-DFF6-462F-9EE2-05CFACD3BD0E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4.xml><?xml version="1.0" encoding="utf-8"?>
<ds:datastoreItem xmlns:ds="http://schemas.openxmlformats.org/officeDocument/2006/customXml" ds:itemID="{67E9E9CF-8BE9-4948-9840-108350552D7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of Contents</vt:lpstr>
      <vt:lpstr>Summary</vt:lpstr>
      <vt:lpstr>Table G.1</vt:lpstr>
      <vt:lpstr>Table G.2</vt:lpstr>
      <vt:lpstr>Table G.3</vt:lpstr>
      <vt:lpstr>Table G.4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cp:lastPrinted>2015-02-09T23:17:17Z</cp:lastPrinted>
  <dcterms:created xsi:type="dcterms:W3CDTF">2004-04-28T21:57:38Z</dcterms:created>
  <dcterms:modified xsi:type="dcterms:W3CDTF">2025-01-08T23:50:54Z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0x0101006E56B4D1795A2E4DB2F0B01679ED314A001F08DB4955B0D342BFDD40F8F1264977</vt:lpwstr>
  </property>
  <property fmtid="{D5CDD505-2E9C-101B-9397-08002B2CF9AE}" pid="3" name="Order">
    <vt:r8>67500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  <property fmtid="{D5CDD505-2E9C-101B-9397-08002B2CF9AE}" pid="8" name="_SourceUrl">
    <vt:lpwstr/>
  </property>
  <property fmtid="{D5CDD505-2E9C-101B-9397-08002B2CF9AE}" pid="9" name="_SharedFileIndex">
    <vt:lpwstr/>
  </property>
  <property fmtid="{D5CDD505-2E9C-101B-9397-08002B2CF9AE}" pid="10" name="ComplianceAssetId">
    <vt:lpwstr/>
  </property>
  <property fmtid="{D5CDD505-2E9C-101B-9397-08002B2CF9AE}" pid="11" name="TemplateUrl">
    <vt:lpwstr/>
  </property>
  <property fmtid="{D5CDD505-2E9C-101B-9397-08002B2CF9AE}" pid="12" name="_docset_NoMedatataSyncRequired">
    <vt:lpwstr>False</vt:lpwstr>
  </property>
</Properties>
</file>