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-12" yWindow="108" windowWidth="14520" windowHeight="12180" tabRatio="829"/>
  </bookViews>
  <sheets>
    <sheet name="Lead E" sheetId="19" r:id="rId1"/>
    <sheet name="Lead G" sheetId="20" r:id="rId2"/>
    <sheet name="Avg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</definedNames>
  <calcPr calcId="162913" concurrentManualCount="8"/>
</workbook>
</file>

<file path=xl/calcChain.xml><?xml version="1.0" encoding="utf-8"?>
<calcChain xmlns="http://schemas.openxmlformats.org/spreadsheetml/2006/main">
  <c r="A24" i="20" l="1"/>
  <c r="A25" i="20"/>
  <c r="A26" i="20"/>
  <c r="A27" i="20"/>
  <c r="A28" i="20"/>
  <c r="A33" i="19"/>
  <c r="A34" i="19"/>
  <c r="A35" i="19"/>
  <c r="A36" i="19"/>
  <c r="D17" i="20"/>
  <c r="D25" i="19"/>
  <c r="D18" i="19"/>
  <c r="D6" i="44"/>
  <c r="D15" i="44" s="1"/>
  <c r="C6" i="44"/>
  <c r="C9" i="44" s="1"/>
  <c r="B13" i="38"/>
  <c r="B18" i="38"/>
  <c r="B6" i="26"/>
  <c r="B10" i="26"/>
  <c r="B7" i="38"/>
  <c r="B20" i="38"/>
  <c r="B19" i="38"/>
  <c r="B9" i="38"/>
  <c r="B8" i="38"/>
  <c r="B6" i="38"/>
  <c r="B17" i="44"/>
  <c r="B16" i="44"/>
  <c r="C16" i="44"/>
  <c r="B15" i="44"/>
  <c r="B13" i="44"/>
  <c r="B8" i="44"/>
  <c r="B9" i="44"/>
  <c r="J21" i="38"/>
  <c r="J14" i="38"/>
  <c r="J10" i="38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13" i="19"/>
  <c r="A14" i="20"/>
  <c r="A15" i="20"/>
  <c r="A16" i="20"/>
  <c r="A17" i="20"/>
  <c r="A18" i="20"/>
  <c r="A19" i="20"/>
  <c r="A20" i="20"/>
  <c r="A21" i="20"/>
  <c r="A22" i="20"/>
  <c r="A23" i="20"/>
  <c r="A13" i="20"/>
  <c r="D21" i="23"/>
  <c r="D19" i="23"/>
  <c r="D17" i="44"/>
  <c r="I14" i="38"/>
  <c r="D21" i="38"/>
  <c r="E21" i="38"/>
  <c r="F21" i="38"/>
  <c r="G21" i="38"/>
  <c r="H21" i="38"/>
  <c r="I21" i="38"/>
  <c r="C21" i="38"/>
  <c r="D14" i="38"/>
  <c r="E14" i="38"/>
  <c r="F14" i="38"/>
  <c r="G14" i="38"/>
  <c r="H14" i="38"/>
  <c r="C14" i="38"/>
  <c r="I10" i="38"/>
  <c r="B21" i="38"/>
  <c r="B10" i="44"/>
  <c r="B13" i="26"/>
  <c r="B14" i="38"/>
  <c r="H10" i="38"/>
  <c r="B10" i="38"/>
  <c r="D6" i="23"/>
  <c r="B23" i="38"/>
  <c r="D4" i="23"/>
  <c r="D9" i="23"/>
  <c r="D11" i="23"/>
  <c r="D13" i="23"/>
  <c r="G10" i="38"/>
  <c r="B19" i="44"/>
  <c r="D10" i="38"/>
  <c r="C10" i="38"/>
  <c r="E10" i="38"/>
  <c r="F10" i="38"/>
  <c r="D23" i="23"/>
  <c r="D25" i="23"/>
  <c r="D23" i="19"/>
  <c r="A8" i="20"/>
  <c r="A7" i="20"/>
  <c r="D16" i="19"/>
  <c r="D15" i="20"/>
  <c r="C13" i="44" l="1"/>
  <c r="C8" i="44"/>
  <c r="C10" i="44" s="1"/>
  <c r="D26" i="19" s="1"/>
  <c r="D27" i="19" s="1"/>
  <c r="E27" i="19" s="1"/>
  <c r="C15" i="44"/>
  <c r="D8" i="44"/>
  <c r="D13" i="44"/>
  <c r="D19" i="44" s="1"/>
  <c r="D18" i="20" s="1"/>
  <c r="D19" i="20" s="1"/>
  <c r="E19" i="20" s="1"/>
  <c r="E21" i="20" s="1"/>
  <c r="D9" i="44"/>
  <c r="C19" i="44" l="1"/>
  <c r="D19" i="19" s="1"/>
  <c r="D20" i="19" s="1"/>
  <c r="E20" i="19" s="1"/>
  <c r="E29" i="19" s="1"/>
  <c r="E31" i="19" s="1"/>
  <c r="E32" i="19" s="1"/>
  <c r="D10" i="44"/>
  <c r="E23" i="20"/>
  <c r="E24" i="20" s="1"/>
</calcChain>
</file>

<file path=xl/sharedStrings.xml><?xml version="1.0" encoding="utf-8"?>
<sst xmlns="http://schemas.openxmlformats.org/spreadsheetml/2006/main" count="105" uniqueCount="81">
  <si>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</si>
  <si>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</si>
  <si>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</si>
  <si>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</si>
  <si>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</si>
  <si>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</si>
  <si>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</si>
  <si>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</si>
  <si>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</si>
  <si>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</si>
  <si>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</si>
  <si>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</si>
  <si>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</si>
  <si>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</si>
  <si>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</si>
  <si>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</si>
  <si>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</si>
  <si>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</si>
  <si>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</si>
  <si>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PUGET SOUND ENERGY-GAS</t>
  </si>
  <si>
    <t>Act. Costs</t>
  </si>
  <si>
    <t xml:space="preserve">Elec </t>
  </si>
  <si>
    <t>Orders</t>
  </si>
  <si>
    <t>Split between Electric and Gas (50-50 split)</t>
  </si>
  <si>
    <t xml:space="preserve">Average PCORC cost </t>
  </si>
  <si>
    <t>Rate Case Costs</t>
  </si>
  <si>
    <t>2014 PCORC</t>
  </si>
  <si>
    <t>order 92800108 direct charges</t>
  </si>
  <si>
    <t>Total PCORC direct charges</t>
  </si>
  <si>
    <t>Total PCORC for Test Year</t>
  </si>
  <si>
    <t>2014 PCORC cost</t>
  </si>
  <si>
    <t>COMMISSION BASIS REPORT</t>
  </si>
  <si>
    <t>GRC Costs</t>
  </si>
  <si>
    <t>Total 2017 GRC Cost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</si>
  <si>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</si>
  <si>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</si>
  <si>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</si>
  <si>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</si>
  <si>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</si>
  <si>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Total GRC direct charges</t>
  </si>
  <si>
    <t xml:space="preserve">  ZO12                      Orders: Actual 12 Month Ended</t>
  </si>
  <si>
    <t>2019 GRC</t>
  </si>
  <si>
    <t>order 92800613 GRC (Common)</t>
  </si>
  <si>
    <t>2019 GRC cost</t>
  </si>
  <si>
    <t xml:space="preserve">      2017 AND 2019 GRC EXPENSES TO BE NORMALIZED</t>
  </si>
  <si>
    <t xml:space="preserve"> Run Date:                     02/1/2021</t>
  </si>
  <si>
    <t>2020 PCORC</t>
  </si>
  <si>
    <t>order 92800621 direct charges</t>
  </si>
  <si>
    <t>order 92800117  2021 General Rate Case - Common</t>
  </si>
  <si>
    <t>order 92800119  2021 General Rate Case - Gas</t>
  </si>
  <si>
    <t>Total 2021 GRC Cost</t>
  </si>
  <si>
    <t>order 92800118  2021 GRC - Elec</t>
  </si>
  <si>
    <t>order 92800119  2021 GRC - Gas</t>
  </si>
  <si>
    <t>order 92800117  2021 GRC (Common)</t>
  </si>
  <si>
    <t>order  92800118  2021 General Rate Case - Elec</t>
  </si>
  <si>
    <t>2020 PCORC cost</t>
  </si>
  <si>
    <t xml:space="preserve">     2014 AND 2020 PCORC EXPENSES TO BE NORMALIZED</t>
  </si>
  <si>
    <t>92800621 - 2020 PCORC (Common)</t>
  </si>
  <si>
    <t>92800108 - 2014 PCORC (Electric)</t>
  </si>
  <si>
    <t>92800613 GRC (Common)</t>
  </si>
  <si>
    <t>Split between Electric and Gas - Rounded</t>
  </si>
  <si>
    <t>Average PCORC cost - Rounded</t>
  </si>
  <si>
    <t>2022 GRC</t>
  </si>
  <si>
    <t>SUMMARY PCORC:  Cumulative Expenditures through 12/31/2022</t>
  </si>
  <si>
    <t>SUMMARY GRC:  Cumulative Expenditures through 12/31/2022</t>
  </si>
  <si>
    <t>12ME Dec 31, 2022</t>
  </si>
  <si>
    <t>FOR THE TWELVE MONTHS ENDED DECEMBER 31, 2022</t>
  </si>
  <si>
    <t>2017 GRC cost</t>
  </si>
  <si>
    <t>(Last 2 GRCs  approved in the year 2022 period)</t>
  </si>
  <si>
    <t>(Last 2 PCORCs approved in the year 2022 period)</t>
  </si>
  <si>
    <r>
      <t xml:space="preserve">EXPENSES OF LAST 2 COMPLETED GRCS </t>
    </r>
    <r>
      <rPr>
        <u/>
        <vertAlign val="superscript"/>
        <sz val="14"/>
        <rFont val="Times New Roman"/>
        <family val="1"/>
      </rPr>
      <t>1</t>
    </r>
  </si>
  <si>
    <r>
      <t xml:space="preserve">EXPENSES OF LAST 2 COMPLETED PCORCS  </t>
    </r>
    <r>
      <rPr>
        <u/>
        <vertAlign val="superscript"/>
        <sz val="14"/>
        <rFont val="Times New Roman"/>
        <family val="1"/>
      </rPr>
      <t>1</t>
    </r>
  </si>
  <si>
    <t xml:space="preserve">     before authorized rates are in effect should be excluded from the averaging.</t>
  </si>
  <si>
    <t xml:space="preserve">1. "Completed GRCs" are defined as those authorized by the Commission. Any rate case expense incurred </t>
  </si>
  <si>
    <t>2022 GRC rate case expense are reflected in test year costs,  but excluded from rate cast expenese averaging since the 2022 GRC was not approved until Jan 2023</t>
  </si>
  <si>
    <t>ANNUAL NORMALIZATION (LINE 15/Line 16)</t>
  </si>
  <si>
    <t>ANNUAL NORMALIZATION (LINE 16 / Line 17)</t>
  </si>
  <si>
    <t>ANNUAL NORMALIZATION (LINE 23 / Line 24)</t>
  </si>
  <si>
    <t xml:space="preserve">      NORMALIZATION PERIOD IN 19GRC</t>
  </si>
  <si>
    <t xml:space="preserve">1. "Completed GRCs" or "completed PCORCs" are defined as those authorized by the Commission. Any </t>
  </si>
  <si>
    <t xml:space="preserve">     rate case expense incurred  before authorized rates are in effect should be excluded from the averaging.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</si>
</sst>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#,##0_-;#,##0\-;&quot; &quot;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u/>
      <sz val="10"/>
      <name val="Arial"/>
      <family val="2"/>
    </font>
    <font>
      <i/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vertAlign val="superscript"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7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9" fontId="3" fillId="0" borderId="0" xfId="0" applyNumberFormat="1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4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5" xfId="0" applyFill="1" applyBorder="1"/>
    <xf numFmtId="164" fontId="3" fillId="0" borderId="3" xfId="0" applyNumberFormat="1" applyFont="1" applyFill="1" applyBorder="1" applyProtection="1">
      <protection locked="0"/>
    </xf>
    <xf numFmtId="43" fontId="0" fillId="0" borderId="0" xfId="0" applyNumberFormat="1" applyFont="1" applyFill="1"/>
    <xf numFmtId="43" fontId="5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/>
    <xf numFmtId="165" fontId="0" fillId="0" borderId="0" xfId="0" applyNumberFormat="1" applyFont="1" applyFill="1" applyBorder="1"/>
    <xf numFmtId="166" fontId="5" fillId="0" borderId="0" xfId="0" applyNumberFormat="1" applyFont="1" applyFill="1" applyAlignment="1">
      <alignment horizontal="left" indent="2"/>
    </xf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/>
    <xf numFmtId="41" fontId="3" fillId="0" borderId="4" xfId="0" applyNumberFormat="1" applyFont="1" applyFill="1" applyBorder="1" applyProtection="1">
      <protection locked="0"/>
    </xf>
    <xf numFmtId="165" fontId="5" fillId="0" borderId="0" xfId="0" applyNumberFormat="1" applyFont="1" applyFill="1" applyBorder="1"/>
    <xf numFmtId="0" fontId="11" fillId="0" borderId="0" xfId="0" applyNumberFormat="1" applyFont="1" applyFill="1" applyAlignment="1">
      <alignment horizontal="left"/>
    </xf>
    <xf numFmtId="0" fontId="0" fillId="0" borderId="4" xfId="0" applyFill="1" applyBorder="1"/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/>
    <xf numFmtId="43" fontId="1" fillId="0" borderId="0" xfId="0" applyNumberFormat="1" applyFont="1" applyFill="1"/>
    <xf numFmtId="0" fontId="6" fillId="0" borderId="0" xfId="0" applyFont="1" applyFill="1"/>
    <xf numFmtId="10" fontId="10" fillId="0" borderId="1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0" fontId="1" fillId="0" borderId="1" xfId="0" applyFont="1" applyFill="1" applyBorder="1"/>
    <xf numFmtId="43" fontId="1" fillId="0" borderId="0" xfId="0" applyNumberFormat="1" applyFont="1" applyFill="1"/>
    <xf numFmtId="43" fontId="5" fillId="0" borderId="4" xfId="0" applyNumberFormat="1" applyFont="1" applyFill="1" applyBorder="1" applyAlignment="1">
      <alignment horizontal="center"/>
    </xf>
    <xf numFmtId="165" fontId="9" fillId="0" borderId="0" xfId="0" applyNumberFormat="1" applyFont="1" applyFill="1"/>
    <xf numFmtId="165" fontId="9" fillId="0" borderId="4" xfId="0" applyNumberFormat="1" applyFont="1" applyFill="1" applyBorder="1"/>
    <xf numFmtId="166" fontId="1" fillId="0" borderId="0" xfId="0" applyNumberFormat="1" applyFont="1" applyFill="1" applyAlignment="1">
      <alignment horizontal="left" indent="2"/>
    </xf>
    <xf numFmtId="166" fontId="1" fillId="0" borderId="0" xfId="0" applyNumberFormat="1" applyFont="1" applyFill="1"/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165" fontId="5" fillId="0" borderId="5" xfId="0" applyNumberFormat="1" applyFont="1" applyFill="1" applyBorder="1"/>
    <xf numFmtId="165" fontId="1" fillId="0" borderId="5" xfId="0" applyNumberFormat="1" applyFont="1" applyFill="1" applyBorder="1"/>
    <xf numFmtId="165" fontId="5" fillId="0" borderId="0" xfId="0" applyNumberFormat="1" applyFont="1" applyFill="1" applyBorder="1"/>
    <xf numFmtId="165" fontId="1" fillId="0" borderId="0" xfId="0" applyNumberFormat="1" applyFont="1" applyFill="1"/>
    <xf numFmtId="41" fontId="0" fillId="0" borderId="0" xfId="0" applyNumberFormat="1" applyFill="1"/>
    <xf numFmtId="165" fontId="5" fillId="0" borderId="3" xfId="0" applyNumberFormat="1" applyFont="1" applyFill="1" applyBorder="1"/>
    <xf numFmtId="165" fontId="0" fillId="0" borderId="0" xfId="0" applyNumberFormat="1" applyFont="1" applyFill="1"/>
    <xf numFmtId="165" fontId="5" fillId="0" borderId="13" xfId="0" applyNumberFormat="1" applyFont="1" applyFill="1" applyBorder="1"/>
    <xf numFmtId="165" fontId="0" fillId="0" borderId="4" xfId="0" applyNumberFormat="1" applyFont="1" applyFill="1" applyBorder="1"/>
    <xf numFmtId="4" fontId="0" fillId="0" borderId="4" xfId="0" applyNumberFormat="1" applyFill="1" applyBorder="1"/>
    <xf numFmtId="165" fontId="0" fillId="0" borderId="0" xfId="0" applyNumberFormat="1" applyFill="1" applyBorder="1"/>
    <xf numFmtId="166" fontId="13" fillId="0" borderId="0" xfId="0" applyNumberFormat="1" applyFont="1" applyFill="1" applyAlignment="1">
      <alignment horizontal="right" indent="2"/>
    </xf>
    <xf numFmtId="43" fontId="13" fillId="0" borderId="0" xfId="0" applyNumberFormat="1" applyFont="1" applyFill="1"/>
    <xf numFmtId="43" fontId="12" fillId="0" borderId="0" xfId="0" applyNumberFormat="1" applyFont="1" applyFill="1"/>
    <xf numFmtId="165" fontId="5" fillId="0" borderId="3" xfId="0" applyNumberFormat="1" applyFont="1" applyFill="1" applyBorder="1"/>
    <xf numFmtId="165" fontId="1" fillId="0" borderId="0" xfId="0" applyNumberFormat="1" applyFont="1" applyFill="1"/>
    <xf numFmtId="165" fontId="1" fillId="0" borderId="4" xfId="0" applyNumberFormat="1" applyFont="1" applyFill="1" applyBorder="1"/>
    <xf numFmtId="0" fontId="14" fillId="0" borderId="0" xfId="0" applyFont="1" applyFill="1"/>
    <xf numFmtId="43" fontId="15" fillId="0" borderId="0" xfId="0" applyNumberFormat="1" applyFont="1" applyFill="1"/>
    <xf numFmtId="0" fontId="15" fillId="0" borderId="0" xfId="0" applyFont="1" applyFill="1"/>
    <xf numFmtId="0" fontId="15" fillId="0" borderId="0" xfId="0" applyFont="1"/>
    <xf numFmtId="168" fontId="1" fillId="0" borderId="0" xfId="0" applyNumberFormat="1" applyFont="1" applyFill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/>
    <xf numFmtId="0" fontId="16" fillId="0" borderId="0" xfId="0" applyFont="1" applyFill="1" applyAlignment="1">
      <alignment vertical="top"/>
    </xf>
    <xf numFmtId="9" fontId="16" fillId="0" borderId="0" xfId="0" applyNumberFormat="1" applyFont="1" applyFill="1" applyBorder="1"/>
    <xf numFmtId="0" fontId="5" fillId="0" borderId="2" xfId="0" applyFont="1" applyFill="1" applyBorder="1"/>
    <xf numFmtId="165" fontId="1" fillId="0" borderId="2" xfId="0" applyNumberFormat="1" applyFont="1" applyFill="1" applyBorder="1"/>
    <xf numFmtId="165" fontId="1" fillId="0" borderId="2" xfId="0" quotePrefix="1" applyNumberFormat="1" applyFont="1" applyFill="1" applyBorder="1" applyAlignment="1">
      <alignment horizontal="right"/>
    </xf>
    <xf numFmtId="165" fontId="1" fillId="0" borderId="2" xfId="0" applyNumberFormat="1" applyFont="1" applyFill="1" applyBorder="1"/>
    <xf numFmtId="165" fontId="1" fillId="0" borderId="2" xfId="0" quotePrefix="1" applyNumberFormat="1" applyFont="1" applyFill="1" applyBorder="1" applyAlignment="1">
      <alignment horizontal="right"/>
    </xf>
    <xf numFmtId="0" fontId="5" fillId="0" borderId="12" xfId="0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66" fontId="17" fillId="0" borderId="0" xfId="0" applyNumberFormat="1" applyFont="1" applyFill="1"/>
    <xf numFmtId="165" fontId="9" fillId="0" borderId="1" xfId="0" applyNumberFormat="1" applyFont="1" applyFill="1" applyBorder="1"/>
    <xf numFmtId="165" fontId="0" fillId="0" borderId="1" xfId="0" applyNumberFormat="1" applyFont="1" applyFill="1" applyBorder="1"/>
    <xf numFmtId="165" fontId="0" fillId="0" borderId="1" xfId="0" applyNumberFormat="1" applyFill="1" applyBorder="1"/>
    <xf numFmtId="165" fontId="5" fillId="0" borderId="2" xfId="0" applyNumberFormat="1" applyFont="1" applyFill="1" applyBorder="1"/>
    <xf numFmtId="0" fontId="18" fillId="0" borderId="0" xfId="0" applyFont="1" applyFill="1"/>
    <xf numFmtId="167" fontId="19" fillId="0" borderId="12" xfId="0" applyNumberFormat="1" applyFont="1" applyFill="1" applyBorder="1" applyAlignment="1">
      <alignment horizontal="center"/>
    </xf>
    <xf numFmtId="167" fontId="19" fillId="0" borderId="2" xfId="0" applyNumberFormat="1" applyFont="1" applyFill="1" applyBorder="1" applyAlignment="1">
      <alignment horizontal="center"/>
    </xf>
    <xf numFmtId="166" fontId="21" fillId="0" borderId="0" xfId="0" applyNumberFormat="1" applyFont="1" applyFill="1" applyAlignment="1">
      <alignment horizontal="left"/>
    </xf>
    <xf numFmtId="166" fontId="20" fillId="0" borderId="0" xfId="0" applyNumberFormat="1" applyFont="1" applyFill="1" applyAlignment="1">
      <alignment horizontal="left" indent="2"/>
    </xf>
    <xf numFmtId="165" fontId="1" fillId="0" borderId="0" xfId="0" applyNumberFormat="1" applyFont="1"/>
    <xf numFmtId="165" fontId="20" fillId="0" borderId="0" xfId="0" applyNumberFormat="1" applyFont="1" applyFill="1" applyBorder="1"/>
    <xf numFmtId="165" fontId="0" fillId="0" borderId="0" xfId="0" applyNumberFormat="1" applyFont="1" applyFill="1"/>
    <xf numFmtId="165" fontId="20" fillId="0" borderId="4" xfId="0" applyNumberFormat="1" applyFont="1" applyFill="1" applyBorder="1"/>
    <xf numFmtId="165" fontId="0" fillId="0" borderId="4" xfId="0" applyNumberFormat="1" applyFont="1" applyFill="1" applyBorder="1"/>
    <xf numFmtId="0" fontId="20" fillId="0" borderId="0" xfId="0" applyFont="1" applyFill="1" applyBorder="1"/>
    <xf numFmtId="165" fontId="1" fillId="0" borderId="0" xfId="1" applyNumberFormat="1" applyFont="1" applyFill="1" applyBorder="1"/>
    <xf numFmtId="165" fontId="1" fillId="2" borderId="2" xfId="0" applyNumberFormat="1" applyFont="1" applyFill="1" applyBorder="1"/>
    <xf numFmtId="166" fontId="24" fillId="0" borderId="0" xfId="0" applyNumberFormat="1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10" fontId="10" fillId="0" borderId="2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165" fontId="0" fillId="0" borderId="5" xfId="0" applyNumberFormat="1" applyFill="1" applyBorder="1"/>
    <xf numFmtId="0" fontId="0" fillId="0" borderId="6" xfId="0" applyFill="1" applyBorder="1"/>
    <xf numFmtId="166" fontId="23" fillId="0" borderId="8" xfId="0" applyNumberFormat="1" applyFont="1" applyFill="1" applyBorder="1"/>
    <xf numFmtId="0" fontId="0" fillId="0" borderId="11" xfId="0" applyFill="1" applyBorder="1"/>
    <xf numFmtId="166" fontId="20" fillId="0" borderId="8" xfId="0" applyNumberFormat="1" applyFont="1" applyFill="1" applyBorder="1" applyAlignment="1">
      <alignment horizontal="left" indent="2"/>
    </xf>
    <xf numFmtId="165" fontId="0" fillId="0" borderId="7" xfId="0" applyNumberFormat="1" applyFont="1" applyFill="1" applyBorder="1"/>
    <xf numFmtId="165" fontId="0" fillId="0" borderId="11" xfId="0" applyNumberFormat="1" applyFont="1" applyFill="1" applyBorder="1"/>
    <xf numFmtId="166" fontId="21" fillId="0" borderId="9" xfId="0" applyNumberFormat="1" applyFont="1" applyFill="1" applyBorder="1" applyAlignment="1">
      <alignment horizontal="left" indent="2"/>
    </xf>
    <xf numFmtId="165" fontId="21" fillId="0" borderId="4" xfId="0" applyNumberFormat="1" applyFont="1" applyFill="1" applyBorder="1"/>
    <xf numFmtId="165" fontId="9" fillId="0" borderId="14" xfId="0" applyNumberFormat="1" applyFont="1" applyFill="1" applyBorder="1"/>
    <xf numFmtId="166" fontId="18" fillId="0" borderId="10" xfId="0" applyNumberFormat="1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97FFFF"/>
      <color rgb="FFFFC5B3"/>
      <color rgb="FFFFCCFF"/>
      <color rgb="FFCCB3FF"/>
      <color rgb="FFB4CDE6"/>
      <color rgb="FFCCFF33"/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335541</xdr:colOff>
      <xdr:row>15</xdr:row>
      <xdr:rowOff>162357</xdr:rowOff>
    </xdr:from>
    <xdr:to>
      <xdr:col>17</xdr:col>
      <xdr:colOff>108421</xdr:colOff>
      <xdr:row>29</xdr:row>
      <xdr:rowOff>44268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7359" y="2467840"/>
          <a:ext cx="3940068" cy="21765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</row>
        <row r="35">
          <cell r="E35">
            <v>0.65659999999999996</v>
          </cell>
          <cell r="F35">
            <v>0.34339999999999998</v>
          </cell>
        </row>
      </sheetData>
      <sheetData sheetId="1">
        <row r="41">
          <cell r="D41">
            <v>5699624441.3454142</v>
          </cell>
        </row>
      </sheetData>
      <sheetData sheetId="2"/>
      <sheetData sheetId="3"/>
      <sheetData sheetId="4"/>
      <sheetData sheetId="5">
        <row r="9">
          <cell r="G9">
            <v>65034940.059999995</v>
          </cell>
        </row>
      </sheetData>
      <sheetData sheetId="6">
        <row r="1799">
          <cell r="D1799">
            <v>826158</v>
          </cell>
        </row>
      </sheetData>
      <sheetData sheetId="7">
        <row r="491">
          <cell r="S491">
            <v>1665560972</v>
          </cell>
        </row>
      </sheetData>
      <sheetData sheetId="8">
        <row r="10">
          <cell r="S10">
            <v>0</v>
          </cell>
        </row>
      </sheetData>
      <sheetData sheetId="9"/>
      <sheetData sheetId="10"/>
      <sheetData sheetId="11">
        <row r="53">
          <cell r="D53">
            <v>1196859</v>
          </cell>
        </row>
      </sheetData>
      <sheetData sheetId="12">
        <row r="53">
          <cell r="D53">
            <v>860438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40"/>
  <sheetViews>
    <sheetView tabSelected="1" zoomScale="85" zoomScaleNormal="85" workbookViewId="0">
      <selection activeCell="B48" sqref="B48"/>
    </sheetView>
  </sheetViews>
  <sheetFormatPr defaultRowHeight="13.2" x14ac:dyDescent="0.25"/>
  <cols>
    <col min="1" max="1" width="5.6640625" style="33" customWidth="1"/>
    <col min="2" max="2" width="80.5546875" style="33" customWidth="1"/>
    <col min="3" max="3" width="4.5546875" style="33" customWidth="1"/>
    <col min="4" max="4" width="13.109375" style="33" customWidth="1"/>
    <col min="5" max="5" width="13.33203125" style="33" customWidth="1"/>
    <col min="6" max="6" width="1.6640625" customWidth="1"/>
    <col min="7" max="7" width="10.44140625" customWidth="1"/>
    <col min="8" max="8" width="16.6640625" customWidth="1"/>
    <col min="9" max="9" width="4.33203125" customWidth="1"/>
    <col min="10" max="10" width="12.33203125" customWidth="1"/>
    <col min="11" max="11" width="11.33203125" customWidth="1"/>
    <col min="12" max="12" width="2.33203125" customWidth="1"/>
    <col min="13" max="13" width="12" customWidth="1"/>
    <col min="14" max="14" width="11.44140625" customWidth="1"/>
    <col min="15" max="15" width="1.6640625" customWidth="1"/>
    <col min="16" max="16" width="11.33203125" bestFit="1" customWidth="1"/>
    <col min="17" max="17" width="10.44140625" bestFit="1" customWidth="1"/>
  </cols>
  <sheetData>
    <row r="1" spans="1:7" x14ac:dyDescent="0.25">
      <c r="A1" s="42"/>
      <c r="E1" s="9"/>
    </row>
    <row r="2" spans="1:7" x14ac:dyDescent="0.25">
      <c r="E2" s="9"/>
    </row>
    <row r="3" spans="1:7" x14ac:dyDescent="0.25">
      <c r="A3" s="5"/>
      <c r="B3" s="11"/>
      <c r="E3"/>
    </row>
    <row r="4" spans="1:7" x14ac:dyDescent="0.25">
      <c r="A4" s="12"/>
      <c r="B4" s="1"/>
      <c r="C4" s="1"/>
      <c r="D4" s="1"/>
      <c r="F4" s="33"/>
      <c r="G4" s="33"/>
    </row>
    <row r="5" spans="1:7" x14ac:dyDescent="0.25">
      <c r="A5" s="143" t="s">
        <v>8</v>
      </c>
      <c r="B5" s="144"/>
      <c r="C5" s="144"/>
      <c r="D5" s="144"/>
      <c r="E5" s="145"/>
      <c r="F5" s="33"/>
      <c r="G5" s="33"/>
    </row>
    <row r="6" spans="1:7" x14ac:dyDescent="0.25">
      <c r="A6" s="146" t="s">
        <v>0</v>
      </c>
      <c r="B6" s="144"/>
      <c r="C6" s="144"/>
      <c r="D6" s="144"/>
      <c r="E6" s="145"/>
      <c r="F6" s="33"/>
      <c r="G6" s="33"/>
    </row>
    <row r="7" spans="1:7" x14ac:dyDescent="0.25">
      <c r="A7" s="147" t="s">
        <v>66</v>
      </c>
      <c r="B7" s="144"/>
      <c r="C7" s="144"/>
      <c r="D7" s="144"/>
      <c r="E7" s="145"/>
      <c r="F7" s="33"/>
      <c r="G7" s="33"/>
    </row>
    <row r="8" spans="1:7" x14ac:dyDescent="0.25">
      <c r="A8" s="147" t="s">
        <v>31</v>
      </c>
      <c r="B8" s="144"/>
      <c r="C8" s="144"/>
      <c r="D8" s="144"/>
      <c r="E8" s="145"/>
      <c r="F8" s="33"/>
      <c r="G8" s="33"/>
    </row>
    <row r="9" spans="1:7" x14ac:dyDescent="0.25">
      <c r="A9" s="1"/>
      <c r="B9" s="1"/>
      <c r="C9" s="1"/>
      <c r="D9" s="1"/>
      <c r="F9" s="33"/>
      <c r="G9" s="33"/>
    </row>
    <row r="10" spans="1:7" x14ac:dyDescent="0.25">
      <c r="A10" s="8" t="s">
        <v>1</v>
      </c>
      <c r="B10" s="1"/>
      <c r="C10" s="1"/>
      <c r="D10" s="161"/>
      <c r="E10" s="161"/>
    </row>
    <row r="11" spans="1:7" x14ac:dyDescent="0.25">
      <c r="A11" s="2" t="s">
        <v>2</v>
      </c>
      <c r="B11" s="3" t="s">
        <v>3</v>
      </c>
      <c r="C11" s="13"/>
      <c r="D11" s="4"/>
      <c r="E11" s="2" t="s">
        <v>4</v>
      </c>
    </row>
    <row r="12" spans="1:7" x14ac:dyDescent="0.25">
      <c r="A12" s="5"/>
      <c r="B12" s="5"/>
      <c r="C12" s="5"/>
      <c r="D12" s="5"/>
    </row>
    <row r="13" spans="1:7" x14ac:dyDescent="0.25">
      <c r="A13" s="6">
        <f>ROW()</f>
        <v>13</v>
      </c>
      <c r="B13" s="22" t="s">
        <v>11</v>
      </c>
      <c r="C13" s="20"/>
      <c r="D13" s="17"/>
    </row>
    <row r="14" spans="1:7" x14ac:dyDescent="0.25">
      <c r="A14" s="6">
        <f>ROW()</f>
        <v>14</v>
      </c>
      <c r="B14" s="23"/>
      <c r="C14" s="20"/>
      <c r="D14" s="17"/>
    </row>
    <row r="15" spans="1:7" ht="20.399999999999999" x14ac:dyDescent="0.35">
      <c r="A15" s="6">
        <f>ROW()</f>
        <v>15</v>
      </c>
      <c r="B15" s="56" t="s">
        <v>70</v>
      </c>
      <c r="C15" s="20"/>
    </row>
    <row r="16" spans="1:7" x14ac:dyDescent="0.25">
      <c r="A16" s="6">
        <f>ROW()</f>
        <v>16</v>
      </c>
      <c r="B16" s="23" t="s">
        <v>44</v>
      </c>
      <c r="C16" s="20"/>
      <c r="D16" s="16">
        <f>'Avg cost of case'!D13</f>
        <v>1347000</v>
      </c>
    </row>
    <row r="17" spans="1:5" x14ac:dyDescent="0.25">
      <c r="A17" s="6">
        <f>ROW()</f>
        <v>17</v>
      </c>
      <c r="B17" s="23" t="s">
        <v>78</v>
      </c>
      <c r="C17" s="20"/>
      <c r="D17" s="17">
        <v>2</v>
      </c>
    </row>
    <row r="18" spans="1:5" x14ac:dyDescent="0.25">
      <c r="A18" s="6">
        <f>ROW()</f>
        <v>18</v>
      </c>
      <c r="B18" s="27" t="s">
        <v>76</v>
      </c>
      <c r="C18" s="24"/>
      <c r="D18" s="28">
        <f>+D16/D17</f>
        <v>673500</v>
      </c>
    </row>
    <row r="19" spans="1:5" x14ac:dyDescent="0.25">
      <c r="A19" s="6">
        <f>ROW()</f>
        <v>19</v>
      </c>
      <c r="B19" s="14" t="s">
        <v>17</v>
      </c>
      <c r="C19" s="15"/>
      <c r="D19" s="54">
        <f>TY!C19</f>
        <v>3350313.6233799998</v>
      </c>
    </row>
    <row r="20" spans="1:5" x14ac:dyDescent="0.25">
      <c r="A20" s="6">
        <f>ROW()</f>
        <v>20</v>
      </c>
      <c r="B20" s="23" t="s">
        <v>5</v>
      </c>
      <c r="C20" s="25"/>
      <c r="D20" s="18">
        <f>+D18-D19</f>
        <v>-2676813.6233799998</v>
      </c>
      <c r="E20" s="21">
        <f>+D20</f>
        <v>-2676813.6233799998</v>
      </c>
    </row>
    <row r="21" spans="1:5" x14ac:dyDescent="0.25">
      <c r="A21" s="6">
        <f>ROW()</f>
        <v>21</v>
      </c>
      <c r="B21" s="23"/>
      <c r="C21" s="15"/>
      <c r="D21" s="29"/>
    </row>
    <row r="22" spans="1:5" ht="20.399999999999999" x14ac:dyDescent="0.35">
      <c r="A22" s="6">
        <f>ROW()</f>
        <v>22</v>
      </c>
      <c r="B22" s="56" t="s">
        <v>71</v>
      </c>
      <c r="C22" s="20"/>
    </row>
    <row r="23" spans="1:5" x14ac:dyDescent="0.25">
      <c r="A23" s="6">
        <f>ROW()</f>
        <v>23</v>
      </c>
      <c r="B23" s="23" t="s">
        <v>56</v>
      </c>
      <c r="C23" s="20"/>
      <c r="D23" s="16">
        <f>'Avg cost of case'!D25</f>
        <v>338000</v>
      </c>
    </row>
    <row r="24" spans="1:5" x14ac:dyDescent="0.25">
      <c r="A24" s="6">
        <f>ROW()</f>
        <v>24</v>
      </c>
      <c r="B24" s="23" t="s">
        <v>78</v>
      </c>
      <c r="C24" s="20"/>
      <c r="D24" s="31">
        <v>4</v>
      </c>
    </row>
    <row r="25" spans="1:5" x14ac:dyDescent="0.25">
      <c r="A25" s="6">
        <f>ROW()</f>
        <v>25</v>
      </c>
      <c r="B25" s="27" t="s">
        <v>77</v>
      </c>
      <c r="C25" s="24"/>
      <c r="D25" s="28">
        <f>+D23/D24</f>
        <v>84500</v>
      </c>
    </row>
    <row r="26" spans="1:5" x14ac:dyDescent="0.25">
      <c r="A26" s="6">
        <f>ROW()</f>
        <v>26</v>
      </c>
      <c r="B26" s="14" t="s">
        <v>18</v>
      </c>
      <c r="C26" s="15"/>
      <c r="D26" s="54">
        <f>TY!C10</f>
        <v>0</v>
      </c>
    </row>
    <row r="27" spans="1:5" x14ac:dyDescent="0.25">
      <c r="A27" s="6">
        <f>ROW()</f>
        <v>27</v>
      </c>
      <c r="B27" s="23" t="s">
        <v>5</v>
      </c>
      <c r="C27" s="25"/>
      <c r="D27" s="18">
        <f>+D25-D26</f>
        <v>84500</v>
      </c>
      <c r="E27" s="21">
        <f>+D27</f>
        <v>84500</v>
      </c>
    </row>
    <row r="28" spans="1:5" x14ac:dyDescent="0.25">
      <c r="A28" s="6">
        <f>ROW()</f>
        <v>28</v>
      </c>
      <c r="B28" s="23"/>
      <c r="C28" s="25"/>
      <c r="D28" s="21"/>
      <c r="E28" s="43"/>
    </row>
    <row r="29" spans="1:5" x14ac:dyDescent="0.25">
      <c r="A29" s="6">
        <f>ROW()</f>
        <v>29</v>
      </c>
      <c r="B29" s="23" t="s">
        <v>12</v>
      </c>
      <c r="C29" s="15"/>
      <c r="E29" s="16">
        <f>+E20+E27</f>
        <v>-2592313.6233799998</v>
      </c>
    </row>
    <row r="30" spans="1:5" x14ac:dyDescent="0.25">
      <c r="A30" s="6">
        <f>ROW()</f>
        <v>30</v>
      </c>
      <c r="B30" s="19"/>
      <c r="C30" s="15"/>
      <c r="E30" s="31"/>
    </row>
    <row r="31" spans="1:5" x14ac:dyDescent="0.25">
      <c r="A31" s="6">
        <f>ROW()</f>
        <v>31</v>
      </c>
      <c r="B31" s="19" t="s">
        <v>6</v>
      </c>
      <c r="C31" s="26">
        <v>0.21</v>
      </c>
      <c r="E31" s="32">
        <f>-E29*C31</f>
        <v>544385.86090979993</v>
      </c>
    </row>
    <row r="32" spans="1:5" ht="13.8" thickBot="1" x14ac:dyDescent="0.3">
      <c r="A32" s="6">
        <f>ROW()</f>
        <v>32</v>
      </c>
      <c r="B32" s="19" t="s">
        <v>7</v>
      </c>
      <c r="C32" s="15"/>
      <c r="E32" s="44">
        <f>-E29-E31</f>
        <v>2047927.7624701997</v>
      </c>
    </row>
    <row r="33" spans="1:4" ht="13.8" thickTop="1" x14ac:dyDescent="0.25">
      <c r="A33" s="6">
        <f>ROW()</f>
        <v>33</v>
      </c>
    </row>
    <row r="34" spans="1:4" x14ac:dyDescent="0.25">
      <c r="A34" s="6">
        <f>ROW()</f>
        <v>34</v>
      </c>
    </row>
    <row r="35" spans="1:4" x14ac:dyDescent="0.25">
      <c r="A35" s="6">
        <f>ROW()</f>
        <v>35</v>
      </c>
      <c r="B35" s="5" t="s">
        <v>79</v>
      </c>
    </row>
    <row r="36" spans="1:4" x14ac:dyDescent="0.25">
      <c r="A36" s="6">
        <f>ROW()</f>
        <v>36</v>
      </c>
      <c r="B36" s="5" t="s">
        <v>80</v>
      </c>
    </row>
    <row r="40" spans="1:4" x14ac:dyDescent="0.25">
      <c r="D40" s="45"/>
    </row>
  </sheetData>
  <mergeCells count="1">
    <mergeCell ref="D10:E10"/>
  </mergeCells>
  <phoneticPr fontId="7" type="noConversion"/>
  <pageMargins left="0.75" right="0.75" top="1" bottom="1" header="0.5" footer="0.5"/>
  <pageSetup scale="77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3"/>
  <sheetViews>
    <sheetView zoomScale="90" zoomScaleNormal="90" workbookViewId="0">
      <selection activeCell="B47" sqref="B47"/>
    </sheetView>
  </sheetViews>
  <sheetFormatPr defaultRowHeight="13.2" x14ac:dyDescent="0.25"/>
  <cols>
    <col min="1" max="1" width="5.44140625" bestFit="1" customWidth="1"/>
    <col min="2" max="2" width="67.44140625" bestFit="1" customWidth="1"/>
    <col min="3" max="3" width="5.109375" bestFit="1" customWidth="1"/>
    <col min="4" max="4" width="12" bestFit="1" customWidth="1"/>
    <col min="5" max="5" width="12.109375" customWidth="1"/>
    <col min="6" max="6" width="1.33203125" customWidth="1"/>
    <col min="7" max="7" width="11.33203125" customWidth="1"/>
    <col min="8" max="8" width="10.44140625" customWidth="1"/>
    <col min="9" max="9" width="1.33203125" customWidth="1"/>
    <col min="10" max="10" width="11.33203125" customWidth="1"/>
    <col min="11" max="11" width="10.44140625" customWidth="1"/>
    <col min="12" max="12" width="1.33203125" customWidth="1"/>
    <col min="13" max="13" width="11.33203125" bestFit="1" customWidth="1"/>
    <col min="14" max="14" width="10.44140625" bestFit="1" customWidth="1"/>
  </cols>
  <sheetData>
    <row r="1" spans="1:9" x14ac:dyDescent="0.25">
      <c r="A1" s="10"/>
      <c r="E1" s="9"/>
    </row>
    <row r="2" spans="1:9" x14ac:dyDescent="0.25">
      <c r="E2" s="9"/>
    </row>
    <row r="3" spans="1:9" x14ac:dyDescent="0.25">
      <c r="A3" s="5"/>
      <c r="B3" s="11"/>
      <c r="C3" s="33"/>
      <c r="D3" s="33"/>
      <c r="E3" s="33"/>
      <c r="F3" s="33"/>
      <c r="G3" s="33"/>
      <c r="H3" s="33"/>
    </row>
    <row r="4" spans="1:9" x14ac:dyDescent="0.25">
      <c r="A4" s="12"/>
      <c r="B4" s="1"/>
      <c r="C4" s="1"/>
      <c r="D4" s="1"/>
      <c r="E4" s="33"/>
      <c r="F4" s="33"/>
      <c r="G4" s="33"/>
      <c r="H4" s="33"/>
    </row>
    <row r="5" spans="1:9" x14ac:dyDescent="0.25">
      <c r="A5" s="143" t="s">
        <v>19</v>
      </c>
      <c r="B5" s="144"/>
      <c r="C5" s="144"/>
      <c r="D5" s="144"/>
      <c r="E5" s="145"/>
      <c r="F5" s="33"/>
      <c r="G5" s="33"/>
      <c r="H5" s="33"/>
    </row>
    <row r="6" spans="1:9" x14ac:dyDescent="0.25">
      <c r="A6" s="146" t="s">
        <v>0</v>
      </c>
      <c r="B6" s="144"/>
      <c r="C6" s="144"/>
      <c r="D6" s="144"/>
      <c r="E6" s="145"/>
      <c r="F6" s="33"/>
      <c r="G6" s="33"/>
      <c r="H6" s="33"/>
    </row>
    <row r="7" spans="1:9" x14ac:dyDescent="0.25">
      <c r="A7" s="147" t="str">
        <f>'Lead E'!A7</f>
        <v>FOR THE TWELVE MONTHS ENDED DECEMBER 31, 2022</v>
      </c>
      <c r="B7" s="144"/>
      <c r="C7" s="144"/>
      <c r="D7" s="144"/>
      <c r="E7" s="145"/>
      <c r="F7" s="33"/>
      <c r="G7" s="33"/>
      <c r="H7" s="33"/>
    </row>
    <row r="8" spans="1:9" x14ac:dyDescent="0.25">
      <c r="A8" s="147" t="str">
        <f>'Lead E'!A8</f>
        <v>COMMISSION BASIS REPORT</v>
      </c>
      <c r="B8" s="144"/>
      <c r="C8" s="144"/>
      <c r="D8" s="144"/>
      <c r="E8" s="145"/>
      <c r="F8" s="33"/>
      <c r="G8" s="33"/>
      <c r="H8" s="33"/>
    </row>
    <row r="9" spans="1:9" x14ac:dyDescent="0.25">
      <c r="A9" s="1"/>
      <c r="B9" s="1"/>
      <c r="C9" s="1"/>
      <c r="D9" s="1"/>
      <c r="E9" s="33"/>
      <c r="F9" s="33"/>
      <c r="G9" s="33"/>
      <c r="H9" s="33"/>
    </row>
    <row r="10" spans="1:9" x14ac:dyDescent="0.25">
      <c r="A10" s="8" t="s">
        <v>1</v>
      </c>
      <c r="B10" s="1"/>
      <c r="C10" s="1"/>
      <c r="D10" s="33"/>
      <c r="E10" s="33"/>
      <c r="F10" s="33"/>
      <c r="G10" s="33"/>
      <c r="H10" s="33"/>
    </row>
    <row r="11" spans="1:9" x14ac:dyDescent="0.25">
      <c r="A11" s="2" t="s">
        <v>2</v>
      </c>
      <c r="B11" s="3" t="s">
        <v>3</v>
      </c>
      <c r="C11" s="13"/>
      <c r="D11" s="4"/>
      <c r="E11" s="2" t="s">
        <v>4</v>
      </c>
      <c r="F11" s="33"/>
      <c r="G11" s="33"/>
      <c r="H11" s="33"/>
    </row>
    <row r="12" spans="1:9" x14ac:dyDescent="0.25">
      <c r="A12" s="5"/>
      <c r="B12" s="5"/>
      <c r="C12" s="5"/>
      <c r="D12" s="5"/>
      <c r="E12" s="33"/>
    </row>
    <row r="13" spans="1:9" x14ac:dyDescent="0.25">
      <c r="A13" s="6">
        <f>ROW()</f>
        <v>13</v>
      </c>
      <c r="B13" s="22" t="s">
        <v>11</v>
      </c>
      <c r="C13" s="20"/>
      <c r="D13" s="17"/>
      <c r="E13" s="33"/>
    </row>
    <row r="14" spans="1:9" ht="20.399999999999999" x14ac:dyDescent="0.35">
      <c r="A14" s="6">
        <f>ROW()</f>
        <v>14</v>
      </c>
      <c r="B14" s="56" t="s">
        <v>70</v>
      </c>
      <c r="C14" s="20"/>
      <c r="D14" s="17"/>
      <c r="E14" s="33"/>
    </row>
    <row r="15" spans="1:9" x14ac:dyDescent="0.25">
      <c r="A15" s="6">
        <f>ROW()</f>
        <v>15</v>
      </c>
      <c r="B15" s="23" t="s">
        <v>44</v>
      </c>
      <c r="C15" s="20"/>
      <c r="D15" s="16">
        <f>'Avg cost of case'!D13</f>
        <v>1347000</v>
      </c>
      <c r="E15" s="33"/>
      <c r="I15" s="110"/>
    </row>
    <row r="16" spans="1:9" x14ac:dyDescent="0.25">
      <c r="A16" s="6">
        <f>ROW()</f>
        <v>16</v>
      </c>
      <c r="B16" s="23" t="s">
        <v>78</v>
      </c>
      <c r="C16" s="20"/>
      <c r="D16" s="17">
        <v>2</v>
      </c>
      <c r="E16" s="33"/>
      <c r="I16" s="110"/>
    </row>
    <row r="17" spans="1:9" x14ac:dyDescent="0.25">
      <c r="A17" s="6">
        <f>ROW()</f>
        <v>17</v>
      </c>
      <c r="B17" s="27" t="s">
        <v>75</v>
      </c>
      <c r="C17" s="24"/>
      <c r="D17" s="28">
        <f>+D15/D16</f>
        <v>673500</v>
      </c>
      <c r="E17" s="33"/>
      <c r="I17" s="111"/>
    </row>
    <row r="18" spans="1:9" x14ac:dyDescent="0.25">
      <c r="A18" s="6">
        <f>ROW()</f>
        <v>18</v>
      </c>
      <c r="B18" s="14" t="s">
        <v>17</v>
      </c>
      <c r="C18" s="15"/>
      <c r="D18" s="54">
        <f>TY!D19</f>
        <v>1941681.17062</v>
      </c>
      <c r="E18" s="33"/>
      <c r="I18" s="112"/>
    </row>
    <row r="19" spans="1:9" x14ac:dyDescent="0.25">
      <c r="A19" s="6">
        <f>ROW()</f>
        <v>19</v>
      </c>
      <c r="B19" s="23" t="s">
        <v>5</v>
      </c>
      <c r="C19" s="25"/>
      <c r="D19" s="18">
        <f>+D17-D18</f>
        <v>-1268181.17062</v>
      </c>
      <c r="E19" s="21">
        <f>+D19</f>
        <v>-1268181.17062</v>
      </c>
      <c r="I19" s="113"/>
    </row>
    <row r="20" spans="1:9" x14ac:dyDescent="0.25">
      <c r="A20" s="6">
        <f>ROW()</f>
        <v>20</v>
      </c>
      <c r="B20" s="23"/>
      <c r="C20" s="25"/>
      <c r="D20" s="30"/>
      <c r="E20" s="43"/>
      <c r="I20" s="113"/>
    </row>
    <row r="21" spans="1:9" x14ac:dyDescent="0.25">
      <c r="A21" s="6">
        <f>ROW()</f>
        <v>21</v>
      </c>
      <c r="B21" s="23" t="s">
        <v>12</v>
      </c>
      <c r="C21" s="15"/>
      <c r="D21" s="33"/>
      <c r="E21" s="16">
        <f>+E19</f>
        <v>-1268181.17062</v>
      </c>
      <c r="I21" s="112"/>
    </row>
    <row r="22" spans="1:9" x14ac:dyDescent="0.25">
      <c r="A22" s="6">
        <f>ROW()</f>
        <v>22</v>
      </c>
      <c r="B22" s="19"/>
      <c r="C22" s="15"/>
      <c r="D22" s="33"/>
      <c r="E22" s="31"/>
      <c r="I22" s="112"/>
    </row>
    <row r="23" spans="1:9" x14ac:dyDescent="0.25">
      <c r="A23" s="6">
        <f>ROW()</f>
        <v>23</v>
      </c>
      <c r="B23" s="19" t="s">
        <v>6</v>
      </c>
      <c r="C23" s="26">
        <v>0.21</v>
      </c>
      <c r="D23" s="33"/>
      <c r="E23" s="32">
        <f>-E21*C23</f>
        <v>266318.04583019996</v>
      </c>
      <c r="I23" s="114">
        <v>0.21</v>
      </c>
    </row>
    <row r="24" spans="1:9" ht="13.8" thickBot="1" x14ac:dyDescent="0.3">
      <c r="A24" s="6">
        <f>ROW()</f>
        <v>24</v>
      </c>
      <c r="B24" s="19" t="s">
        <v>7</v>
      </c>
      <c r="C24" s="15"/>
      <c r="D24" s="33"/>
      <c r="E24" s="44">
        <f>-E21-E23</f>
        <v>1001863.1247898</v>
      </c>
      <c r="I24" s="112"/>
    </row>
    <row r="25" spans="1:9" ht="13.8" thickTop="1" x14ac:dyDescent="0.25">
      <c r="A25" s="6">
        <f>ROW()</f>
        <v>25</v>
      </c>
      <c r="B25" s="33"/>
      <c r="C25" s="33"/>
      <c r="D25" s="33"/>
      <c r="E25" s="33"/>
    </row>
    <row r="26" spans="1:9" x14ac:dyDescent="0.25">
      <c r="A26" s="6">
        <f>ROW()</f>
        <v>26</v>
      </c>
      <c r="B26" s="33"/>
      <c r="C26" s="33"/>
      <c r="D26" s="33"/>
      <c r="E26" s="33"/>
    </row>
    <row r="27" spans="1:9" x14ac:dyDescent="0.25">
      <c r="A27" s="6">
        <f>ROW()</f>
        <v>27</v>
      </c>
      <c r="B27" s="5" t="s">
        <v>73</v>
      </c>
      <c r="C27" s="33"/>
      <c r="D27" s="33"/>
      <c r="E27" s="33"/>
    </row>
    <row r="28" spans="1:9" x14ac:dyDescent="0.25">
      <c r="A28" s="6">
        <f>ROW()</f>
        <v>28</v>
      </c>
      <c r="B28" s="5" t="s">
        <v>72</v>
      </c>
      <c r="C28" s="33"/>
      <c r="D28" s="33"/>
      <c r="E28" s="33"/>
    </row>
    <row r="29" spans="1:9" x14ac:dyDescent="0.25">
      <c r="A29" s="33"/>
      <c r="B29" s="33"/>
      <c r="C29" s="33"/>
      <c r="D29" s="33"/>
      <c r="E29" s="33"/>
    </row>
    <row r="30" spans="1:9" x14ac:dyDescent="0.25">
      <c r="A30" s="33"/>
      <c r="B30" s="33"/>
      <c r="C30" s="33"/>
      <c r="D30" s="33"/>
      <c r="E30" s="33"/>
    </row>
    <row r="31" spans="1:9" x14ac:dyDescent="0.25">
      <c r="A31" s="33"/>
      <c r="B31" s="33"/>
      <c r="C31" s="33"/>
      <c r="D31" s="33"/>
      <c r="E31" s="33"/>
    </row>
    <row r="32" spans="1:9" x14ac:dyDescent="0.25">
      <c r="A32" s="33"/>
      <c r="B32" s="33"/>
      <c r="C32" s="33"/>
      <c r="D32" s="33"/>
      <c r="E32" s="33"/>
    </row>
    <row r="33" spans="4:5" x14ac:dyDescent="0.25">
      <c r="D33" s="33"/>
      <c r="E33" s="33"/>
    </row>
  </sheetData>
  <phoneticPr fontId="7" type="noConversion"/>
  <pageMargins left="0.75" right="0.75" top="1" bottom="1" header="0.5" footer="0.5"/>
  <pageSetup scale="8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zoomScale="90" zoomScaleNormal="90" workbookViewId="0">
      <selection activeCell="B48" sqref="B48"/>
    </sheetView>
  </sheetViews>
  <sheetFormatPr defaultColWidth="8.88671875" defaultRowHeight="13.2" x14ac:dyDescent="0.25"/>
  <cols>
    <col min="1" max="2" width="12.6640625" style="63" customWidth="1"/>
    <col min="3" max="3" width="44.109375" style="72" bestFit="1" customWidth="1"/>
    <col min="4" max="4" width="10.88671875" style="73" bestFit="1" customWidth="1"/>
    <col min="5" max="5" width="19.33203125" style="41" customWidth="1"/>
    <col min="6" max="16384" width="8.88671875" style="63"/>
  </cols>
  <sheetData>
    <row r="1" spans="1:19" ht="15.6" x14ac:dyDescent="0.3">
      <c r="A1" s="61"/>
      <c r="B1" s="62"/>
      <c r="C1" s="36" t="s">
        <v>9</v>
      </c>
      <c r="D1" s="36"/>
      <c r="E1" s="37"/>
    </row>
    <row r="2" spans="1:19" x14ac:dyDescent="0.25">
      <c r="A2" s="64"/>
      <c r="B2" s="65"/>
      <c r="C2" s="34" t="s">
        <v>14</v>
      </c>
      <c r="D2" s="34"/>
      <c r="E2" s="38"/>
    </row>
    <row r="3" spans="1:19" x14ac:dyDescent="0.25">
      <c r="A3" s="64"/>
      <c r="B3" s="65"/>
      <c r="C3" s="149" t="s">
        <v>68</v>
      </c>
      <c r="D3" s="34"/>
      <c r="E3" s="38"/>
      <c r="F3" s="72"/>
    </row>
    <row r="4" spans="1:19" x14ac:dyDescent="0.25">
      <c r="A4" s="64"/>
      <c r="B4" s="65"/>
      <c r="C4" s="66" t="s">
        <v>67</v>
      </c>
      <c r="D4" s="122">
        <f>'Summary GRCs'!B10</f>
        <v>2251755.3600000003</v>
      </c>
      <c r="E4" s="38"/>
      <c r="F4" s="72"/>
    </row>
    <row r="5" spans="1:19" x14ac:dyDescent="0.25">
      <c r="A5" s="64"/>
      <c r="B5" s="65"/>
      <c r="C5" s="66"/>
      <c r="D5" s="123"/>
      <c r="E5" s="38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25">
      <c r="A6" s="64"/>
      <c r="B6" s="65"/>
      <c r="C6" s="66" t="s">
        <v>43</v>
      </c>
      <c r="D6" s="123">
        <f>'Summary GRCs'!B14</f>
        <v>3135957.01</v>
      </c>
      <c r="E6" s="38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64"/>
      <c r="B7" s="65"/>
      <c r="C7" s="66"/>
      <c r="D7" s="123"/>
      <c r="E7" s="38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64"/>
      <c r="B8" s="65"/>
      <c r="C8" s="66"/>
      <c r="D8" s="123"/>
      <c r="E8" s="3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64"/>
      <c r="B9" s="65"/>
      <c r="C9" s="66" t="s">
        <v>15</v>
      </c>
      <c r="D9" s="123">
        <f>(D4+D6)/2</f>
        <v>2693856.1850000001</v>
      </c>
      <c r="E9" s="38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64"/>
      <c r="B10" s="65"/>
      <c r="C10" s="66"/>
      <c r="D10" s="123"/>
      <c r="E10" s="38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64"/>
      <c r="B11" s="65"/>
      <c r="C11" s="66" t="s">
        <v>23</v>
      </c>
      <c r="D11" s="123">
        <f>+D9/2</f>
        <v>1346928.0925</v>
      </c>
      <c r="E11" s="38"/>
      <c r="F11" s="72"/>
    </row>
    <row r="12" spans="1:19" x14ac:dyDescent="0.25">
      <c r="A12" s="64"/>
      <c r="B12" s="65"/>
      <c r="C12" s="139"/>
      <c r="D12" s="135"/>
      <c r="E12" s="38"/>
      <c r="F12" s="72"/>
    </row>
    <row r="13" spans="1:19" x14ac:dyDescent="0.25">
      <c r="A13" s="64"/>
      <c r="B13" s="65"/>
      <c r="C13" s="66" t="s">
        <v>60</v>
      </c>
      <c r="D13" s="140">
        <f>ROUND(+D11,-3)</f>
        <v>1347000</v>
      </c>
      <c r="E13" s="38"/>
      <c r="F13" s="72"/>
    </row>
    <row r="14" spans="1:19" x14ac:dyDescent="0.25">
      <c r="A14" s="67"/>
      <c r="B14" s="68"/>
      <c r="C14" s="69"/>
      <c r="D14" s="70"/>
      <c r="E14" s="39"/>
      <c r="F14" s="72"/>
    </row>
    <row r="15" spans="1:19" x14ac:dyDescent="0.25">
      <c r="A15" s="65"/>
      <c r="B15" s="65"/>
      <c r="C15" s="66"/>
      <c r="D15" s="71"/>
      <c r="E15" s="40"/>
      <c r="F15" s="72"/>
    </row>
    <row r="16" spans="1:19" ht="15.6" x14ac:dyDescent="0.3">
      <c r="A16" s="61"/>
      <c r="B16" s="62"/>
      <c r="C16" s="36" t="s">
        <v>9</v>
      </c>
      <c r="D16" s="36"/>
      <c r="E16" s="37"/>
      <c r="F16" s="72"/>
    </row>
    <row r="17" spans="1:7" x14ac:dyDescent="0.25">
      <c r="A17" s="64"/>
      <c r="B17" s="65"/>
      <c r="C17" s="34" t="s">
        <v>13</v>
      </c>
      <c r="D17" s="34"/>
      <c r="E17" s="38"/>
      <c r="F17" s="72"/>
    </row>
    <row r="18" spans="1:7" x14ac:dyDescent="0.25">
      <c r="A18" s="64"/>
      <c r="B18" s="65"/>
      <c r="C18" s="149" t="s">
        <v>69</v>
      </c>
      <c r="D18" s="34"/>
      <c r="E18" s="38"/>
      <c r="F18" s="72"/>
      <c r="G18" s="72"/>
    </row>
    <row r="19" spans="1:7" x14ac:dyDescent="0.25">
      <c r="A19" s="64"/>
      <c r="B19" s="65"/>
      <c r="C19" s="66" t="s">
        <v>30</v>
      </c>
      <c r="D19" s="123">
        <f>'Summary PCORCs'!B6</f>
        <v>148465.66</v>
      </c>
      <c r="E19" s="38"/>
      <c r="F19" s="72"/>
      <c r="G19" s="72"/>
    </row>
    <row r="20" spans="1:7" x14ac:dyDescent="0.25">
      <c r="A20" s="64"/>
      <c r="B20" s="65"/>
      <c r="C20" s="66"/>
      <c r="D20" s="123"/>
      <c r="E20" s="38"/>
      <c r="F20" s="72"/>
      <c r="G20" s="72"/>
    </row>
    <row r="21" spans="1:7" x14ac:dyDescent="0.25">
      <c r="A21" s="64"/>
      <c r="B21" s="65"/>
      <c r="C21" s="139" t="s">
        <v>55</v>
      </c>
      <c r="D21" s="123">
        <f>'Summary PCORCs'!B10</f>
        <v>526879.43999999994</v>
      </c>
      <c r="E21" s="38"/>
      <c r="F21" s="72"/>
      <c r="G21" s="72"/>
    </row>
    <row r="22" spans="1:7" x14ac:dyDescent="0.25">
      <c r="A22" s="64"/>
      <c r="B22" s="65"/>
      <c r="C22" s="66"/>
      <c r="D22" s="123"/>
      <c r="E22" s="38"/>
      <c r="F22" s="72"/>
      <c r="G22" s="72"/>
    </row>
    <row r="23" spans="1:7" x14ac:dyDescent="0.25">
      <c r="A23" s="64"/>
      <c r="B23" s="65"/>
      <c r="C23" s="66" t="s">
        <v>24</v>
      </c>
      <c r="D23" s="123">
        <f>(+D19+D21)/2</f>
        <v>337672.55</v>
      </c>
      <c r="E23" s="38"/>
      <c r="F23" s="72"/>
      <c r="G23" s="72"/>
    </row>
    <row r="24" spans="1:7" x14ac:dyDescent="0.25">
      <c r="A24" s="64"/>
      <c r="B24" s="65"/>
      <c r="C24" s="139"/>
      <c r="D24" s="135"/>
      <c r="E24" s="38"/>
      <c r="F24" s="72"/>
      <c r="G24" s="72"/>
    </row>
    <row r="25" spans="1:7" x14ac:dyDescent="0.25">
      <c r="A25" s="64"/>
      <c r="B25" s="65"/>
      <c r="C25" s="66" t="s">
        <v>61</v>
      </c>
      <c r="D25" s="140">
        <f>ROUND(+D23,-3)</f>
        <v>338000</v>
      </c>
      <c r="E25" s="38"/>
      <c r="F25" s="72"/>
      <c r="G25" s="72"/>
    </row>
    <row r="26" spans="1:7" x14ac:dyDescent="0.25">
      <c r="A26" s="67"/>
      <c r="B26" s="68"/>
      <c r="C26" s="69"/>
      <c r="D26" s="70"/>
      <c r="E26" s="39"/>
      <c r="F26" s="72"/>
      <c r="G26" s="72"/>
    </row>
    <row r="27" spans="1:7" x14ac:dyDescent="0.25">
      <c r="B27" s="65"/>
      <c r="C27" s="66"/>
      <c r="D27" s="71"/>
      <c r="E27" s="40"/>
      <c r="F27" s="72"/>
      <c r="G27" s="72"/>
    </row>
    <row r="28" spans="1:7" x14ac:dyDescent="0.25">
      <c r="A28" s="65"/>
      <c r="B28" s="65"/>
      <c r="C28" s="66"/>
      <c r="D28" s="71"/>
      <c r="E28" s="40"/>
      <c r="F28" s="72"/>
      <c r="G28" s="72"/>
    </row>
    <row r="29" spans="1:7" x14ac:dyDescent="0.25">
      <c r="A29" s="7"/>
      <c r="B29" s="7"/>
      <c r="E29" s="74"/>
      <c r="F29" s="72"/>
      <c r="G29" s="72"/>
    </row>
    <row r="30" spans="1:7" x14ac:dyDescent="0.25">
      <c r="F30" s="72"/>
    </row>
    <row r="31" spans="1:7" x14ac:dyDescent="0.25">
      <c r="F31" s="72"/>
    </row>
    <row r="32" spans="1:7" x14ac:dyDescent="0.25">
      <c r="F32" s="72"/>
    </row>
    <row r="33" spans="6:6" x14ac:dyDescent="0.25">
      <c r="F33" s="72"/>
    </row>
    <row r="34" spans="6:6" x14ac:dyDescent="0.25">
      <c r="F34" s="72"/>
    </row>
    <row r="35" spans="6:6" x14ac:dyDescent="0.25">
      <c r="F35" s="72"/>
    </row>
    <row r="36" spans="6:6" x14ac:dyDescent="0.25">
      <c r="F36" s="72"/>
    </row>
    <row r="37" spans="6:6" x14ac:dyDescent="0.25">
      <c r="F37" s="72"/>
    </row>
    <row r="38" spans="6:6" x14ac:dyDescent="0.25">
      <c r="F38" s="72"/>
    </row>
    <row r="39" spans="6:6" x14ac:dyDescent="0.25">
      <c r="F39" s="72"/>
    </row>
    <row r="40" spans="6:6" x14ac:dyDescent="0.25">
      <c r="F40" s="72"/>
    </row>
    <row r="41" spans="6:6" x14ac:dyDescent="0.25">
      <c r="F41" s="72"/>
    </row>
    <row r="42" spans="6:6" x14ac:dyDescent="0.25">
      <c r="F42" s="72"/>
    </row>
    <row r="43" spans="6:6" x14ac:dyDescent="0.25">
      <c r="F43" s="72"/>
    </row>
    <row r="44" spans="6:6" x14ac:dyDescent="0.25">
      <c r="F44" s="72"/>
    </row>
    <row r="45" spans="6:6" x14ac:dyDescent="0.25">
      <c r="F45" s="72"/>
    </row>
    <row r="46" spans="6:6" x14ac:dyDescent="0.25">
      <c r="F46" s="72"/>
    </row>
    <row r="47" spans="6:6" x14ac:dyDescent="0.25">
      <c r="F47" s="72"/>
    </row>
    <row r="48" spans="6:6" x14ac:dyDescent="0.25">
      <c r="F48" s="72"/>
    </row>
    <row r="49" spans="6:6" x14ac:dyDescent="0.25">
      <c r="F49" s="72"/>
    </row>
  </sheetData>
  <phoneticPr fontId="7" type="noConversion"/>
  <pageMargins left="0.75" right="0.7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92"/>
  <sheetViews>
    <sheetView zoomScale="90" zoomScaleNormal="90" workbookViewId="0">
      <selection activeCell="B15" sqref="B15"/>
    </sheetView>
  </sheetViews>
  <sheetFormatPr defaultColWidth="8.88671875" defaultRowHeight="13.2" x14ac:dyDescent="0.25"/>
  <cols>
    <col min="1" max="1" width="58" style="72" customWidth="1"/>
    <col min="2" max="2" width="17" style="72" customWidth="1"/>
    <col min="3" max="4" width="13.44140625" style="72" bestFit="1" customWidth="1"/>
    <col min="5" max="16384" width="8.88671875" style="72"/>
  </cols>
  <sheetData>
    <row r="1" spans="1:4" x14ac:dyDescent="0.25">
      <c r="A1" s="162" t="s">
        <v>9</v>
      </c>
      <c r="B1" s="162"/>
      <c r="C1" s="162"/>
      <c r="D1" s="162"/>
    </row>
    <row r="2" spans="1:4" x14ac:dyDescent="0.25">
      <c r="A2" s="163" t="s">
        <v>65</v>
      </c>
      <c r="B2" s="163"/>
      <c r="C2" s="163"/>
      <c r="D2" s="163"/>
    </row>
    <row r="3" spans="1:4" x14ac:dyDescent="0.25">
      <c r="A3" s="163" t="s">
        <v>25</v>
      </c>
      <c r="B3" s="163"/>
      <c r="C3" s="163"/>
      <c r="D3" s="163"/>
    </row>
    <row r="4" spans="1:4" x14ac:dyDescent="0.25">
      <c r="A4" s="52"/>
      <c r="B4" s="53"/>
      <c r="C4" s="53"/>
      <c r="D4" s="53"/>
    </row>
    <row r="5" spans="1:4" x14ac:dyDescent="0.25">
      <c r="A5" s="52"/>
      <c r="B5" s="53"/>
      <c r="C5" s="130" t="s">
        <v>21</v>
      </c>
      <c r="D5" s="131" t="s">
        <v>10</v>
      </c>
    </row>
    <row r="6" spans="1:4" ht="13.8" x14ac:dyDescent="0.25">
      <c r="A6" s="50" t="s">
        <v>22</v>
      </c>
      <c r="B6" s="51" t="s">
        <v>20</v>
      </c>
      <c r="C6" s="148">
        <f>[1]Lead!$E$35</f>
        <v>0.65659999999999996</v>
      </c>
      <c r="D6" s="148">
        <f>[1]Lead!$F$35</f>
        <v>0.34339999999999998</v>
      </c>
    </row>
    <row r="7" spans="1:4" ht="13.8" x14ac:dyDescent="0.25">
      <c r="A7" s="58"/>
      <c r="B7" s="59"/>
      <c r="C7" s="75"/>
      <c r="D7" s="75"/>
    </row>
    <row r="8" spans="1:4" x14ac:dyDescent="0.25">
      <c r="A8" s="133" t="s">
        <v>58</v>
      </c>
      <c r="B8" s="118">
        <f>'Summary PCORCs'!M6</f>
        <v>0</v>
      </c>
      <c r="C8" s="118">
        <f>B8*$C$6</f>
        <v>0</v>
      </c>
      <c r="D8" s="118">
        <f>+B8*$D$6</f>
        <v>0</v>
      </c>
    </row>
    <row r="9" spans="1:4" x14ac:dyDescent="0.25">
      <c r="A9" s="133" t="s">
        <v>57</v>
      </c>
      <c r="B9" s="141">
        <f>'Summary PCORCs'!M10</f>
        <v>0</v>
      </c>
      <c r="C9" s="141">
        <f>B9*$C$6</f>
        <v>0</v>
      </c>
      <c r="D9" s="141">
        <f t="shared" ref="D9" si="0">+B9*$D$6</f>
        <v>0</v>
      </c>
    </row>
    <row r="10" spans="1:4" x14ac:dyDescent="0.25">
      <c r="A10" s="115" t="s">
        <v>29</v>
      </c>
      <c r="B10" s="128">
        <f>SUM(B8:B9)</f>
        <v>0</v>
      </c>
      <c r="C10" s="128">
        <f>SUM(C8:C9)</f>
        <v>0</v>
      </c>
      <c r="D10" s="128">
        <f>SUM(D8:D9)</f>
        <v>0</v>
      </c>
    </row>
    <row r="11" spans="1:4" x14ac:dyDescent="0.25">
      <c r="A11" s="77"/>
      <c r="B11" s="76"/>
      <c r="C11" s="76"/>
      <c r="D11" s="66"/>
    </row>
    <row r="12" spans="1:4" x14ac:dyDescent="0.25">
      <c r="A12" s="142" t="s">
        <v>41</v>
      </c>
      <c r="B12" s="118"/>
      <c r="C12" s="118"/>
      <c r="D12" s="119"/>
    </row>
    <row r="13" spans="1:4" x14ac:dyDescent="0.25">
      <c r="A13" s="133" t="s">
        <v>59</v>
      </c>
      <c r="B13" s="118">
        <f>'Summary GRCs'!J13</f>
        <v>0</v>
      </c>
      <c r="C13" s="118">
        <f t="shared" ref="C13" si="1">+B13*$C$6</f>
        <v>0</v>
      </c>
      <c r="D13" s="119">
        <f t="shared" ref="D13" si="2">+B13*$D$6</f>
        <v>0</v>
      </c>
    </row>
    <row r="14" spans="1:4" x14ac:dyDescent="0.25">
      <c r="A14" s="142" t="s">
        <v>62</v>
      </c>
      <c r="B14" s="118"/>
      <c r="C14" s="118"/>
      <c r="D14" s="119"/>
    </row>
    <row r="15" spans="1:4" x14ac:dyDescent="0.25">
      <c r="A15" s="133" t="s">
        <v>48</v>
      </c>
      <c r="B15" s="118">
        <f>'Summary GRCs'!J18</f>
        <v>4108614.3</v>
      </c>
      <c r="C15" s="118">
        <f>+B15*$C$6</f>
        <v>2697716.1493799998</v>
      </c>
      <c r="D15" s="119">
        <f>+B15*$D$6</f>
        <v>1410898.15062</v>
      </c>
    </row>
    <row r="16" spans="1:4" x14ac:dyDescent="0.25">
      <c r="A16" s="133" t="s">
        <v>54</v>
      </c>
      <c r="B16" s="118">
        <f>'Summary GRCs'!J19</f>
        <v>652597.47400000005</v>
      </c>
      <c r="C16" s="118">
        <f>B16</f>
        <v>652597.47400000005</v>
      </c>
      <c r="D16" s="119">
        <v>0</v>
      </c>
    </row>
    <row r="17" spans="1:4" x14ac:dyDescent="0.25">
      <c r="A17" s="133" t="s">
        <v>49</v>
      </c>
      <c r="B17" s="118">
        <f>'Summary GRCs'!J20</f>
        <v>530783.02</v>
      </c>
      <c r="C17" s="118">
        <v>0</v>
      </c>
      <c r="D17" s="119">
        <f>B17</f>
        <v>530783.02</v>
      </c>
    </row>
    <row r="18" spans="1:4" x14ac:dyDescent="0.25">
      <c r="B18" s="118"/>
      <c r="C18" s="116"/>
      <c r="D18" s="117"/>
    </row>
    <row r="19" spans="1:4" x14ac:dyDescent="0.25">
      <c r="A19" s="120" t="s">
        <v>32</v>
      </c>
      <c r="B19" s="121">
        <f>SUM(B12:B17)</f>
        <v>5291994.7939999998</v>
      </c>
      <c r="C19" s="121">
        <f>SUM(C12:C17)</f>
        <v>3350313.6233799998</v>
      </c>
      <c r="D19" s="121">
        <f>SUM(D12:D17)</f>
        <v>1941681.17062</v>
      </c>
    </row>
    <row r="21" spans="1:4" x14ac:dyDescent="0.25">
      <c r="A21" s="72" t="s">
        <v>40</v>
      </c>
    </row>
    <row r="22" spans="1:4" x14ac:dyDescent="0.25">
      <c r="A22" s="72" t="s">
        <v>45</v>
      </c>
    </row>
    <row r="24" spans="1:4" x14ac:dyDescent="0.25">
      <c r="A24" s="129"/>
    </row>
    <row r="25" spans="1:4" x14ac:dyDescent="0.25">
      <c r="A25"/>
      <c r="B25"/>
    </row>
    <row r="26" spans="1:4" customFormat="1" x14ac:dyDescent="0.25"/>
    <row r="27" spans="1:4" customFormat="1" x14ac:dyDescent="0.25"/>
    <row r="28" spans="1:4" customFormat="1" x14ac:dyDescent="0.25"/>
    <row r="29" spans="1:4" customFormat="1" x14ac:dyDescent="0.25"/>
    <row r="30" spans="1:4" customFormat="1" x14ac:dyDescent="0.25"/>
    <row r="31" spans="1:4" customFormat="1" x14ac:dyDescent="0.25"/>
    <row r="32" spans="1:4" customFormat="1" x14ac:dyDescent="0.25"/>
    <row r="33" spans="2:2" customFormat="1" x14ac:dyDescent="0.25"/>
    <row r="34" spans="2:2" customFormat="1" x14ac:dyDescent="0.25"/>
    <row r="35" spans="2:2" customFormat="1" x14ac:dyDescent="0.25"/>
    <row r="36" spans="2:2" customFormat="1" x14ac:dyDescent="0.25"/>
    <row r="37" spans="2:2" x14ac:dyDescent="0.25">
      <c r="B37" s="109"/>
    </row>
    <row r="38" spans="2:2" x14ac:dyDescent="0.25">
      <c r="B38" s="109"/>
    </row>
    <row r="39" spans="2:2" x14ac:dyDescent="0.25">
      <c r="B39" s="109"/>
    </row>
    <row r="40" spans="2:2" x14ac:dyDescent="0.25">
      <c r="B40" s="109"/>
    </row>
    <row r="41" spans="2:2" x14ac:dyDescent="0.25">
      <c r="B41" s="109"/>
    </row>
    <row r="42" spans="2:2" x14ac:dyDescent="0.25">
      <c r="B42" s="109"/>
    </row>
    <row r="43" spans="2:2" x14ac:dyDescent="0.25">
      <c r="B43" s="109"/>
    </row>
    <row r="44" spans="2:2" x14ac:dyDescent="0.25">
      <c r="B44" s="109"/>
    </row>
    <row r="45" spans="2:2" x14ac:dyDescent="0.25">
      <c r="B45" s="109"/>
    </row>
    <row r="46" spans="2:2" x14ac:dyDescent="0.25">
      <c r="B46" s="109"/>
    </row>
    <row r="47" spans="2:2" x14ac:dyDescent="0.25">
      <c r="B47" s="109"/>
    </row>
    <row r="48" spans="2:2" x14ac:dyDescent="0.25">
      <c r="B48" s="109"/>
    </row>
    <row r="49" spans="2:2" x14ac:dyDescent="0.25">
      <c r="B49" s="109"/>
    </row>
    <row r="50" spans="2:2" x14ac:dyDescent="0.25">
      <c r="B50" s="109"/>
    </row>
    <row r="51" spans="2:2" x14ac:dyDescent="0.25">
      <c r="B51" s="109"/>
    </row>
    <row r="52" spans="2:2" x14ac:dyDescent="0.25">
      <c r="B52" s="109"/>
    </row>
    <row r="53" spans="2:2" x14ac:dyDescent="0.25">
      <c r="B53" s="109"/>
    </row>
    <row r="54" spans="2:2" x14ac:dyDescent="0.25">
      <c r="B54" s="109"/>
    </row>
    <row r="55" spans="2:2" x14ac:dyDescent="0.25">
      <c r="B55" s="109"/>
    </row>
    <row r="56" spans="2:2" x14ac:dyDescent="0.25">
      <c r="B56" s="109"/>
    </row>
    <row r="57" spans="2:2" x14ac:dyDescent="0.25">
      <c r="B57" s="109"/>
    </row>
    <row r="58" spans="2:2" x14ac:dyDescent="0.25">
      <c r="B58" s="109"/>
    </row>
    <row r="59" spans="2:2" x14ac:dyDescent="0.25">
      <c r="B59" s="109"/>
    </row>
    <row r="60" spans="2:2" x14ac:dyDescent="0.25">
      <c r="B60" s="109"/>
    </row>
    <row r="61" spans="2:2" x14ac:dyDescent="0.25">
      <c r="B61" s="109"/>
    </row>
    <row r="62" spans="2:2" x14ac:dyDescent="0.25">
      <c r="B62" s="109"/>
    </row>
    <row r="63" spans="2:2" x14ac:dyDescent="0.25">
      <c r="B63" s="109"/>
    </row>
    <row r="64" spans="2:2" x14ac:dyDescent="0.25">
      <c r="B64" s="109"/>
    </row>
    <row r="65" spans="2:2" x14ac:dyDescent="0.25">
      <c r="B65" s="109"/>
    </row>
    <row r="66" spans="2:2" x14ac:dyDescent="0.25">
      <c r="B66" s="109"/>
    </row>
    <row r="67" spans="2:2" x14ac:dyDescent="0.25">
      <c r="B67" s="109"/>
    </row>
    <row r="68" spans="2:2" x14ac:dyDescent="0.25">
      <c r="B68" s="109"/>
    </row>
    <row r="69" spans="2:2" x14ac:dyDescent="0.25">
      <c r="B69" s="109"/>
    </row>
    <row r="70" spans="2:2" x14ac:dyDescent="0.25">
      <c r="B70" s="109"/>
    </row>
    <row r="71" spans="2:2" x14ac:dyDescent="0.25">
      <c r="B71" s="109"/>
    </row>
    <row r="72" spans="2:2" x14ac:dyDescent="0.25">
      <c r="B72" s="109"/>
    </row>
    <row r="73" spans="2:2" x14ac:dyDescent="0.25">
      <c r="B73" s="109"/>
    </row>
    <row r="74" spans="2:2" x14ac:dyDescent="0.25">
      <c r="B74" s="109"/>
    </row>
    <row r="75" spans="2:2" x14ac:dyDescent="0.25">
      <c r="B75" s="109"/>
    </row>
    <row r="76" spans="2:2" x14ac:dyDescent="0.25">
      <c r="B76" s="109"/>
    </row>
    <row r="77" spans="2:2" x14ac:dyDescent="0.25">
      <c r="B77" s="109"/>
    </row>
    <row r="78" spans="2:2" x14ac:dyDescent="0.25">
      <c r="B78" s="109"/>
    </row>
    <row r="79" spans="2:2" x14ac:dyDescent="0.25">
      <c r="B79" s="109"/>
    </row>
    <row r="80" spans="2:2" x14ac:dyDescent="0.25">
      <c r="B80" s="109"/>
    </row>
    <row r="81" spans="2:2" x14ac:dyDescent="0.25">
      <c r="B81" s="109"/>
    </row>
    <row r="82" spans="2:2" x14ac:dyDescent="0.25">
      <c r="B82" s="109"/>
    </row>
    <row r="83" spans="2:2" x14ac:dyDescent="0.25">
      <c r="B83" s="109"/>
    </row>
    <row r="84" spans="2:2" x14ac:dyDescent="0.25">
      <c r="B84" s="109"/>
    </row>
    <row r="85" spans="2:2" x14ac:dyDescent="0.25">
      <c r="B85" s="109"/>
    </row>
    <row r="86" spans="2:2" x14ac:dyDescent="0.25">
      <c r="B86" s="109"/>
    </row>
    <row r="87" spans="2:2" x14ac:dyDescent="0.25">
      <c r="B87" s="109"/>
    </row>
    <row r="88" spans="2:2" x14ac:dyDescent="0.25">
      <c r="B88" s="109"/>
    </row>
    <row r="89" spans="2:2" x14ac:dyDescent="0.25">
      <c r="B89" s="109"/>
    </row>
    <row r="90" spans="2:2" x14ac:dyDescent="0.25">
      <c r="B90" s="109"/>
    </row>
    <row r="91" spans="2:2" x14ac:dyDescent="0.25">
      <c r="B91" s="109"/>
    </row>
    <row r="92" spans="2:2" x14ac:dyDescent="0.25">
      <c r="B92" s="109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27"/>
  <sheetViews>
    <sheetView zoomScale="88" zoomScaleNormal="88" workbookViewId="0">
      <selection activeCell="I41" sqref="I41"/>
    </sheetView>
  </sheetViews>
  <sheetFormatPr defaultColWidth="8.88671875" defaultRowHeight="13.2" x14ac:dyDescent="0.25"/>
  <cols>
    <col min="1" max="1" width="39.6640625" style="33" customWidth="1"/>
    <col min="2" max="2" width="12.44140625" style="47" bestFit="1" customWidth="1"/>
    <col min="3" max="3" width="9.6640625" style="33" bestFit="1" customWidth="1"/>
    <col min="4" max="4" width="10.6640625" style="33" customWidth="1"/>
    <col min="5" max="5" width="11.33203125" style="33" bestFit="1" customWidth="1"/>
    <col min="6" max="6" width="10.6640625" style="33" customWidth="1"/>
    <col min="7" max="7" width="11.33203125" style="33" customWidth="1"/>
    <col min="8" max="10" width="11.33203125" style="33" bestFit="1" customWidth="1"/>
    <col min="11" max="16384" width="8.88671875" style="33"/>
  </cols>
  <sheetData>
    <row r="1" spans="1:12" x14ac:dyDescent="0.25">
      <c r="A1" s="42"/>
      <c r="B1" s="46"/>
    </row>
    <row r="2" spans="1:12" x14ac:dyDescent="0.25">
      <c r="A2" s="42" t="s">
        <v>64</v>
      </c>
      <c r="B2" s="46"/>
    </row>
    <row r="3" spans="1:12" s="35" customFormat="1" x14ac:dyDescent="0.25">
      <c r="A3" s="33"/>
      <c r="B3" s="60"/>
      <c r="C3" s="48"/>
    </row>
    <row r="4" spans="1:12" s="35" customFormat="1" x14ac:dyDescent="0.25">
      <c r="A4" s="33"/>
      <c r="B4" s="79" t="s">
        <v>16</v>
      </c>
      <c r="C4" s="57">
        <v>2015</v>
      </c>
      <c r="D4" s="57">
        <v>2016</v>
      </c>
      <c r="E4" s="57">
        <v>2017</v>
      </c>
      <c r="F4" s="57">
        <v>2018</v>
      </c>
      <c r="G4" s="57">
        <v>2019</v>
      </c>
      <c r="H4" s="57">
        <v>2020</v>
      </c>
      <c r="I4" s="57">
        <v>2021</v>
      </c>
      <c r="J4" s="57">
        <v>2022</v>
      </c>
      <c r="K4" s="33"/>
      <c r="L4" s="33"/>
    </row>
    <row r="5" spans="1:12" s="35" customFormat="1" x14ac:dyDescent="0.25">
      <c r="A5" s="124" t="s">
        <v>34</v>
      </c>
      <c r="B5" s="47"/>
      <c r="C5" s="47"/>
      <c r="F5" s="33"/>
      <c r="G5" s="33"/>
      <c r="H5" s="33"/>
      <c r="I5" s="33"/>
      <c r="J5" s="33"/>
      <c r="K5" s="33"/>
      <c r="L5" s="33"/>
    </row>
    <row r="6" spans="1:12" s="35" customFormat="1" x14ac:dyDescent="0.25">
      <c r="A6" s="82" t="s">
        <v>35</v>
      </c>
      <c r="B6" s="103">
        <f>SUM(C6:J6)</f>
        <v>5299.06</v>
      </c>
      <c r="C6" s="80">
        <v>0</v>
      </c>
      <c r="D6" s="48">
        <v>0</v>
      </c>
      <c r="E6" s="48">
        <v>5299.06</v>
      </c>
      <c r="F6" s="94">
        <v>0</v>
      </c>
      <c r="G6" s="94">
        <v>0</v>
      </c>
      <c r="H6" s="94">
        <v>0</v>
      </c>
      <c r="I6" s="94">
        <v>0</v>
      </c>
      <c r="J6" s="136">
        <v>0</v>
      </c>
      <c r="K6" s="33"/>
      <c r="L6" s="33"/>
    </row>
    <row r="7" spans="1:12" s="35" customFormat="1" x14ac:dyDescent="0.25">
      <c r="A7" s="82" t="s">
        <v>36</v>
      </c>
      <c r="B7" s="103">
        <f>SUM(C7:J7)</f>
        <v>74033.15999999964</v>
      </c>
      <c r="C7" s="80">
        <v>0</v>
      </c>
      <c r="D7" s="48">
        <v>0</v>
      </c>
      <c r="E7" s="48">
        <v>91960.189999999639</v>
      </c>
      <c r="F7" s="94">
        <v>-17998.37</v>
      </c>
      <c r="G7" s="94">
        <v>71.34</v>
      </c>
      <c r="H7" s="94">
        <v>0</v>
      </c>
      <c r="I7" s="94">
        <v>0</v>
      </c>
      <c r="J7" s="136">
        <v>0</v>
      </c>
      <c r="K7" s="33"/>
      <c r="L7" s="33"/>
    </row>
    <row r="8" spans="1:12" s="35" customFormat="1" x14ac:dyDescent="0.25">
      <c r="A8" s="82" t="s">
        <v>37</v>
      </c>
      <c r="B8" s="103">
        <f t="shared" ref="B8:B9" si="0">SUM(C8:J8)</f>
        <v>33340.639999999999</v>
      </c>
      <c r="C8" s="80">
        <v>0</v>
      </c>
      <c r="D8" s="48">
        <v>0</v>
      </c>
      <c r="E8" s="48">
        <v>33340.639999999999</v>
      </c>
      <c r="F8" s="48">
        <v>0</v>
      </c>
      <c r="G8" s="48">
        <v>0</v>
      </c>
      <c r="H8" s="94">
        <v>0</v>
      </c>
      <c r="I8" s="94">
        <v>0</v>
      </c>
      <c r="J8" s="136">
        <v>0</v>
      </c>
      <c r="K8" s="33"/>
      <c r="L8" s="33"/>
    </row>
    <row r="9" spans="1:12" s="35" customFormat="1" x14ac:dyDescent="0.25">
      <c r="A9" s="82" t="s">
        <v>38</v>
      </c>
      <c r="B9" s="104">
        <f t="shared" si="0"/>
        <v>2139082.5000000005</v>
      </c>
      <c r="C9" s="81">
        <v>118073.58</v>
      </c>
      <c r="D9" s="96">
        <v>275412.11</v>
      </c>
      <c r="E9" s="96">
        <v>1745431.8100000003</v>
      </c>
      <c r="F9" s="97">
        <v>165</v>
      </c>
      <c r="G9" s="96">
        <v>0</v>
      </c>
      <c r="H9" s="96">
        <v>0</v>
      </c>
      <c r="I9" s="96">
        <v>0</v>
      </c>
      <c r="J9" s="138">
        <v>0</v>
      </c>
      <c r="K9" s="33"/>
      <c r="L9" s="33"/>
    </row>
    <row r="10" spans="1:12" s="35" customFormat="1" ht="13.8" thickBot="1" x14ac:dyDescent="0.3">
      <c r="A10" s="49" t="s">
        <v>33</v>
      </c>
      <c r="B10" s="95">
        <f>SUM(B6:B9)</f>
        <v>2251755.3600000003</v>
      </c>
      <c r="C10" s="98">
        <f t="shared" ref="C10:F10" si="1">SUM(C6:C9)</f>
        <v>118073.58</v>
      </c>
      <c r="D10" s="98">
        <f t="shared" si="1"/>
        <v>275412.11</v>
      </c>
      <c r="E10" s="98">
        <f>SUM(E6:E9)</f>
        <v>1876031.7</v>
      </c>
      <c r="F10" s="98">
        <f t="shared" si="1"/>
        <v>-17833.37</v>
      </c>
      <c r="G10" s="98">
        <f t="shared" ref="G10:H10" si="2">SUM(G6:G9)</f>
        <v>71.34</v>
      </c>
      <c r="H10" s="98">
        <f t="shared" si="2"/>
        <v>0</v>
      </c>
      <c r="I10" s="98">
        <f t="shared" ref="I10:J10" si="3">SUM(I6:I9)</f>
        <v>0</v>
      </c>
      <c r="J10" s="98">
        <f t="shared" si="3"/>
        <v>0</v>
      </c>
    </row>
    <row r="11" spans="1:12" s="35" customFormat="1" ht="13.8" thickTop="1" x14ac:dyDescent="0.25">
      <c r="A11" s="49"/>
      <c r="B11" s="55"/>
      <c r="C11" s="98"/>
      <c r="D11" s="98"/>
      <c r="E11" s="98"/>
      <c r="F11" s="98"/>
      <c r="G11" s="98"/>
      <c r="H11" s="98"/>
    </row>
    <row r="12" spans="1:12" s="35" customFormat="1" x14ac:dyDescent="0.25">
      <c r="A12" s="124" t="s">
        <v>41</v>
      </c>
      <c r="B12" s="79" t="s">
        <v>16</v>
      </c>
      <c r="C12" s="57">
        <v>2015</v>
      </c>
      <c r="D12" s="57">
        <v>2016</v>
      </c>
      <c r="E12" s="57">
        <v>2017</v>
      </c>
      <c r="F12" s="57">
        <v>2018</v>
      </c>
      <c r="G12" s="57">
        <v>2019</v>
      </c>
      <c r="H12" s="57">
        <v>2020</v>
      </c>
      <c r="I12" s="57">
        <v>2021</v>
      </c>
      <c r="J12" s="57">
        <v>2022</v>
      </c>
    </row>
    <row r="13" spans="1:12" s="35" customFormat="1" x14ac:dyDescent="0.25">
      <c r="A13" s="82" t="s">
        <v>42</v>
      </c>
      <c r="B13" s="104">
        <f>SUM(C13:J13)</f>
        <v>3135957.01</v>
      </c>
      <c r="C13" s="125">
        <v>0</v>
      </c>
      <c r="D13" s="126">
        <v>0</v>
      </c>
      <c r="E13" s="126">
        <v>0</v>
      </c>
      <c r="F13" s="127"/>
      <c r="G13" s="127">
        <v>1735656.39</v>
      </c>
      <c r="H13" s="127">
        <v>1384357.04</v>
      </c>
      <c r="I13" s="127">
        <v>15943.58</v>
      </c>
      <c r="J13" s="127">
        <v>0</v>
      </c>
    </row>
    <row r="14" spans="1:12" s="35" customFormat="1" ht="13.8" thickBot="1" x14ac:dyDescent="0.3">
      <c r="A14" s="49"/>
      <c r="B14" s="95">
        <f>SUM(B13:B13)</f>
        <v>3135957.01</v>
      </c>
      <c r="C14" s="98">
        <f>C13</f>
        <v>0</v>
      </c>
      <c r="D14" s="98">
        <f t="shared" ref="D14:I14" si="4">D13</f>
        <v>0</v>
      </c>
      <c r="E14" s="98">
        <f t="shared" si="4"/>
        <v>0</v>
      </c>
      <c r="F14" s="98">
        <f t="shared" si="4"/>
        <v>0</v>
      </c>
      <c r="G14" s="98">
        <f t="shared" si="4"/>
        <v>1735656.39</v>
      </c>
      <c r="H14" s="98">
        <f t="shared" si="4"/>
        <v>1384357.04</v>
      </c>
      <c r="I14" s="98">
        <f t="shared" si="4"/>
        <v>15943.58</v>
      </c>
      <c r="J14" s="98">
        <f t="shared" ref="J14" si="5">J13</f>
        <v>0</v>
      </c>
    </row>
    <row r="15" spans="1:12" s="35" customFormat="1" ht="13.8" thickTop="1" x14ac:dyDescent="0.25">
      <c r="A15" s="49"/>
      <c r="B15" s="90"/>
      <c r="C15" s="98"/>
      <c r="D15" s="98"/>
      <c r="E15" s="98"/>
      <c r="F15" s="98"/>
      <c r="G15" s="98"/>
      <c r="H15" s="98"/>
      <c r="I15" s="98"/>
      <c r="J15" s="98"/>
    </row>
    <row r="16" spans="1:12" s="35" customFormat="1" x14ac:dyDescent="0.25">
      <c r="A16" s="160" t="s">
        <v>74</v>
      </c>
      <c r="B16" s="88"/>
      <c r="C16" s="150"/>
      <c r="D16" s="150"/>
      <c r="E16" s="150"/>
      <c r="F16" s="150"/>
      <c r="G16" s="150"/>
      <c r="H16" s="150"/>
      <c r="I16" s="43"/>
      <c r="J16" s="151"/>
    </row>
    <row r="17" spans="1:10" s="35" customFormat="1" x14ac:dyDescent="0.25">
      <c r="A17" s="152" t="s">
        <v>62</v>
      </c>
      <c r="B17" s="79" t="s">
        <v>16</v>
      </c>
      <c r="C17" s="57">
        <v>2015</v>
      </c>
      <c r="D17" s="57">
        <v>2016</v>
      </c>
      <c r="E17" s="57">
        <v>2017</v>
      </c>
      <c r="F17" s="57">
        <v>2018</v>
      </c>
      <c r="G17" s="57">
        <v>2019</v>
      </c>
      <c r="H17" s="57">
        <v>2020</v>
      </c>
      <c r="I17" s="57">
        <v>2021</v>
      </c>
      <c r="J17" s="153">
        <v>2022</v>
      </c>
    </row>
    <row r="18" spans="1:10" s="35" customFormat="1" x14ac:dyDescent="0.25">
      <c r="A18" s="154" t="s">
        <v>53</v>
      </c>
      <c r="B18" s="123">
        <f>SUM(C18:J18)</f>
        <v>5416767.5700000003</v>
      </c>
      <c r="C18" s="135">
        <v>0</v>
      </c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48">
        <v>1308153.27</v>
      </c>
      <c r="J18" s="155">
        <v>4108614.3</v>
      </c>
    </row>
    <row r="19" spans="1:10" s="35" customFormat="1" x14ac:dyDescent="0.25">
      <c r="A19" s="154" t="s">
        <v>51</v>
      </c>
      <c r="B19" s="123">
        <f t="shared" ref="B19:B20" si="6">SUM(C19:J19)</f>
        <v>1230090.9939999999</v>
      </c>
      <c r="C19" s="135">
        <v>0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48">
        <v>577493.52</v>
      </c>
      <c r="J19" s="155">
        <v>652597.47400000005</v>
      </c>
    </row>
    <row r="20" spans="1:10" s="35" customFormat="1" x14ac:dyDescent="0.25">
      <c r="A20" s="154" t="s">
        <v>52</v>
      </c>
      <c r="B20" s="104">
        <f t="shared" si="6"/>
        <v>750185.42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8">
        <v>219402.4</v>
      </c>
      <c r="J20" s="156">
        <v>530783.02</v>
      </c>
    </row>
    <row r="21" spans="1:10" s="35" customFormat="1" x14ac:dyDescent="0.25">
      <c r="A21" s="157" t="s">
        <v>50</v>
      </c>
      <c r="B21" s="158">
        <f>SUM(B18:B20)</f>
        <v>7397043.9840000002</v>
      </c>
      <c r="C21" s="125">
        <f>SUM(C18:C20)</f>
        <v>0</v>
      </c>
      <c r="D21" s="125">
        <f t="shared" ref="D21:I21" si="7">SUM(D18:D20)</f>
        <v>0</v>
      </c>
      <c r="E21" s="125">
        <f t="shared" si="7"/>
        <v>0</v>
      </c>
      <c r="F21" s="125">
        <f t="shared" si="7"/>
        <v>0</v>
      </c>
      <c r="G21" s="125">
        <f t="shared" si="7"/>
        <v>0</v>
      </c>
      <c r="H21" s="125">
        <f t="shared" si="7"/>
        <v>0</v>
      </c>
      <c r="I21" s="125">
        <f t="shared" si="7"/>
        <v>2105049.19</v>
      </c>
      <c r="J21" s="159">
        <f t="shared" ref="J21" si="8">SUM(J18:J20)</f>
        <v>5291994.7939999998</v>
      </c>
    </row>
    <row r="22" spans="1:10" x14ac:dyDescent="0.25">
      <c r="B22" s="60"/>
    </row>
    <row r="23" spans="1:10" ht="13.8" thickBot="1" x14ac:dyDescent="0.3">
      <c r="A23" s="33" t="s">
        <v>39</v>
      </c>
      <c r="B23" s="102">
        <f>B10+B14+B21</f>
        <v>12784756.354</v>
      </c>
    </row>
    <row r="24" spans="1:10" ht="13.8" thickTop="1" x14ac:dyDescent="0.25"/>
    <row r="25" spans="1:10" x14ac:dyDescent="0.25">
      <c r="A25" s="99"/>
      <c r="B25" s="101"/>
    </row>
    <row r="27" spans="1:10" x14ac:dyDescent="0.25">
      <c r="A27" s="42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M18"/>
  <sheetViews>
    <sheetView zoomScale="90" zoomScaleNormal="90" workbookViewId="0">
      <selection activeCell="M37" sqref="M37"/>
    </sheetView>
  </sheetViews>
  <sheetFormatPr defaultColWidth="8.88671875" defaultRowHeight="13.2" x14ac:dyDescent="0.25"/>
  <cols>
    <col min="1" max="1" width="31.5546875" style="72" customWidth="1"/>
    <col min="2" max="2" width="11.44140625" style="73" bestFit="1" customWidth="1"/>
    <col min="3" max="3" width="7.33203125" style="72" bestFit="1" customWidth="1"/>
    <col min="4" max="5" width="9.5546875" style="72" bestFit="1" customWidth="1"/>
    <col min="6" max="6" width="10.33203125" style="63" customWidth="1"/>
    <col min="7" max="10" width="8.88671875" style="63"/>
    <col min="11" max="13" width="9.5546875" style="63" bestFit="1" customWidth="1"/>
    <col min="14" max="16384" width="8.88671875" style="63"/>
  </cols>
  <sheetData>
    <row r="2" spans="1:13" x14ac:dyDescent="0.25">
      <c r="A2" s="42" t="s">
        <v>63</v>
      </c>
    </row>
    <row r="3" spans="1:13" x14ac:dyDescent="0.25">
      <c r="B3" s="78"/>
      <c r="C3" s="33"/>
      <c r="D3" s="33"/>
      <c r="E3" s="33"/>
      <c r="F3" s="33"/>
      <c r="G3" s="33"/>
      <c r="H3" s="33"/>
      <c r="I3" s="33"/>
    </row>
    <row r="4" spans="1:13" x14ac:dyDescent="0.25">
      <c r="A4" s="83"/>
      <c r="B4" s="84" t="s">
        <v>16</v>
      </c>
      <c r="C4" s="57">
        <v>2012</v>
      </c>
      <c r="D4" s="57">
        <v>2013</v>
      </c>
      <c r="E4" s="57">
        <v>2014</v>
      </c>
      <c r="F4" s="57">
        <v>2015</v>
      </c>
      <c r="G4" s="57">
        <v>2016</v>
      </c>
      <c r="H4" s="57">
        <v>2017</v>
      </c>
      <c r="I4" s="57">
        <v>2018</v>
      </c>
      <c r="J4" s="57">
        <v>2019</v>
      </c>
      <c r="K4" s="57">
        <v>2020</v>
      </c>
      <c r="L4" s="57">
        <v>2021</v>
      </c>
      <c r="M4" s="57">
        <v>2022</v>
      </c>
    </row>
    <row r="5" spans="1:13" x14ac:dyDescent="0.25">
      <c r="A5" s="85" t="s">
        <v>26</v>
      </c>
      <c r="B5" s="86"/>
      <c r="C5" s="78"/>
      <c r="D5" s="78"/>
      <c r="E5" s="33"/>
      <c r="F5" s="87"/>
      <c r="G5" s="87"/>
      <c r="H5" s="87"/>
      <c r="I5" s="33"/>
      <c r="J5" s="33"/>
      <c r="K5" s="33"/>
      <c r="L5" s="33"/>
      <c r="M5" s="33"/>
    </row>
    <row r="6" spans="1:13" x14ac:dyDescent="0.25">
      <c r="A6" s="82" t="s">
        <v>27</v>
      </c>
      <c r="B6" s="88">
        <f>SUM(C6:M6)</f>
        <v>148465.66</v>
      </c>
      <c r="C6" s="89">
        <v>0</v>
      </c>
      <c r="D6" s="89">
        <v>0</v>
      </c>
      <c r="E6" s="89">
        <v>148465.66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</row>
    <row r="7" spans="1:13" x14ac:dyDescent="0.25">
      <c r="A7" s="82"/>
      <c r="B7" s="90"/>
      <c r="C7" s="91"/>
      <c r="D7" s="91"/>
      <c r="E7" s="92"/>
      <c r="F7" s="92"/>
      <c r="G7" s="92"/>
      <c r="H7" s="92"/>
      <c r="I7" s="92"/>
    </row>
    <row r="8" spans="1:13" x14ac:dyDescent="0.25">
      <c r="A8" s="82"/>
      <c r="B8" s="90"/>
      <c r="C8" s="91"/>
      <c r="D8" s="91"/>
      <c r="E8" s="92"/>
      <c r="F8" s="92"/>
      <c r="G8" s="92"/>
      <c r="H8" s="92"/>
      <c r="I8" s="92"/>
    </row>
    <row r="9" spans="1:13" x14ac:dyDescent="0.25">
      <c r="A9" s="132" t="s">
        <v>46</v>
      </c>
      <c r="B9" s="84" t="s">
        <v>16</v>
      </c>
      <c r="C9" s="57">
        <v>2012</v>
      </c>
      <c r="D9" s="57">
        <v>2013</v>
      </c>
      <c r="E9" s="57">
        <v>2014</v>
      </c>
      <c r="F9" s="57">
        <v>2015</v>
      </c>
      <c r="G9" s="57">
        <v>2016</v>
      </c>
      <c r="H9" s="57">
        <v>2017</v>
      </c>
      <c r="I9" s="57">
        <v>2018</v>
      </c>
      <c r="J9" s="57">
        <v>2019</v>
      </c>
      <c r="K9" s="57">
        <v>2020</v>
      </c>
      <c r="L9" s="57">
        <v>2021</v>
      </c>
      <c r="M9" s="57">
        <v>2022</v>
      </c>
    </row>
    <row r="10" spans="1:13" x14ac:dyDescent="0.25">
      <c r="A10" s="133" t="s">
        <v>47</v>
      </c>
      <c r="B10" s="88">
        <f>SUM(C10:M10)</f>
        <v>526879.43999999994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258666.91999999998</v>
      </c>
      <c r="L10" s="134">
        <v>268212.52</v>
      </c>
      <c r="M10" s="134">
        <v>0</v>
      </c>
    </row>
    <row r="11" spans="1:13" x14ac:dyDescent="0.25">
      <c r="A11" s="82"/>
      <c r="B11" s="90"/>
      <c r="C11" s="92"/>
      <c r="D11" s="92"/>
      <c r="E11" s="92"/>
      <c r="F11" s="92"/>
      <c r="G11" s="92"/>
      <c r="H11" s="33"/>
      <c r="I11" s="33"/>
    </row>
    <row r="12" spans="1:13" x14ac:dyDescent="0.25">
      <c r="A12" s="82"/>
      <c r="B12" s="90"/>
      <c r="C12" s="92"/>
      <c r="D12" s="92"/>
      <c r="E12" s="92"/>
      <c r="F12" s="92"/>
      <c r="G12" s="92"/>
      <c r="H12" s="33"/>
      <c r="I12" s="33"/>
    </row>
    <row r="13" spans="1:13" ht="13.8" thickBot="1" x14ac:dyDescent="0.3">
      <c r="A13" s="33" t="s">
        <v>28</v>
      </c>
      <c r="B13" s="93">
        <f>B6+B10</f>
        <v>675345.1</v>
      </c>
      <c r="C13" s="33"/>
      <c r="D13" s="33"/>
      <c r="E13" s="33"/>
      <c r="F13" s="33"/>
      <c r="G13" s="33"/>
      <c r="H13" s="33"/>
      <c r="I13" s="33"/>
    </row>
    <row r="14" spans="1:13" ht="13.8" thickTop="1" x14ac:dyDescent="0.25">
      <c r="A14" s="99"/>
      <c r="B14" s="100"/>
    </row>
    <row r="18" spans="1:9" x14ac:dyDescent="0.25">
      <c r="A18" s="105"/>
      <c r="B18" s="106"/>
      <c r="C18" s="107"/>
      <c r="D18" s="107"/>
      <c r="E18" s="107"/>
      <c r="F18" s="108"/>
      <c r="G18" s="105"/>
      <c r="H18" s="108"/>
      <c r="I18" s="108"/>
    </row>
  </sheetData>
  <phoneticPr fontId="0" type="noConversion"/>
  <pageMargins left="0.75" right="0.75" top="1.08" bottom="0.75" header="0.5" footer="0.5"/>
  <pageSetup scale="88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1288CF-8F56-4307-AA89-3CD4A30C4490}"/>
</file>

<file path=customXml/itemProps2.xml><?xml version="1.0" encoding="utf-8"?>
<ds:datastoreItem xmlns:ds="http://schemas.openxmlformats.org/officeDocument/2006/customXml" ds:itemID="{72E772B1-A6E4-4083-95DE-56F26C3122E0}"/>
</file>

<file path=customXml/itemProps3.xml><?xml version="1.0" encoding="utf-8"?>
<ds:datastoreItem xmlns:ds="http://schemas.openxmlformats.org/officeDocument/2006/customXml" ds:itemID="{9B3EF1E0-A4EF-4A78-A8A6-1CCA54F6BBB8}"/>
</file>

<file path=customXml/itemProps4.xml><?xml version="1.0" encoding="utf-8"?>
<ds:datastoreItem xmlns:ds="http://schemas.openxmlformats.org/officeDocument/2006/customXml" ds:itemID="{5CB22366-D053-478A-8754-990C17A1A1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Avg cost of case</vt:lpstr>
      <vt:lpstr>TY</vt:lpstr>
      <vt:lpstr>Summary GRCs</vt:lpstr>
      <vt:lpstr>Summary PCORCs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2015-12-23T17:57:01Z</cp:lastPrinted>
  <dcterms:created xsi:type="dcterms:W3CDTF">2003-11-18T20:14:12Z</dcterms:created>
  <dcterms:modified xsi:type="dcterms:W3CDTF">2023-03-28T18:48:59Z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0x0101006E56B4D1795A2E4DB2F0B01679ED314A000CCA0EFAD2D47E42A2D5D991393F51AC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